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2825" windowHeight="11820"/>
  </bookViews>
  <sheets>
    <sheet name="WIT" sheetId="84" r:id="rId1"/>
    <sheet name="Heading" sheetId="76" r:id="rId2"/>
    <sheet name="Contents" sheetId="68" r:id="rId3"/>
    <sheet name="Overview" sheetId="9" r:id="rId4"/>
    <sheet name="1-BaseTRR" sheetId="1" r:id="rId5"/>
    <sheet name="2-IFPTRR" sheetId="7" r:id="rId6"/>
    <sheet name="3-TrueUpAdjust" sheetId="65" r:id="rId7"/>
    <sheet name="4-TUTRR" sheetId="8" r:id="rId8"/>
    <sheet name="5-ROR-1" sheetId="28" r:id="rId9"/>
    <sheet name="5-ROR-2" sheetId="72" r:id="rId10"/>
    <sheet name="6-PlantInService" sheetId="4" r:id="rId11"/>
    <sheet name="7-PlantStudy" sheetId="56" r:id="rId12"/>
    <sheet name="8-AccDep" sheetId="21" r:id="rId13"/>
    <sheet name="9-ADIT" sheetId="15" r:id="rId14"/>
    <sheet name="10-CWIP" sheetId="49" r:id="rId15"/>
    <sheet name="11-PHFU" sheetId="54" r:id="rId16"/>
    <sheet name="12-AbandonedPlant" sheetId="45" r:id="rId17"/>
    <sheet name="13-WorkCap" sheetId="22" r:id="rId18"/>
    <sheet name="14-IncentivePlant" sheetId="11" r:id="rId19"/>
    <sheet name="15-IncentiveAdder" sheetId="12" r:id="rId20"/>
    <sheet name="16-PlantAdditions" sheetId="48" r:id="rId21"/>
    <sheet name="17-Depreciation" sheetId="64" r:id="rId22"/>
    <sheet name="18-DepRates" sheetId="63" r:id="rId23"/>
    <sheet name="19-OandM" sheetId="46" r:id="rId24"/>
    <sheet name="20-AandG" sheetId="26" r:id="rId25"/>
    <sheet name="21-RevenueCredits" sheetId="61" r:id="rId26"/>
    <sheet name="22-NUCs" sheetId="66" r:id="rId27"/>
    <sheet name="23-RegAssets" sheetId="55" r:id="rId28"/>
    <sheet name="24-CWIPTRR" sheetId="71" r:id="rId29"/>
    <sheet name="25-WholesaleDifference" sheetId="44" r:id="rId30"/>
    <sheet name="26-TaxRates" sheetId="17" r:id="rId31"/>
    <sheet name="27-Allocators" sheetId="2" r:id="rId32"/>
    <sheet name="28-FFU" sheetId="30" r:id="rId33"/>
    <sheet name="29-WholesaleTRRs" sheetId="31" r:id="rId34"/>
    <sheet name="30-WholesaleRates" sheetId="32" r:id="rId35"/>
    <sheet name="31-HVLV" sheetId="57" r:id="rId36"/>
    <sheet name="32-GrossLoad" sheetId="42" r:id="rId37"/>
    <sheet name="33-RetailRates" sheetId="53" r:id="rId38"/>
    <sheet name="34-UnfundedReserves" sheetId="79" r:id="rId39"/>
    <sheet name="35-PBOPs" sheetId="78" r:id="rId40"/>
    <sheet name="Sheet1" sheetId="82" r:id="rId41"/>
  </sheets>
  <externalReferences>
    <externalReference r:id="rId42"/>
  </externalReferences>
  <definedNames>
    <definedName name="_xlnm._FilterDatabase" localSheetId="25" hidden="1">'21-RevenueCredits'!$A$1:$O$229</definedName>
    <definedName name="_xlnm.Print_Area" localSheetId="14">'10-CWIP'!$A$1:$K$375</definedName>
    <definedName name="_xlnm.Print_Area" localSheetId="15">'11-PHFU'!$A$1:$F$61</definedName>
    <definedName name="_xlnm.Print_Area" localSheetId="16">'12-AbandonedPlant'!$A$1:$J$69</definedName>
    <definedName name="_xlnm.Print_Area" localSheetId="17">'13-WorkCap'!$A$1:$G$69</definedName>
    <definedName name="_xlnm.Print_Area" localSheetId="18">'14-IncentivePlant'!$A$1:$J$372</definedName>
    <definedName name="_xlnm.Print_Area" localSheetId="19">'15-IncentiveAdder'!$A$1:$J$112</definedName>
    <definedName name="_xlnm.Print_Area" localSheetId="20">'16-PlantAdditions'!$A$1:$P$128</definedName>
    <definedName name="_xlnm.Print_Area" localSheetId="21">'17-Depreciation'!$A$1:$M$107</definedName>
    <definedName name="_xlnm.Print_Area" localSheetId="22">'18-DepRates'!$A$1:$G$64</definedName>
    <definedName name="_xlnm.Print_Area" localSheetId="23">'19-OandM'!$A$1:$L$215</definedName>
    <definedName name="_xlnm.Print_Area" localSheetId="4">'1-BaseTRR'!$A$1:$K$167</definedName>
    <definedName name="_xlnm.Print_Area" localSheetId="24">'20-AandG'!$A$1:$J$112</definedName>
    <definedName name="_xlnm.Print_Area" localSheetId="25">'21-RevenueCredits'!$A$1:$O$233</definedName>
    <definedName name="_xlnm.Print_Area" localSheetId="26">'22-NUCs'!$A$1:$F$30</definedName>
    <definedName name="_xlnm.Print_Area" localSheetId="27">'23-RegAssets'!$A$1:$I$37</definedName>
    <definedName name="_xlnm.Print_Area" localSheetId="28">'24-CWIPTRR'!$A$1:$J$195</definedName>
    <definedName name="_xlnm.Print_Area" localSheetId="29">'25-WholesaleDifference'!$A$1:$J$100</definedName>
    <definedName name="_xlnm.Print_Area" localSheetId="30">'26-TaxRates'!$A$1:$F$79</definedName>
    <definedName name="_xlnm.Print_Area" localSheetId="31">'27-Allocators'!$A$1:$K$126</definedName>
    <definedName name="_xlnm.Print_Area" localSheetId="32">'28-FFU'!$A$1:$I$46</definedName>
    <definedName name="_xlnm.Print_Area" localSheetId="33">'29-WholesaleTRRs'!$A$1:$I$41</definedName>
    <definedName name="_xlnm.Print_Area" localSheetId="5">'2-IFPTRR'!$A$1:$G$91</definedName>
    <definedName name="_xlnm.Print_Area" localSheetId="34">'30-WholesaleRates'!$A$1:$I$47</definedName>
    <definedName name="_xlnm.Print_Area" localSheetId="35">'31-HVLV'!$A$1:$K$51</definedName>
    <definedName name="_xlnm.Print_Area" localSheetId="36">'32-GrossLoad'!$A$1:$I$19</definedName>
    <definedName name="_xlnm.Print_Area" localSheetId="38">'34-UnfundedReserves'!$A$1:$K$45</definedName>
    <definedName name="_xlnm.Print_Area" localSheetId="6">'3-TrueUpAdjust'!$A$1:$L$173</definedName>
    <definedName name="_xlnm.Print_Area" localSheetId="7">'4-TUTRR'!$A$1:$J$108</definedName>
    <definedName name="_xlnm.Print_Area" localSheetId="8">'5-ROR-1'!$A$1:$L$57</definedName>
    <definedName name="_xlnm.Print_Area" localSheetId="9">'5-ROR-2'!$A$1:$P$76</definedName>
    <definedName name="_xlnm.Print_Area" localSheetId="10">'6-PlantInService'!$A$1:$M$181</definedName>
    <definedName name="_xlnm.Print_Area" localSheetId="11">'7-PlantStudy'!$A$1:$G$54</definedName>
    <definedName name="_xlnm.Print_Area" localSheetId="12">'8-AccDep'!$A$1:$N$179</definedName>
    <definedName name="_xlnm.Print_Area" localSheetId="13">'9-ADIT'!$A$1:$J$346</definedName>
    <definedName name="_xlnm.Print_Area" localSheetId="2">Contents!$A$1:$D$39</definedName>
    <definedName name="_xlnm.Print_Area" localSheetId="1">Heading!$A$1:$K$28</definedName>
    <definedName name="_xlnm.Print_Area" localSheetId="3">Overview!$A$1:$I$24</definedName>
    <definedName name="_xlnm.Print_Area" localSheetId="0">WIT!$A$1:$K$28</definedName>
    <definedName name="_xlnm.Print_Titles" localSheetId="4">'1-BaseTRR'!$1:$6</definedName>
    <definedName name="_xlnm.Print_Titles" localSheetId="25">'21-RevenueCredits'!$1:$3</definedName>
  </definedNames>
  <calcPr calcId="145621"/>
</workbook>
</file>

<file path=xl/calcChain.xml><?xml version="1.0" encoding="utf-8"?>
<calcChain xmlns="http://schemas.openxmlformats.org/spreadsheetml/2006/main">
  <c r="B2" i="72" l="1"/>
  <c r="E191" i="15" l="1"/>
  <c r="E37" i="26" l="1"/>
  <c r="I79" i="46"/>
  <c r="H79" i="46"/>
  <c r="C32" i="57" l="1"/>
  <c r="G20" i="45"/>
  <c r="E34" i="54"/>
  <c r="D34" i="54"/>
  <c r="C344" i="49"/>
  <c r="C345" i="49" s="1"/>
  <c r="C346" i="49" s="1"/>
  <c r="C347" i="49" s="1"/>
  <c r="C348" i="49" s="1"/>
  <c r="C349" i="49" s="1"/>
  <c r="C350" i="49" s="1"/>
  <c r="C351" i="49" s="1"/>
  <c r="C352" i="49" s="1"/>
  <c r="C353" i="49" s="1"/>
  <c r="C354" i="49" s="1"/>
  <c r="C355" i="49" s="1"/>
  <c r="C356" i="49" s="1"/>
  <c r="C357" i="49" s="1"/>
  <c r="C358" i="49" s="1"/>
  <c r="C359" i="49" s="1"/>
  <c r="C360" i="49" s="1"/>
  <c r="C361" i="49" s="1"/>
  <c r="C362" i="49" s="1"/>
  <c r="C363" i="49" s="1"/>
  <c r="C364" i="49" s="1"/>
  <c r="C314" i="49"/>
  <c r="C315" i="49" s="1"/>
  <c r="C316" i="49" s="1"/>
  <c r="C317" i="49" s="1"/>
  <c r="C318" i="49" s="1"/>
  <c r="C319" i="49" s="1"/>
  <c r="C320" i="49" s="1"/>
  <c r="C321" i="49" s="1"/>
  <c r="C322" i="49" s="1"/>
  <c r="C323" i="49" s="1"/>
  <c r="C324" i="49" s="1"/>
  <c r="C325" i="49" s="1"/>
  <c r="C326" i="49" s="1"/>
  <c r="C327" i="49" s="1"/>
  <c r="C328" i="49" s="1"/>
  <c r="C329" i="49" s="1"/>
  <c r="C330" i="49" s="1"/>
  <c r="C331" i="49" s="1"/>
  <c r="C332" i="49" s="1"/>
  <c r="C333" i="49" s="1"/>
  <c r="C334" i="49" s="1"/>
  <c r="C286" i="49"/>
  <c r="C287" i="49" s="1"/>
  <c r="C288" i="49" s="1"/>
  <c r="C289" i="49" s="1"/>
  <c r="C290" i="49" s="1"/>
  <c r="C291" i="49" s="1"/>
  <c r="C292" i="49" s="1"/>
  <c r="C293" i="49" s="1"/>
  <c r="C294" i="49" s="1"/>
  <c r="C295" i="49" s="1"/>
  <c r="C296" i="49" s="1"/>
  <c r="C297" i="49" s="1"/>
  <c r="C298" i="49" s="1"/>
  <c r="C299" i="49" s="1"/>
  <c r="C300" i="49" s="1"/>
  <c r="C301" i="49" s="1"/>
  <c r="C302" i="49" s="1"/>
  <c r="C303" i="49" s="1"/>
  <c r="C304" i="49" s="1"/>
  <c r="C305" i="49" s="1"/>
  <c r="C306" i="49" s="1"/>
  <c r="C258" i="49"/>
  <c r="C259" i="49" s="1"/>
  <c r="C260" i="49" s="1"/>
  <c r="C261" i="49" s="1"/>
  <c r="C262" i="49" s="1"/>
  <c r="C263" i="49" s="1"/>
  <c r="C264" i="49" s="1"/>
  <c r="C265" i="49" s="1"/>
  <c r="C266" i="49" s="1"/>
  <c r="C267" i="49" s="1"/>
  <c r="C268" i="49" s="1"/>
  <c r="C269" i="49" s="1"/>
  <c r="C270" i="49" s="1"/>
  <c r="C271" i="49" s="1"/>
  <c r="C272" i="49" s="1"/>
  <c r="C273" i="49" s="1"/>
  <c r="C274" i="49" s="1"/>
  <c r="C275" i="49" s="1"/>
  <c r="C276" i="49" s="1"/>
  <c r="C277" i="49" s="1"/>
  <c r="C278" i="49" s="1"/>
  <c r="C228" i="49"/>
  <c r="C229" i="49" s="1"/>
  <c r="C230" i="49" s="1"/>
  <c r="C231" i="49" s="1"/>
  <c r="C232" i="49" s="1"/>
  <c r="C233" i="49" s="1"/>
  <c r="C234" i="49" s="1"/>
  <c r="C235" i="49" s="1"/>
  <c r="C236" i="49" s="1"/>
  <c r="C237" i="49" s="1"/>
  <c r="C238" i="49" s="1"/>
  <c r="C239" i="49" s="1"/>
  <c r="C240" i="49" s="1"/>
  <c r="C241" i="49" s="1"/>
  <c r="C242" i="49" s="1"/>
  <c r="C243" i="49" s="1"/>
  <c r="C244" i="49" s="1"/>
  <c r="C245" i="49" s="1"/>
  <c r="C246" i="49" s="1"/>
  <c r="C247" i="49" s="1"/>
  <c r="C248" i="49" s="1"/>
  <c r="C200" i="49"/>
  <c r="C201" i="49" s="1"/>
  <c r="C202" i="49" s="1"/>
  <c r="C203" i="49" s="1"/>
  <c r="C204" i="49" s="1"/>
  <c r="C205" i="49" s="1"/>
  <c r="C206" i="49" s="1"/>
  <c r="C207" i="49" s="1"/>
  <c r="C208" i="49" s="1"/>
  <c r="C209" i="49" s="1"/>
  <c r="C210" i="49" s="1"/>
  <c r="C211" i="49" s="1"/>
  <c r="C212" i="49" s="1"/>
  <c r="C213" i="49" s="1"/>
  <c r="C214" i="49" s="1"/>
  <c r="C215" i="49" s="1"/>
  <c r="C216" i="49" s="1"/>
  <c r="C217" i="49" s="1"/>
  <c r="C218" i="49" s="1"/>
  <c r="C219" i="49" s="1"/>
  <c r="C220" i="49" s="1"/>
  <c r="C172" i="49"/>
  <c r="C173" i="49" s="1"/>
  <c r="C174" i="49" s="1"/>
  <c r="C175" i="49" s="1"/>
  <c r="C176" i="49" s="1"/>
  <c r="C177" i="49" s="1"/>
  <c r="C178" i="49" s="1"/>
  <c r="C179" i="49" s="1"/>
  <c r="C180" i="49" s="1"/>
  <c r="C181" i="49" s="1"/>
  <c r="C182" i="49" s="1"/>
  <c r="C183" i="49" s="1"/>
  <c r="C184" i="49" s="1"/>
  <c r="C185" i="49" s="1"/>
  <c r="C186" i="49" s="1"/>
  <c r="C187" i="49" s="1"/>
  <c r="C188" i="49" s="1"/>
  <c r="C189" i="49" s="1"/>
  <c r="C190" i="49" s="1"/>
  <c r="C191" i="49" s="1"/>
  <c r="C192" i="49" s="1"/>
  <c r="C142" i="49"/>
  <c r="C143" i="49" s="1"/>
  <c r="C144" i="49" s="1"/>
  <c r="C145" i="49" s="1"/>
  <c r="C146" i="49" s="1"/>
  <c r="C147" i="49" s="1"/>
  <c r="C148" i="49" s="1"/>
  <c r="C149" i="49" s="1"/>
  <c r="C150" i="49" s="1"/>
  <c r="C151" i="49" s="1"/>
  <c r="C152" i="49" s="1"/>
  <c r="C153" i="49" s="1"/>
  <c r="C154" i="49" s="1"/>
  <c r="C155" i="49" s="1"/>
  <c r="C156" i="49" s="1"/>
  <c r="C157" i="49" s="1"/>
  <c r="C158" i="49" s="1"/>
  <c r="C159" i="49" s="1"/>
  <c r="C160" i="49" s="1"/>
  <c r="C161" i="49" s="1"/>
  <c r="C162" i="49" s="1"/>
  <c r="C114" i="49"/>
  <c r="C115" i="49" s="1"/>
  <c r="C116" i="49" s="1"/>
  <c r="C117" i="49" s="1"/>
  <c r="C118" i="49" s="1"/>
  <c r="C119" i="49" s="1"/>
  <c r="C120" i="49" s="1"/>
  <c r="C121" i="49" s="1"/>
  <c r="C122" i="49" s="1"/>
  <c r="C123" i="49" s="1"/>
  <c r="C124" i="49" s="1"/>
  <c r="C125" i="49" s="1"/>
  <c r="C126" i="49" s="1"/>
  <c r="C127" i="49" s="1"/>
  <c r="C128" i="49" s="1"/>
  <c r="C129" i="49" s="1"/>
  <c r="C130" i="49" s="1"/>
  <c r="C131" i="49" s="1"/>
  <c r="C132" i="49" s="1"/>
  <c r="C133" i="49" s="1"/>
  <c r="C134" i="49" s="1"/>
  <c r="C86" i="49"/>
  <c r="C87" i="49" s="1"/>
  <c r="C88" i="49" s="1"/>
  <c r="C89" i="49" s="1"/>
  <c r="C90" i="49" s="1"/>
  <c r="C91" i="49" s="1"/>
  <c r="C92" i="49" s="1"/>
  <c r="C93" i="49" s="1"/>
  <c r="C94" i="49" s="1"/>
  <c r="C95" i="49" s="1"/>
  <c r="C96" i="49" s="1"/>
  <c r="C97" i="49" s="1"/>
  <c r="C98" i="49" s="1"/>
  <c r="C99" i="49" s="1"/>
  <c r="C100" i="49" s="1"/>
  <c r="C101" i="49" s="1"/>
  <c r="C102" i="49" s="1"/>
  <c r="C103" i="49" s="1"/>
  <c r="C104" i="49" s="1"/>
  <c r="C105" i="49" s="1"/>
  <c r="C106" i="49" s="1"/>
  <c r="C55" i="49"/>
  <c r="C56" i="49" s="1"/>
  <c r="C57" i="49" s="1"/>
  <c r="C58" i="49" s="1"/>
  <c r="C59" i="49" s="1"/>
  <c r="C60" i="49" s="1"/>
  <c r="C61" i="49" s="1"/>
  <c r="C62" i="49" s="1"/>
  <c r="C63" i="49" s="1"/>
  <c r="C64" i="49" s="1"/>
  <c r="C65" i="49" s="1"/>
  <c r="C66" i="49" s="1"/>
  <c r="C67" i="49" s="1"/>
  <c r="C68" i="49" s="1"/>
  <c r="C69" i="49" s="1"/>
  <c r="C70" i="49" s="1"/>
  <c r="C71" i="49" s="1"/>
  <c r="C72" i="49" s="1"/>
  <c r="C73" i="49" s="1"/>
  <c r="C74" i="49" s="1"/>
  <c r="C75" i="49" s="1"/>
  <c r="E224" i="15"/>
  <c r="E197" i="15"/>
  <c r="H197" i="15" s="1"/>
  <c r="E116" i="15"/>
  <c r="E112" i="15"/>
  <c r="E94" i="15"/>
  <c r="E92" i="15"/>
  <c r="E69" i="15"/>
  <c r="E66" i="15"/>
  <c r="H66" i="15" s="1"/>
  <c r="E65" i="15"/>
  <c r="E61" i="15"/>
  <c r="E56" i="15"/>
  <c r="H56" i="15" s="1"/>
  <c r="E55" i="15"/>
  <c r="H55" i="15" s="1"/>
  <c r="E50" i="15"/>
  <c r="G50" i="15" s="1"/>
  <c r="E42" i="15"/>
  <c r="G42" i="15" s="1"/>
  <c r="E38" i="15"/>
  <c r="H38" i="15" s="1"/>
  <c r="E31" i="15"/>
  <c r="G31" i="15" s="1"/>
  <c r="E33" i="15"/>
  <c r="G33" i="15" s="1"/>
  <c r="A266" i="15"/>
  <c r="A267" i="15" s="1"/>
  <c r="A268" i="15" s="1"/>
  <c r="A269" i="15" s="1"/>
  <c r="A270" i="15" s="1"/>
  <c r="A271" i="15" s="1"/>
  <c r="A265" i="15"/>
  <c r="G224" i="15"/>
  <c r="F191" i="15"/>
  <c r="G116" i="15"/>
  <c r="G112" i="15"/>
  <c r="G92" i="15"/>
  <c r="E70" i="15"/>
  <c r="G69" i="15"/>
  <c r="H65" i="15"/>
  <c r="H61" i="15"/>
  <c r="H70" i="72"/>
  <c r="H69" i="72"/>
  <c r="H68" i="72"/>
  <c r="I62" i="72"/>
  <c r="I60" i="72"/>
  <c r="I59" i="72"/>
  <c r="I58" i="72"/>
  <c r="D119" i="48" l="1"/>
  <c r="D118" i="48"/>
  <c r="D117" i="48"/>
  <c r="D116" i="48"/>
  <c r="D115" i="48"/>
  <c r="D114" i="48"/>
  <c r="D113" i="48"/>
  <c r="D112" i="48"/>
  <c r="D111" i="48"/>
  <c r="D110" i="48"/>
  <c r="F203" i="61" l="1"/>
  <c r="F73" i="64"/>
  <c r="E73" i="64"/>
  <c r="D73" i="64"/>
  <c r="F68" i="64"/>
  <c r="F67" i="64"/>
  <c r="E68" i="64"/>
  <c r="E67" i="64"/>
  <c r="D68" i="64"/>
  <c r="D67" i="64"/>
  <c r="L27" i="28" l="1"/>
  <c r="B172" i="21" l="1"/>
  <c r="I86" i="64" l="1"/>
  <c r="D24" i="64" l="1"/>
  <c r="L12" i="64"/>
  <c r="L49" i="64" s="1"/>
  <c r="M91" i="21" s="1"/>
  <c r="K12" i="64"/>
  <c r="K49" i="64" s="1"/>
  <c r="L91" i="21" s="1"/>
  <c r="J12" i="64"/>
  <c r="J49" i="64" s="1"/>
  <c r="K91" i="21" s="1"/>
  <c r="I12" i="64"/>
  <c r="I49" i="64" s="1"/>
  <c r="J91" i="21" s="1"/>
  <c r="H12" i="64"/>
  <c r="H49" i="64" s="1"/>
  <c r="I91" i="21" s="1"/>
  <c r="G12" i="64"/>
  <c r="G49" i="64" s="1"/>
  <c r="H91" i="21" s="1"/>
  <c r="F12" i="64"/>
  <c r="F49" i="64" s="1"/>
  <c r="G91" i="21" s="1"/>
  <c r="E12" i="64"/>
  <c r="E49" i="64" s="1"/>
  <c r="F91" i="21" s="1"/>
  <c r="D12" i="64"/>
  <c r="D49" i="64" s="1"/>
  <c r="E91" i="21" s="1"/>
  <c r="C24" i="64"/>
  <c r="C12" i="64"/>
  <c r="C49" i="64" s="1"/>
  <c r="D91" i="21" s="1"/>
  <c r="B98" i="64"/>
  <c r="H85" i="64"/>
  <c r="F69" i="64"/>
  <c r="H68" i="64"/>
  <c r="H67" i="64"/>
  <c r="D69" i="64"/>
  <c r="A44" i="64"/>
  <c r="A45" i="64" s="1"/>
  <c r="A46" i="64" s="1"/>
  <c r="A47" i="64" s="1"/>
  <c r="A48" i="64" s="1"/>
  <c r="A49" i="64" s="1"/>
  <c r="A50" i="64" s="1"/>
  <c r="A51" i="64" s="1"/>
  <c r="A52" i="64" s="1"/>
  <c r="A53" i="64" s="1"/>
  <c r="A54" i="64" s="1"/>
  <c r="A55" i="64" s="1"/>
  <c r="A56" i="64" s="1"/>
  <c r="A57" i="64" s="1"/>
  <c r="A58" i="64" s="1"/>
  <c r="A59" i="64" s="1"/>
  <c r="A60" i="64" s="1"/>
  <c r="A61" i="64" s="1"/>
  <c r="A62" i="64" s="1"/>
  <c r="A13" i="64"/>
  <c r="A14" i="64" s="1"/>
  <c r="A15" i="64" s="1"/>
  <c r="A16" i="64" s="1"/>
  <c r="A17" i="64" s="1"/>
  <c r="A18" i="64" s="1"/>
  <c r="A19" i="64" s="1"/>
  <c r="A20" i="64" s="1"/>
  <c r="A21" i="64" s="1"/>
  <c r="A22" i="64" s="1"/>
  <c r="A23" i="64" s="1"/>
  <c r="A24" i="64" s="1"/>
  <c r="A25" i="64" s="1"/>
  <c r="A26" i="64" s="1"/>
  <c r="A29" i="64" s="1"/>
  <c r="E69" i="64" l="1"/>
  <c r="E78" i="64" s="1"/>
  <c r="D78" i="64"/>
  <c r="F78" i="64"/>
  <c r="M49" i="64"/>
  <c r="A63" i="64"/>
  <c r="A64" i="64" s="1"/>
  <c r="A65" i="64" s="1"/>
  <c r="A66" i="64" s="1"/>
  <c r="A67" i="64" s="1"/>
  <c r="A68" i="64" s="1"/>
  <c r="A69" i="64" s="1"/>
  <c r="G92" i="64"/>
  <c r="G78" i="64" l="1"/>
  <c r="F93" i="64" s="1"/>
  <c r="B99" i="64"/>
  <c r="A70" i="64"/>
  <c r="A71" i="64" s="1"/>
  <c r="A72" i="64" s="1"/>
  <c r="A73" i="64" s="1"/>
  <c r="B100" i="64" l="1"/>
  <c r="A74" i="64"/>
  <c r="A75" i="64" s="1"/>
  <c r="A76" i="64" s="1"/>
  <c r="A77" i="64" s="1"/>
  <c r="A78" i="64" s="1"/>
  <c r="B107" i="64" l="1"/>
  <c r="G93" i="64"/>
  <c r="A79" i="64"/>
  <c r="A80" i="64" s="1"/>
  <c r="A81" i="64" s="1"/>
  <c r="A82" i="64" s="1"/>
  <c r="A83" i="64" s="1"/>
  <c r="A84" i="64" l="1"/>
  <c r="A85" i="64" s="1"/>
  <c r="A86" i="64" l="1"/>
  <c r="A87" i="64" s="1"/>
  <c r="I85" i="64"/>
  <c r="I87" i="64" l="1"/>
  <c r="G94" i="64"/>
  <c r="A88" i="64"/>
  <c r="A89" i="64" s="1"/>
  <c r="A90" i="64" s="1"/>
  <c r="A91" i="64" s="1"/>
  <c r="A92" i="64" s="1"/>
  <c r="A93" i="64" l="1"/>
  <c r="A94" i="64" s="1"/>
  <c r="A95" i="64" s="1"/>
  <c r="I127" i="1" s="1"/>
  <c r="G95" i="64" l="1"/>
  <c r="G41" i="57" l="1"/>
  <c r="I17" i="1" l="1"/>
  <c r="J119" i="46" l="1"/>
  <c r="J118" i="46"/>
  <c r="J117" i="46"/>
  <c r="J116" i="46"/>
  <c r="O19" i="48"/>
  <c r="F96" i="8"/>
  <c r="J85" i="8"/>
  <c r="C108" i="48" l="1"/>
  <c r="G74" i="44" l="1"/>
  <c r="G72" i="44"/>
  <c r="H72" i="44"/>
  <c r="A71" i="44"/>
  <c r="A72" i="44" s="1"/>
  <c r="A73" i="44" s="1"/>
  <c r="A74" i="44" s="1"/>
  <c r="H30" i="8" l="1"/>
  <c r="H26" i="8"/>
  <c r="I31" i="1"/>
  <c r="I34" i="1"/>
  <c r="I35" i="1"/>
  <c r="I41" i="79" l="1"/>
  <c r="G41" i="79"/>
  <c r="A37" i="79"/>
  <c r="A38" i="79" s="1"/>
  <c r="A39" i="79" s="1"/>
  <c r="A40" i="79" s="1"/>
  <c r="A41" i="79" s="1"/>
  <c r="A42" i="79" s="1"/>
  <c r="A43" i="79" s="1"/>
  <c r="A44" i="79" s="1"/>
  <c r="A45" i="79" s="1"/>
  <c r="C319" i="15" l="1"/>
  <c r="I296" i="15"/>
  <c r="I179" i="15"/>
  <c r="I144" i="15"/>
  <c r="H37" i="78" l="1"/>
  <c r="G54" i="78" s="1"/>
  <c r="G67" i="78"/>
  <c r="H14" i="78" s="1"/>
  <c r="G53" i="78"/>
  <c r="I43" i="78"/>
  <c r="I42" i="78"/>
  <c r="G29" i="78"/>
  <c r="G28" i="78"/>
  <c r="G27" i="78"/>
  <c r="I29" i="78" s="1"/>
  <c r="G26" i="78"/>
  <c r="G25" i="78"/>
  <c r="G55" i="78" l="1"/>
  <c r="H12" i="78" s="1"/>
  <c r="H13" i="78" s="1"/>
  <c r="D17" i="78" s="1"/>
  <c r="I45" i="78"/>
  <c r="H11" i="78" s="1"/>
  <c r="H26" i="78"/>
  <c r="I26" i="78" s="1"/>
  <c r="H25" i="78"/>
  <c r="I25" i="78"/>
  <c r="I27" i="78"/>
  <c r="I28" i="78"/>
  <c r="G42" i="57" l="1"/>
  <c r="E82" i="7"/>
  <c r="G19" i="71" l="1"/>
  <c r="G18" i="71"/>
  <c r="G17" i="71"/>
  <c r="G16" i="71"/>
  <c r="G15" i="71"/>
  <c r="G14" i="71"/>
  <c r="G13" i="71"/>
  <c r="G12" i="71"/>
  <c r="G11" i="71"/>
  <c r="G10" i="71"/>
  <c r="G9" i="71"/>
  <c r="E19" i="71"/>
  <c r="E18" i="71"/>
  <c r="D17" i="71"/>
  <c r="D16" i="71"/>
  <c r="D15" i="71"/>
  <c r="D14" i="71"/>
  <c r="D13" i="71"/>
  <c r="D12" i="71"/>
  <c r="D11" i="71"/>
  <c r="D10" i="71"/>
  <c r="D9" i="71"/>
  <c r="E57" i="7" l="1"/>
  <c r="E53" i="7"/>
  <c r="D57" i="7"/>
  <c r="D53" i="7"/>
  <c r="E46" i="7"/>
  <c r="H34" i="11"/>
  <c r="H33" i="11"/>
  <c r="H32" i="11"/>
  <c r="H31" i="11"/>
  <c r="H30" i="11"/>
  <c r="H29" i="11"/>
  <c r="H28" i="11"/>
  <c r="H27" i="11"/>
  <c r="H26" i="11"/>
  <c r="E34" i="11"/>
  <c r="E33" i="11"/>
  <c r="E32" i="11"/>
  <c r="E31" i="11"/>
  <c r="E30" i="11"/>
  <c r="E29" i="11"/>
  <c r="E28" i="11"/>
  <c r="E27" i="11"/>
  <c r="E26" i="11"/>
  <c r="I364" i="49"/>
  <c r="I363" i="49"/>
  <c r="I362" i="49"/>
  <c r="I361" i="49"/>
  <c r="I360" i="49"/>
  <c r="I359" i="49"/>
  <c r="I358" i="49"/>
  <c r="I357" i="49"/>
  <c r="I356" i="49"/>
  <c r="I355" i="49"/>
  <c r="I354" i="49"/>
  <c r="I353" i="49"/>
  <c r="I352" i="49"/>
  <c r="I351" i="49"/>
  <c r="I350" i="49"/>
  <c r="I349" i="49"/>
  <c r="I348" i="49"/>
  <c r="I347" i="49"/>
  <c r="I346" i="49"/>
  <c r="I345" i="49"/>
  <c r="I344" i="49"/>
  <c r="E364" i="49"/>
  <c r="E363" i="49"/>
  <c r="E362" i="49"/>
  <c r="E361" i="49"/>
  <c r="E360" i="49"/>
  <c r="E359" i="49"/>
  <c r="E358" i="49"/>
  <c r="E357" i="49"/>
  <c r="E356" i="49"/>
  <c r="E355" i="49"/>
  <c r="E354" i="49"/>
  <c r="E353" i="49"/>
  <c r="E352" i="49"/>
  <c r="E351" i="49"/>
  <c r="E350" i="49"/>
  <c r="E349" i="49"/>
  <c r="E348" i="49"/>
  <c r="E347" i="49"/>
  <c r="E346" i="49"/>
  <c r="E345" i="49"/>
  <c r="E344" i="49"/>
  <c r="I334" i="49"/>
  <c r="I333" i="49"/>
  <c r="I332" i="49"/>
  <c r="I331" i="49"/>
  <c r="I330" i="49"/>
  <c r="I329" i="49"/>
  <c r="I328" i="49"/>
  <c r="I327" i="49"/>
  <c r="I326" i="49"/>
  <c r="I325" i="49"/>
  <c r="I324" i="49"/>
  <c r="I323" i="49"/>
  <c r="I322" i="49"/>
  <c r="I321" i="49"/>
  <c r="I320" i="49"/>
  <c r="I319" i="49"/>
  <c r="I318" i="49"/>
  <c r="I317" i="49"/>
  <c r="I316" i="49"/>
  <c r="I315" i="49"/>
  <c r="I314" i="49"/>
  <c r="E334" i="49"/>
  <c r="E333" i="49"/>
  <c r="E332" i="49"/>
  <c r="E331" i="49"/>
  <c r="E330" i="49"/>
  <c r="E329" i="49"/>
  <c r="E328" i="49"/>
  <c r="E327" i="49"/>
  <c r="E326" i="49"/>
  <c r="E325" i="49"/>
  <c r="E324" i="49"/>
  <c r="E323" i="49"/>
  <c r="E322" i="49"/>
  <c r="E321" i="49"/>
  <c r="E320" i="49"/>
  <c r="E319" i="49"/>
  <c r="E318" i="49"/>
  <c r="E317" i="49"/>
  <c r="E316" i="49"/>
  <c r="E315" i="49"/>
  <c r="E314" i="49"/>
  <c r="I306" i="49"/>
  <c r="I305" i="49"/>
  <c r="I304" i="49"/>
  <c r="I303" i="49"/>
  <c r="I302" i="49"/>
  <c r="I301" i="49"/>
  <c r="I300" i="49"/>
  <c r="I299" i="49"/>
  <c r="I298" i="49"/>
  <c r="I297" i="49"/>
  <c r="I296" i="49"/>
  <c r="I295" i="49"/>
  <c r="I294" i="49"/>
  <c r="I293" i="49"/>
  <c r="I292" i="49"/>
  <c r="I291" i="49"/>
  <c r="I290" i="49"/>
  <c r="I289" i="49"/>
  <c r="I288" i="49"/>
  <c r="I287" i="49"/>
  <c r="I286" i="49"/>
  <c r="E306" i="49"/>
  <c r="E305" i="49"/>
  <c r="E304" i="49"/>
  <c r="E303" i="49"/>
  <c r="E302" i="49"/>
  <c r="E301" i="49"/>
  <c r="E300" i="49"/>
  <c r="E299" i="49"/>
  <c r="E298" i="49"/>
  <c r="E297" i="49"/>
  <c r="E296" i="49"/>
  <c r="E295" i="49"/>
  <c r="E294" i="49"/>
  <c r="E293" i="49"/>
  <c r="E292" i="49"/>
  <c r="E291" i="49"/>
  <c r="E290" i="49"/>
  <c r="E289" i="49"/>
  <c r="E288" i="49"/>
  <c r="E287" i="49"/>
  <c r="E286" i="49"/>
  <c r="I278" i="49"/>
  <c r="I277" i="49"/>
  <c r="I276" i="49"/>
  <c r="I275" i="49"/>
  <c r="I274" i="49"/>
  <c r="I273" i="49"/>
  <c r="I272" i="49"/>
  <c r="I271" i="49"/>
  <c r="I270" i="49"/>
  <c r="I269" i="49"/>
  <c r="I268" i="49"/>
  <c r="I267" i="49"/>
  <c r="I266" i="49"/>
  <c r="I265" i="49"/>
  <c r="I264" i="49"/>
  <c r="I263" i="49"/>
  <c r="I262" i="49"/>
  <c r="I261" i="49"/>
  <c r="I260" i="49"/>
  <c r="I259" i="49"/>
  <c r="I258" i="49"/>
  <c r="E278" i="49"/>
  <c r="E277" i="49"/>
  <c r="E276" i="49"/>
  <c r="E275" i="49"/>
  <c r="E274" i="49"/>
  <c r="E273" i="49"/>
  <c r="E272" i="49"/>
  <c r="E271" i="49"/>
  <c r="E270" i="49"/>
  <c r="E269" i="49"/>
  <c r="E268" i="49"/>
  <c r="E267" i="49"/>
  <c r="E266" i="49"/>
  <c r="E265" i="49"/>
  <c r="E264" i="49"/>
  <c r="E263" i="49"/>
  <c r="E262" i="49"/>
  <c r="E261" i="49"/>
  <c r="E260" i="49"/>
  <c r="E259" i="49"/>
  <c r="E258" i="49"/>
  <c r="I248" i="49"/>
  <c r="I247" i="49"/>
  <c r="I246" i="49"/>
  <c r="I245" i="49"/>
  <c r="I244" i="49"/>
  <c r="I243" i="49"/>
  <c r="I242" i="49"/>
  <c r="I241" i="49"/>
  <c r="I240" i="49"/>
  <c r="I239" i="49"/>
  <c r="I238" i="49"/>
  <c r="I237" i="49"/>
  <c r="I236" i="49"/>
  <c r="I235" i="49"/>
  <c r="I234" i="49"/>
  <c r="I233" i="49"/>
  <c r="I232" i="49"/>
  <c r="I231" i="49"/>
  <c r="I230" i="49"/>
  <c r="I229" i="49"/>
  <c r="I228" i="49"/>
  <c r="E248" i="49"/>
  <c r="E247" i="49"/>
  <c r="E246" i="49"/>
  <c r="E245" i="49"/>
  <c r="E244" i="49"/>
  <c r="E243" i="49"/>
  <c r="E242" i="49"/>
  <c r="E241" i="49"/>
  <c r="E240" i="49"/>
  <c r="E239" i="49"/>
  <c r="E238" i="49"/>
  <c r="E237" i="49"/>
  <c r="E236" i="49"/>
  <c r="E235" i="49"/>
  <c r="E234" i="49"/>
  <c r="E233" i="49"/>
  <c r="E232" i="49"/>
  <c r="E231" i="49"/>
  <c r="E230" i="49"/>
  <c r="E229" i="49"/>
  <c r="E228" i="49"/>
  <c r="I220" i="49"/>
  <c r="I219" i="49"/>
  <c r="I218" i="49"/>
  <c r="I217" i="49"/>
  <c r="I216" i="49"/>
  <c r="I215" i="49"/>
  <c r="I214" i="49"/>
  <c r="I213" i="49"/>
  <c r="I212" i="49"/>
  <c r="I211" i="49"/>
  <c r="I210" i="49"/>
  <c r="I209" i="49"/>
  <c r="I208" i="49"/>
  <c r="I207" i="49"/>
  <c r="I206" i="49"/>
  <c r="I205" i="49"/>
  <c r="I204" i="49"/>
  <c r="I203" i="49"/>
  <c r="I202" i="49"/>
  <c r="I201" i="49"/>
  <c r="I200" i="49"/>
  <c r="E220" i="49"/>
  <c r="E219" i="49"/>
  <c r="E218" i="49"/>
  <c r="E217" i="49"/>
  <c r="E216" i="49"/>
  <c r="E215" i="49"/>
  <c r="E214" i="49"/>
  <c r="E213" i="49"/>
  <c r="E212" i="49"/>
  <c r="E211" i="49"/>
  <c r="E210" i="49"/>
  <c r="E209" i="49"/>
  <c r="E208" i="49"/>
  <c r="E207" i="49"/>
  <c r="E206" i="49"/>
  <c r="E205" i="49"/>
  <c r="E204" i="49"/>
  <c r="E203" i="49"/>
  <c r="E202" i="49"/>
  <c r="E201" i="49"/>
  <c r="E200" i="49"/>
  <c r="I173" i="49"/>
  <c r="I174" i="49"/>
  <c r="I175" i="49"/>
  <c r="I176" i="49"/>
  <c r="I177" i="49"/>
  <c r="I178" i="49"/>
  <c r="I179" i="49"/>
  <c r="I180" i="49"/>
  <c r="I181" i="49"/>
  <c r="I182" i="49"/>
  <c r="I183" i="49"/>
  <c r="I184" i="49"/>
  <c r="I185" i="49"/>
  <c r="I186" i="49"/>
  <c r="I187" i="49"/>
  <c r="I188" i="49"/>
  <c r="I189" i="49"/>
  <c r="I190" i="49"/>
  <c r="I191" i="49"/>
  <c r="I192" i="49"/>
  <c r="I172" i="49"/>
  <c r="E173" i="49"/>
  <c r="E174" i="49"/>
  <c r="E175" i="49"/>
  <c r="E176" i="49"/>
  <c r="E177" i="49"/>
  <c r="E178" i="49"/>
  <c r="E179" i="49"/>
  <c r="E180" i="49"/>
  <c r="E181" i="49"/>
  <c r="E182" i="49"/>
  <c r="E183" i="49"/>
  <c r="E184" i="49"/>
  <c r="E185" i="49"/>
  <c r="E186" i="49"/>
  <c r="E187" i="49"/>
  <c r="E188" i="49"/>
  <c r="E189" i="49"/>
  <c r="E190" i="49"/>
  <c r="E191" i="49"/>
  <c r="E192" i="49"/>
  <c r="E172" i="49"/>
  <c r="I162" i="49"/>
  <c r="I161" i="49"/>
  <c r="I160" i="49"/>
  <c r="I159" i="49"/>
  <c r="I158" i="49"/>
  <c r="I157" i="49"/>
  <c r="I156" i="49"/>
  <c r="I155" i="49"/>
  <c r="I154" i="49"/>
  <c r="I153" i="49"/>
  <c r="I152" i="49"/>
  <c r="I151" i="49"/>
  <c r="I150" i="49"/>
  <c r="I149" i="49"/>
  <c r="I148" i="49"/>
  <c r="I147" i="49"/>
  <c r="I146" i="49"/>
  <c r="I145" i="49"/>
  <c r="I144" i="49"/>
  <c r="I143" i="49"/>
  <c r="I142" i="49"/>
  <c r="E162" i="49"/>
  <c r="E161" i="49"/>
  <c r="E160" i="49"/>
  <c r="E159" i="49"/>
  <c r="E158" i="49"/>
  <c r="E157" i="49"/>
  <c r="E156" i="49"/>
  <c r="E155" i="49"/>
  <c r="E154" i="49"/>
  <c r="E153" i="49"/>
  <c r="E152" i="49"/>
  <c r="E151" i="49"/>
  <c r="E150" i="49"/>
  <c r="E149" i="49"/>
  <c r="E148" i="49"/>
  <c r="E147" i="49"/>
  <c r="E146" i="49"/>
  <c r="E145" i="49"/>
  <c r="E144" i="49"/>
  <c r="E143" i="49"/>
  <c r="E142" i="49"/>
  <c r="I134" i="49"/>
  <c r="I133" i="49"/>
  <c r="I132" i="49"/>
  <c r="I131" i="49"/>
  <c r="I130" i="49"/>
  <c r="I129" i="49"/>
  <c r="I128" i="49"/>
  <c r="I127" i="49"/>
  <c r="I126" i="49"/>
  <c r="I125" i="49"/>
  <c r="I124" i="49"/>
  <c r="I123" i="49"/>
  <c r="I122" i="49"/>
  <c r="I121" i="49"/>
  <c r="I120" i="49"/>
  <c r="I119" i="49"/>
  <c r="I118" i="49"/>
  <c r="I117" i="49"/>
  <c r="I116" i="49"/>
  <c r="I115" i="49"/>
  <c r="I114" i="49"/>
  <c r="E134" i="49"/>
  <c r="E133" i="49"/>
  <c r="E132" i="49"/>
  <c r="E131" i="49"/>
  <c r="E130" i="49"/>
  <c r="E129" i="49"/>
  <c r="E128" i="49"/>
  <c r="E127" i="49"/>
  <c r="E126" i="49"/>
  <c r="E125" i="49"/>
  <c r="E124" i="49"/>
  <c r="E123" i="49"/>
  <c r="E122" i="49"/>
  <c r="E121" i="49"/>
  <c r="E120" i="49"/>
  <c r="E119" i="49"/>
  <c r="E118" i="49"/>
  <c r="E117" i="49"/>
  <c r="E116" i="49"/>
  <c r="E115" i="49"/>
  <c r="E114" i="49"/>
  <c r="I106" i="49"/>
  <c r="I105" i="49"/>
  <c r="I104" i="49"/>
  <c r="I103" i="49"/>
  <c r="I102" i="49"/>
  <c r="I101" i="49"/>
  <c r="I100" i="49"/>
  <c r="I99" i="49"/>
  <c r="I98" i="49"/>
  <c r="I97" i="49"/>
  <c r="I96" i="49"/>
  <c r="I95" i="49"/>
  <c r="I94" i="49"/>
  <c r="I93" i="49"/>
  <c r="I92" i="49"/>
  <c r="I91" i="49"/>
  <c r="I90" i="49"/>
  <c r="I89" i="49"/>
  <c r="I88" i="49"/>
  <c r="I87" i="49"/>
  <c r="I86" i="49"/>
  <c r="E106" i="49"/>
  <c r="E105" i="49"/>
  <c r="E104" i="49"/>
  <c r="E103" i="49"/>
  <c r="E102" i="49"/>
  <c r="E101" i="49"/>
  <c r="E100" i="49"/>
  <c r="E99" i="49"/>
  <c r="E98" i="49"/>
  <c r="E97" i="49"/>
  <c r="E96" i="49"/>
  <c r="E95" i="49"/>
  <c r="E94" i="49"/>
  <c r="E93" i="49"/>
  <c r="E92" i="49"/>
  <c r="E91" i="49"/>
  <c r="E90" i="49"/>
  <c r="E89" i="49"/>
  <c r="E88" i="49"/>
  <c r="E87" i="49"/>
  <c r="E86" i="49"/>
  <c r="E78" i="7" l="1"/>
  <c r="F124" i="48"/>
  <c r="C111" i="48"/>
  <c r="C110" i="48"/>
  <c r="A102" i="48"/>
  <c r="A98" i="48"/>
  <c r="A94" i="48"/>
  <c r="C122" i="48"/>
  <c r="P49" i="48"/>
  <c r="G70" i="48"/>
  <c r="H70" i="48" s="1"/>
  <c r="H13" i="48" s="1"/>
  <c r="C90" i="48"/>
  <c r="C89" i="48"/>
  <c r="C88" i="48"/>
  <c r="C87" i="48"/>
  <c r="O29" i="48"/>
  <c r="C86" i="48"/>
  <c r="C85" i="48"/>
  <c r="O27" i="48"/>
  <c r="C84" i="48"/>
  <c r="O26" i="48"/>
  <c r="C83" i="48"/>
  <c r="O25" i="48"/>
  <c r="C82" i="48"/>
  <c r="O24" i="48"/>
  <c r="C81" i="48"/>
  <c r="O23" i="48"/>
  <c r="C80" i="48"/>
  <c r="C79" i="48"/>
  <c r="O21" i="48"/>
  <c r="C78" i="48"/>
  <c r="C77" i="48"/>
  <c r="C76" i="48"/>
  <c r="O18" i="48"/>
  <c r="C75" i="48"/>
  <c r="O17" i="48"/>
  <c r="C74" i="48"/>
  <c r="C73" i="48"/>
  <c r="C72" i="48"/>
  <c r="C71" i="48"/>
  <c r="O13" i="48"/>
  <c r="M70" i="48"/>
  <c r="C70" i="48"/>
  <c r="P69" i="48"/>
  <c r="O69" i="48"/>
  <c r="N69" i="48"/>
  <c r="M69" i="48"/>
  <c r="L69" i="48"/>
  <c r="K69" i="48"/>
  <c r="J69" i="48"/>
  <c r="I69" i="48"/>
  <c r="H69" i="48"/>
  <c r="D69" i="48"/>
  <c r="C69" i="48"/>
  <c r="P68" i="48"/>
  <c r="O68" i="48"/>
  <c r="M68" i="48"/>
  <c r="L68" i="48"/>
  <c r="K68" i="48"/>
  <c r="I68" i="48"/>
  <c r="H68" i="48"/>
  <c r="C68" i="48"/>
  <c r="P67" i="48"/>
  <c r="O67" i="48"/>
  <c r="I67" i="48"/>
  <c r="C67" i="48"/>
  <c r="N66" i="48"/>
  <c r="I66" i="48"/>
  <c r="M42" i="48"/>
  <c r="P41" i="48"/>
  <c r="O41" i="48"/>
  <c r="N41" i="48"/>
  <c r="M41" i="48"/>
  <c r="L41" i="48"/>
  <c r="K41" i="48"/>
  <c r="J41" i="48"/>
  <c r="I41" i="48"/>
  <c r="H41" i="48"/>
  <c r="D41" i="48"/>
  <c r="C41" i="48"/>
  <c r="P40" i="48"/>
  <c r="O40" i="48"/>
  <c r="L40" i="48"/>
  <c r="K40" i="48"/>
  <c r="I40" i="48"/>
  <c r="H40" i="48"/>
  <c r="C40" i="48"/>
  <c r="P39" i="48"/>
  <c r="O39" i="48"/>
  <c r="I39" i="48"/>
  <c r="C39" i="48"/>
  <c r="O33" i="48"/>
  <c r="C33" i="48"/>
  <c r="C32" i="48"/>
  <c r="O31" i="48"/>
  <c r="C31" i="48"/>
  <c r="C30" i="48"/>
  <c r="C29" i="48"/>
  <c r="C28" i="48"/>
  <c r="C27" i="48"/>
  <c r="C26" i="48"/>
  <c r="C25" i="48"/>
  <c r="C24" i="48"/>
  <c r="C23" i="48"/>
  <c r="C22" i="48"/>
  <c r="C21" i="48"/>
  <c r="C20" i="48"/>
  <c r="C19" i="48"/>
  <c r="C18" i="48"/>
  <c r="C17" i="48"/>
  <c r="C16" i="48"/>
  <c r="C15" i="48"/>
  <c r="C14" i="48"/>
  <c r="A14" i="48"/>
  <c r="A15" i="48" s="1"/>
  <c r="A16" i="48" s="1"/>
  <c r="A17" i="48" s="1"/>
  <c r="A18" i="48" s="1"/>
  <c r="A19" i="48" s="1"/>
  <c r="A20" i="48" s="1"/>
  <c r="A21" i="48" s="1"/>
  <c r="A22" i="48" s="1"/>
  <c r="A23" i="48" s="1"/>
  <c r="A24" i="48" s="1"/>
  <c r="A25" i="48" s="1"/>
  <c r="A26" i="48" s="1"/>
  <c r="A27" i="48" s="1"/>
  <c r="A28" i="48" s="1"/>
  <c r="A29" i="48" s="1"/>
  <c r="A30" i="48" s="1"/>
  <c r="A31" i="48" s="1"/>
  <c r="A32" i="48" s="1"/>
  <c r="A33" i="48" s="1"/>
  <c r="A34" i="48" s="1"/>
  <c r="A42" i="48" s="1"/>
  <c r="A43" i="48" s="1"/>
  <c r="A44" i="48" s="1"/>
  <c r="A45" i="48" s="1"/>
  <c r="A46" i="48" s="1"/>
  <c r="A47" i="48" s="1"/>
  <c r="A48" i="48" s="1"/>
  <c r="A49" i="48" s="1"/>
  <c r="A50" i="48" s="1"/>
  <c r="A51" i="48" s="1"/>
  <c r="A52" i="48" s="1"/>
  <c r="A53" i="48" s="1"/>
  <c r="A54" i="48" s="1"/>
  <c r="A55" i="48" s="1"/>
  <c r="A56" i="48" s="1"/>
  <c r="A57" i="48" s="1"/>
  <c r="A58" i="48" s="1"/>
  <c r="A59" i="48" s="1"/>
  <c r="A60" i="48" s="1"/>
  <c r="A61" i="48" s="1"/>
  <c r="A62" i="48" s="1"/>
  <c r="A70" i="48" s="1"/>
  <c r="A71" i="48" s="1"/>
  <c r="A72" i="48" s="1"/>
  <c r="A73" i="48" s="1"/>
  <c r="A74" i="48" s="1"/>
  <c r="A75" i="48" s="1"/>
  <c r="A76" i="48" s="1"/>
  <c r="A77" i="48" s="1"/>
  <c r="A78" i="48" s="1"/>
  <c r="A79" i="48" s="1"/>
  <c r="A80" i="48" s="1"/>
  <c r="A81" i="48" s="1"/>
  <c r="A82" i="48" s="1"/>
  <c r="A83" i="48" s="1"/>
  <c r="A84" i="48" s="1"/>
  <c r="A85" i="48" s="1"/>
  <c r="A86" i="48" s="1"/>
  <c r="A87" i="48" s="1"/>
  <c r="A88" i="48" s="1"/>
  <c r="A89" i="48" s="1"/>
  <c r="A90" i="48" s="1"/>
  <c r="L13" i="48"/>
  <c r="C13" i="48"/>
  <c r="G69" i="48"/>
  <c r="E69" i="48"/>
  <c r="G68" i="48"/>
  <c r="F40" i="48"/>
  <c r="E67" i="48"/>
  <c r="F364" i="49"/>
  <c r="F363" i="49"/>
  <c r="F362" i="49"/>
  <c r="F361" i="49"/>
  <c r="F360" i="49"/>
  <c r="F359" i="49"/>
  <c r="F358" i="49"/>
  <c r="F357" i="49"/>
  <c r="F356" i="49"/>
  <c r="F355" i="49"/>
  <c r="F354" i="49"/>
  <c r="F353" i="49"/>
  <c r="F352" i="49"/>
  <c r="F351" i="49"/>
  <c r="F350" i="49"/>
  <c r="F349" i="49"/>
  <c r="F348" i="49"/>
  <c r="F347" i="49"/>
  <c r="F346" i="49"/>
  <c r="F345" i="49"/>
  <c r="F344" i="49"/>
  <c r="J344" i="49" s="1"/>
  <c r="K344" i="49" s="1"/>
  <c r="K342" i="49"/>
  <c r="J342" i="49"/>
  <c r="I342" i="49"/>
  <c r="H342" i="49"/>
  <c r="G342" i="49"/>
  <c r="F342" i="49"/>
  <c r="E342" i="49"/>
  <c r="D342" i="49"/>
  <c r="K341" i="49"/>
  <c r="J341" i="49"/>
  <c r="I341" i="49"/>
  <c r="H341" i="49"/>
  <c r="G341" i="49"/>
  <c r="F341" i="49"/>
  <c r="E341" i="49"/>
  <c r="D341" i="49"/>
  <c r="G340" i="49"/>
  <c r="F334" i="49"/>
  <c r="F333" i="49"/>
  <c r="F332" i="49"/>
  <c r="F331" i="49"/>
  <c r="F330" i="49"/>
  <c r="F329" i="49"/>
  <c r="F328" i="49"/>
  <c r="F327" i="49"/>
  <c r="F326" i="49"/>
  <c r="F325" i="49"/>
  <c r="F324" i="49"/>
  <c r="F323" i="49"/>
  <c r="F322" i="49"/>
  <c r="F321" i="49"/>
  <c r="F320" i="49"/>
  <c r="F319" i="49"/>
  <c r="F318" i="49"/>
  <c r="F317" i="49"/>
  <c r="F316" i="49"/>
  <c r="F315" i="49"/>
  <c r="F314" i="49"/>
  <c r="J313" i="49"/>
  <c r="J314" i="49" s="1"/>
  <c r="K312" i="49"/>
  <c r="J312" i="49"/>
  <c r="I312" i="49"/>
  <c r="H312" i="49"/>
  <c r="G312" i="49"/>
  <c r="F312" i="49"/>
  <c r="E312" i="49"/>
  <c r="D312" i="49"/>
  <c r="K311" i="49"/>
  <c r="J311" i="49"/>
  <c r="I311" i="49"/>
  <c r="H311" i="49"/>
  <c r="G311" i="49"/>
  <c r="F311" i="49"/>
  <c r="E311" i="49"/>
  <c r="D311" i="49"/>
  <c r="G310" i="49"/>
  <c r="F306" i="49"/>
  <c r="F305" i="49"/>
  <c r="F304" i="49"/>
  <c r="F303" i="49"/>
  <c r="F302" i="49"/>
  <c r="F301" i="49"/>
  <c r="F300" i="49"/>
  <c r="F299" i="49"/>
  <c r="F298" i="49"/>
  <c r="F297" i="49"/>
  <c r="F296" i="49"/>
  <c r="F295" i="49"/>
  <c r="F294" i="49"/>
  <c r="F293" i="49"/>
  <c r="F292" i="49"/>
  <c r="F291" i="49"/>
  <c r="F290" i="49"/>
  <c r="F289" i="49"/>
  <c r="F288" i="49"/>
  <c r="F287" i="49"/>
  <c r="F286" i="49"/>
  <c r="J285" i="49"/>
  <c r="K284" i="49"/>
  <c r="J284" i="49"/>
  <c r="I284" i="49"/>
  <c r="H284" i="49"/>
  <c r="G284" i="49"/>
  <c r="F284" i="49"/>
  <c r="E284" i="49"/>
  <c r="D284" i="49"/>
  <c r="K283" i="49"/>
  <c r="J283" i="49"/>
  <c r="I283" i="49"/>
  <c r="H283" i="49"/>
  <c r="G283" i="49"/>
  <c r="F283" i="49"/>
  <c r="E283" i="49"/>
  <c r="D283" i="49"/>
  <c r="G282" i="49"/>
  <c r="F278" i="49"/>
  <c r="F277" i="49"/>
  <c r="F276" i="49"/>
  <c r="F275" i="49"/>
  <c r="F274" i="49"/>
  <c r="I70" i="49"/>
  <c r="G57" i="48" s="1"/>
  <c r="F273" i="49"/>
  <c r="F272" i="49"/>
  <c r="F271" i="49"/>
  <c r="F270" i="49"/>
  <c r="F269" i="49"/>
  <c r="F268" i="49"/>
  <c r="F267" i="49"/>
  <c r="F266" i="49"/>
  <c r="F265" i="49"/>
  <c r="F264" i="49"/>
  <c r="F263" i="49"/>
  <c r="F262" i="49"/>
  <c r="F261" i="49"/>
  <c r="F260" i="49"/>
  <c r="F259" i="49"/>
  <c r="F258" i="49"/>
  <c r="J257" i="49"/>
  <c r="J258" i="49" s="1"/>
  <c r="K256" i="49"/>
  <c r="J256" i="49"/>
  <c r="I256" i="49"/>
  <c r="H256" i="49"/>
  <c r="G256" i="49"/>
  <c r="F256" i="49"/>
  <c r="E256" i="49"/>
  <c r="D256" i="49"/>
  <c r="K255" i="49"/>
  <c r="J255" i="49"/>
  <c r="I255" i="49"/>
  <c r="H255" i="49"/>
  <c r="G255" i="49"/>
  <c r="F255" i="49"/>
  <c r="E255" i="49"/>
  <c r="D255" i="49"/>
  <c r="G254" i="49"/>
  <c r="E75" i="49"/>
  <c r="F247" i="49"/>
  <c r="F246" i="49"/>
  <c r="F245" i="49"/>
  <c r="F244" i="49"/>
  <c r="F243" i="49"/>
  <c r="F242" i="49"/>
  <c r="F241" i="49"/>
  <c r="F240" i="49"/>
  <c r="F239" i="49"/>
  <c r="F238" i="49"/>
  <c r="F237" i="49"/>
  <c r="F236" i="49"/>
  <c r="F235" i="49"/>
  <c r="F234" i="49"/>
  <c r="F233" i="49"/>
  <c r="F232" i="49"/>
  <c r="E58" i="49"/>
  <c r="F230" i="49"/>
  <c r="F229" i="49"/>
  <c r="F228" i="49"/>
  <c r="J227" i="49"/>
  <c r="K226" i="49"/>
  <c r="J226" i="49"/>
  <c r="I226" i="49"/>
  <c r="H226" i="49"/>
  <c r="F226" i="49"/>
  <c r="E226" i="49"/>
  <c r="D226" i="49"/>
  <c r="K225" i="49"/>
  <c r="J225" i="49"/>
  <c r="I225" i="49"/>
  <c r="H225" i="49"/>
  <c r="F225" i="49"/>
  <c r="E225" i="49"/>
  <c r="D225" i="49"/>
  <c r="F220" i="49"/>
  <c r="F219" i="49"/>
  <c r="F218" i="49"/>
  <c r="F217" i="49"/>
  <c r="F216" i="49"/>
  <c r="F215" i="49"/>
  <c r="F214" i="49"/>
  <c r="F213" i="49"/>
  <c r="F212" i="49"/>
  <c r="F211" i="49"/>
  <c r="F210" i="49"/>
  <c r="F209" i="49"/>
  <c r="F208" i="49"/>
  <c r="F207" i="49"/>
  <c r="F206" i="49"/>
  <c r="F205" i="49"/>
  <c r="F204" i="49"/>
  <c r="F203" i="49"/>
  <c r="F202" i="49"/>
  <c r="F201" i="49"/>
  <c r="F200" i="49"/>
  <c r="J199" i="49"/>
  <c r="J200" i="49" s="1"/>
  <c r="K198" i="49"/>
  <c r="J198" i="49"/>
  <c r="I198" i="49"/>
  <c r="H198" i="49"/>
  <c r="G198" i="49"/>
  <c r="F198" i="49"/>
  <c r="E198" i="49"/>
  <c r="D198" i="49"/>
  <c r="K197" i="49"/>
  <c r="J197" i="49"/>
  <c r="I197" i="49"/>
  <c r="H197" i="49"/>
  <c r="G197" i="49"/>
  <c r="F197" i="49"/>
  <c r="E197" i="49"/>
  <c r="D197" i="49"/>
  <c r="G196" i="49"/>
  <c r="F192" i="49"/>
  <c r="F191" i="49"/>
  <c r="F190" i="49"/>
  <c r="F189" i="49"/>
  <c r="F188" i="49"/>
  <c r="F187" i="49"/>
  <c r="F186" i="49"/>
  <c r="F185" i="49"/>
  <c r="F184" i="49"/>
  <c r="E66" i="49"/>
  <c r="F182" i="49"/>
  <c r="F181" i="49"/>
  <c r="F180" i="49"/>
  <c r="I62" i="49"/>
  <c r="G49" i="48" s="1"/>
  <c r="F179" i="49"/>
  <c r="F178" i="49"/>
  <c r="F177" i="49"/>
  <c r="F176" i="49"/>
  <c r="F175" i="49"/>
  <c r="F174" i="49"/>
  <c r="F173" i="49"/>
  <c r="F172" i="49"/>
  <c r="J171" i="49"/>
  <c r="K170" i="49"/>
  <c r="J170" i="49"/>
  <c r="I170" i="49"/>
  <c r="H170" i="49"/>
  <c r="G170" i="49"/>
  <c r="F170" i="49"/>
  <c r="E170" i="49"/>
  <c r="D170" i="49"/>
  <c r="K169" i="49"/>
  <c r="J169" i="49"/>
  <c r="I169" i="49"/>
  <c r="H169" i="49"/>
  <c r="G169" i="49"/>
  <c r="F169" i="49"/>
  <c r="E169" i="49"/>
  <c r="D169" i="49"/>
  <c r="G168" i="49"/>
  <c r="F162" i="49"/>
  <c r="F161" i="49"/>
  <c r="F160" i="49"/>
  <c r="F159" i="49"/>
  <c r="F158" i="49"/>
  <c r="F157" i="49"/>
  <c r="F156" i="49"/>
  <c r="F155" i="49"/>
  <c r="F154" i="49"/>
  <c r="F153" i="49"/>
  <c r="F152" i="49"/>
  <c r="F151" i="49"/>
  <c r="F150" i="49"/>
  <c r="F149" i="49"/>
  <c r="F148" i="49"/>
  <c r="F147" i="49"/>
  <c r="F146" i="49"/>
  <c r="F145" i="49"/>
  <c r="F144" i="49"/>
  <c r="F143" i="49"/>
  <c r="F142" i="49"/>
  <c r="J141" i="49"/>
  <c r="K140" i="49"/>
  <c r="J140" i="49"/>
  <c r="I140" i="49"/>
  <c r="H140" i="49"/>
  <c r="G140" i="49"/>
  <c r="F140" i="49"/>
  <c r="E140" i="49"/>
  <c r="D140" i="49"/>
  <c r="K139" i="49"/>
  <c r="J139" i="49"/>
  <c r="I139" i="49"/>
  <c r="H139" i="49"/>
  <c r="G139" i="49"/>
  <c r="F139" i="49"/>
  <c r="E139" i="49"/>
  <c r="D139" i="49"/>
  <c r="G138" i="49"/>
  <c r="F134" i="49"/>
  <c r="F133" i="49"/>
  <c r="F132" i="49"/>
  <c r="F131" i="49"/>
  <c r="F130" i="49"/>
  <c r="F129" i="49"/>
  <c r="F128" i="49"/>
  <c r="I68" i="49"/>
  <c r="G55" i="48" s="1"/>
  <c r="F127" i="49"/>
  <c r="F126" i="49"/>
  <c r="F125" i="49"/>
  <c r="F124" i="49"/>
  <c r="I64" i="49"/>
  <c r="G51" i="48" s="1"/>
  <c r="F123" i="49"/>
  <c r="F122" i="49"/>
  <c r="F121" i="49"/>
  <c r="F120" i="49"/>
  <c r="F119" i="49"/>
  <c r="F118" i="49"/>
  <c r="F117" i="49"/>
  <c r="F116" i="49"/>
  <c r="F115" i="49"/>
  <c r="F114" i="49"/>
  <c r="J113" i="49"/>
  <c r="K112" i="49"/>
  <c r="J112" i="49"/>
  <c r="I112" i="49"/>
  <c r="H112" i="49"/>
  <c r="G112" i="49"/>
  <c r="F112" i="49"/>
  <c r="E112" i="49"/>
  <c r="D112" i="49"/>
  <c r="K111" i="49"/>
  <c r="J111" i="49"/>
  <c r="I111" i="49"/>
  <c r="H111" i="49"/>
  <c r="G111" i="49"/>
  <c r="F111" i="49"/>
  <c r="E111" i="49"/>
  <c r="D111" i="49"/>
  <c r="G110" i="49"/>
  <c r="F106" i="49"/>
  <c r="F105" i="49"/>
  <c r="I73" i="49"/>
  <c r="G60" i="48" s="1"/>
  <c r="F103" i="49"/>
  <c r="F102" i="49"/>
  <c r="F101" i="49"/>
  <c r="F100" i="49"/>
  <c r="F99" i="49"/>
  <c r="F98" i="49"/>
  <c r="F97" i="49"/>
  <c r="I65" i="49"/>
  <c r="G52" i="48" s="1"/>
  <c r="E65" i="49"/>
  <c r="F95" i="49"/>
  <c r="I63" i="49"/>
  <c r="G50" i="48" s="1"/>
  <c r="F94" i="49"/>
  <c r="F93" i="49"/>
  <c r="F92" i="49"/>
  <c r="F91" i="49"/>
  <c r="F90" i="49"/>
  <c r="F89" i="49"/>
  <c r="I57" i="49"/>
  <c r="G44" i="48" s="1"/>
  <c r="F88" i="49"/>
  <c r="F87" i="49"/>
  <c r="F86" i="49"/>
  <c r="J85" i="49"/>
  <c r="K84" i="49"/>
  <c r="J84" i="49"/>
  <c r="I84" i="49"/>
  <c r="H84" i="49"/>
  <c r="G84" i="49"/>
  <c r="F84" i="49"/>
  <c r="E84" i="49"/>
  <c r="D84" i="49"/>
  <c r="K83" i="49"/>
  <c r="J83" i="49"/>
  <c r="I83" i="49"/>
  <c r="H83" i="49"/>
  <c r="G83" i="49"/>
  <c r="F83" i="49"/>
  <c r="E83" i="49"/>
  <c r="D83" i="49"/>
  <c r="G82" i="49"/>
  <c r="H75" i="49"/>
  <c r="F62" i="48" s="1"/>
  <c r="F33" i="48" s="1"/>
  <c r="G75" i="49"/>
  <c r="E62" i="48" s="1"/>
  <c r="E33" i="48" s="1"/>
  <c r="D75" i="49"/>
  <c r="I74" i="49"/>
  <c r="G61" i="48" s="1"/>
  <c r="H74" i="49"/>
  <c r="F61" i="48" s="1"/>
  <c r="F32" i="48" s="1"/>
  <c r="G74" i="49"/>
  <c r="E61" i="48" s="1"/>
  <c r="E32" i="48" s="1"/>
  <c r="E74" i="49"/>
  <c r="D74" i="49"/>
  <c r="H73" i="49"/>
  <c r="F60" i="48" s="1"/>
  <c r="F31" i="48" s="1"/>
  <c r="G73" i="49"/>
  <c r="E60" i="48" s="1"/>
  <c r="E31" i="48" s="1"/>
  <c r="D73" i="49"/>
  <c r="I72" i="49"/>
  <c r="G59" i="48" s="1"/>
  <c r="H72" i="49"/>
  <c r="F59" i="48" s="1"/>
  <c r="F30" i="48" s="1"/>
  <c r="G72" i="49"/>
  <c r="E59" i="48" s="1"/>
  <c r="E30" i="48" s="1"/>
  <c r="D72" i="49"/>
  <c r="H71" i="49"/>
  <c r="F58" i="48" s="1"/>
  <c r="F29" i="48" s="1"/>
  <c r="G71" i="49"/>
  <c r="E58" i="48" s="1"/>
  <c r="E29" i="48" s="1"/>
  <c r="E71" i="49"/>
  <c r="D71" i="49"/>
  <c r="H70" i="49"/>
  <c r="F57" i="48" s="1"/>
  <c r="F28" i="48" s="1"/>
  <c r="G70" i="49"/>
  <c r="E57" i="48" s="1"/>
  <c r="E28" i="48" s="1"/>
  <c r="E70" i="49"/>
  <c r="D70" i="49"/>
  <c r="I69" i="49"/>
  <c r="G56" i="48" s="1"/>
  <c r="H69" i="49"/>
  <c r="F56" i="48" s="1"/>
  <c r="F27" i="48" s="1"/>
  <c r="G69" i="49"/>
  <c r="E56" i="48" s="1"/>
  <c r="E27" i="48" s="1"/>
  <c r="D69" i="49"/>
  <c r="H68" i="49"/>
  <c r="F55" i="48" s="1"/>
  <c r="F26" i="48" s="1"/>
  <c r="G68" i="49"/>
  <c r="E55" i="48" s="1"/>
  <c r="E26" i="48" s="1"/>
  <c r="E68" i="49"/>
  <c r="D68" i="49"/>
  <c r="H67" i="49"/>
  <c r="F54" i="48" s="1"/>
  <c r="F25" i="48" s="1"/>
  <c r="G67" i="49"/>
  <c r="E54" i="48" s="1"/>
  <c r="E25" i="48" s="1"/>
  <c r="D67" i="49"/>
  <c r="I66" i="49"/>
  <c r="G53" i="48" s="1"/>
  <c r="H66" i="49"/>
  <c r="F53" i="48" s="1"/>
  <c r="F24" i="48" s="1"/>
  <c r="G66" i="49"/>
  <c r="E53" i="48" s="1"/>
  <c r="E24" i="48" s="1"/>
  <c r="D66" i="49"/>
  <c r="H65" i="49"/>
  <c r="F52" i="48" s="1"/>
  <c r="F23" i="48" s="1"/>
  <c r="G65" i="49"/>
  <c r="E52" i="48" s="1"/>
  <c r="E23" i="48" s="1"/>
  <c r="D65" i="49"/>
  <c r="H64" i="49"/>
  <c r="F51" i="48" s="1"/>
  <c r="F22" i="48" s="1"/>
  <c r="G64" i="49"/>
  <c r="E51" i="48" s="1"/>
  <c r="E22" i="48" s="1"/>
  <c r="E64" i="49"/>
  <c r="D64" i="49"/>
  <c r="H63" i="49"/>
  <c r="F50" i="48" s="1"/>
  <c r="F21" i="48" s="1"/>
  <c r="G63" i="49"/>
  <c r="E50" i="48" s="1"/>
  <c r="E21" i="48" s="1"/>
  <c r="E63" i="49"/>
  <c r="D63" i="49"/>
  <c r="H62" i="49"/>
  <c r="F49" i="48" s="1"/>
  <c r="F20" i="48" s="1"/>
  <c r="G62" i="49"/>
  <c r="E49" i="48" s="1"/>
  <c r="E20" i="48" s="1"/>
  <c r="E62" i="49"/>
  <c r="D62" i="49"/>
  <c r="I61" i="49"/>
  <c r="G48" i="48" s="1"/>
  <c r="H61" i="49"/>
  <c r="F48" i="48" s="1"/>
  <c r="F19" i="48" s="1"/>
  <c r="G61" i="49"/>
  <c r="E48" i="48" s="1"/>
  <c r="E19" i="48" s="1"/>
  <c r="D61" i="49"/>
  <c r="I60" i="49"/>
  <c r="G47" i="48" s="1"/>
  <c r="H60" i="49"/>
  <c r="F47" i="48" s="1"/>
  <c r="F18" i="48" s="1"/>
  <c r="G60" i="49"/>
  <c r="E47" i="48" s="1"/>
  <c r="E18" i="48" s="1"/>
  <c r="D60" i="49"/>
  <c r="H59" i="49"/>
  <c r="F46" i="48" s="1"/>
  <c r="F17" i="48" s="1"/>
  <c r="G59" i="49"/>
  <c r="E46" i="48" s="1"/>
  <c r="E17" i="48" s="1"/>
  <c r="D59" i="49"/>
  <c r="I58" i="49"/>
  <c r="G45" i="48" s="1"/>
  <c r="H58" i="49"/>
  <c r="F45" i="48" s="1"/>
  <c r="F16" i="48" s="1"/>
  <c r="G58" i="49"/>
  <c r="E45" i="48" s="1"/>
  <c r="E16" i="48" s="1"/>
  <c r="D58" i="49"/>
  <c r="H57" i="49"/>
  <c r="F44" i="48" s="1"/>
  <c r="F15" i="48" s="1"/>
  <c r="G57" i="49"/>
  <c r="E44" i="48" s="1"/>
  <c r="E15" i="48" s="1"/>
  <c r="D57" i="49"/>
  <c r="I56" i="49"/>
  <c r="G43" i="48" s="1"/>
  <c r="H56" i="49"/>
  <c r="F43" i="48" s="1"/>
  <c r="F14" i="48" s="1"/>
  <c r="G56" i="49"/>
  <c r="E43" i="48" s="1"/>
  <c r="E14" i="48" s="1"/>
  <c r="E56" i="49"/>
  <c r="D56" i="49"/>
  <c r="H55" i="49"/>
  <c r="F42" i="48" s="1"/>
  <c r="F13" i="48" s="1"/>
  <c r="G55" i="49"/>
  <c r="E42" i="48" s="1"/>
  <c r="D55" i="49"/>
  <c r="G46" i="49"/>
  <c r="F46" i="49"/>
  <c r="E46" i="49"/>
  <c r="D46" i="49"/>
  <c r="I26" i="49"/>
  <c r="H26" i="49"/>
  <c r="G26" i="49"/>
  <c r="F26" i="49"/>
  <c r="E26" i="49"/>
  <c r="D25" i="49"/>
  <c r="D24" i="49"/>
  <c r="D23" i="49"/>
  <c r="D22" i="49"/>
  <c r="D21" i="49"/>
  <c r="D20" i="49"/>
  <c r="D19" i="49"/>
  <c r="D18" i="49"/>
  <c r="D17" i="49"/>
  <c r="D16" i="49"/>
  <c r="D15" i="49"/>
  <c r="D14" i="49"/>
  <c r="A14" i="49"/>
  <c r="A15" i="49" s="1"/>
  <c r="A16" i="49" s="1"/>
  <c r="A17" i="49" s="1"/>
  <c r="A18" i="49" s="1"/>
  <c r="A19" i="49" s="1"/>
  <c r="A20" i="49" s="1"/>
  <c r="A21" i="49" s="1"/>
  <c r="A22" i="49" s="1"/>
  <c r="A23" i="49" s="1"/>
  <c r="A24" i="49" s="1"/>
  <c r="A25" i="49" s="1"/>
  <c r="A26" i="49" s="1"/>
  <c r="A33" i="49" s="1"/>
  <c r="A34" i="49" s="1"/>
  <c r="A35" i="49" s="1"/>
  <c r="A36" i="49" s="1"/>
  <c r="A37" i="49" s="1"/>
  <c r="A38" i="49" s="1"/>
  <c r="A39" i="49" s="1"/>
  <c r="A40" i="49" s="1"/>
  <c r="A41" i="49" s="1"/>
  <c r="A42" i="49" s="1"/>
  <c r="A43" i="49" s="1"/>
  <c r="A44" i="49" s="1"/>
  <c r="A45" i="49" s="1"/>
  <c r="A46" i="49" s="1"/>
  <c r="A54" i="49" s="1"/>
  <c r="A55" i="49" s="1"/>
  <c r="A56" i="49" s="1"/>
  <c r="A57" i="49" s="1"/>
  <c r="A58" i="49" s="1"/>
  <c r="A59" i="49" s="1"/>
  <c r="A60" i="49" s="1"/>
  <c r="A61" i="49" s="1"/>
  <c r="A62" i="49" s="1"/>
  <c r="A63" i="49" s="1"/>
  <c r="A64" i="49" s="1"/>
  <c r="A65" i="49" s="1"/>
  <c r="A66" i="49" s="1"/>
  <c r="A67" i="49" s="1"/>
  <c r="A68" i="49" s="1"/>
  <c r="A69" i="49" s="1"/>
  <c r="A70" i="49" s="1"/>
  <c r="A71" i="49" s="1"/>
  <c r="A72" i="49" s="1"/>
  <c r="A73" i="49" s="1"/>
  <c r="A74" i="49" s="1"/>
  <c r="A75" i="49" s="1"/>
  <c r="A76" i="49" s="1"/>
  <c r="A85" i="49" s="1"/>
  <c r="A86" i="49" s="1"/>
  <c r="A87" i="49" s="1"/>
  <c r="A88" i="49" s="1"/>
  <c r="A89" i="49" s="1"/>
  <c r="A90" i="49" s="1"/>
  <c r="A91" i="49" s="1"/>
  <c r="A92" i="49" s="1"/>
  <c r="A93" i="49" s="1"/>
  <c r="A94" i="49" s="1"/>
  <c r="A95" i="49" s="1"/>
  <c r="A96" i="49" s="1"/>
  <c r="A97" i="49" s="1"/>
  <c r="A98" i="49" s="1"/>
  <c r="A99" i="49" s="1"/>
  <c r="A100" i="49" s="1"/>
  <c r="A101" i="49" s="1"/>
  <c r="A102" i="49" s="1"/>
  <c r="A103" i="49" s="1"/>
  <c r="A104" i="49" s="1"/>
  <c r="A105" i="49" s="1"/>
  <c r="A106" i="49" s="1"/>
  <c r="A107" i="49" s="1"/>
  <c r="A113" i="49" s="1"/>
  <c r="A114" i="49" s="1"/>
  <c r="A115" i="49" s="1"/>
  <c r="A116" i="49" s="1"/>
  <c r="A117" i="49" s="1"/>
  <c r="A118" i="49" s="1"/>
  <c r="A119" i="49" s="1"/>
  <c r="A120" i="49" s="1"/>
  <c r="A121" i="49" s="1"/>
  <c r="A122" i="49" s="1"/>
  <c r="A123" i="49" s="1"/>
  <c r="A124" i="49" s="1"/>
  <c r="A125" i="49" s="1"/>
  <c r="A126" i="49" s="1"/>
  <c r="A127" i="49" s="1"/>
  <c r="A128" i="49" s="1"/>
  <c r="A129" i="49" s="1"/>
  <c r="A130" i="49" s="1"/>
  <c r="A131" i="49" s="1"/>
  <c r="A132" i="49" s="1"/>
  <c r="A133" i="49" s="1"/>
  <c r="A134" i="49" s="1"/>
  <c r="A135" i="49" s="1"/>
  <c r="A141" i="49" s="1"/>
  <c r="A142" i="49" s="1"/>
  <c r="A143" i="49" s="1"/>
  <c r="A144" i="49" s="1"/>
  <c r="A145" i="49" s="1"/>
  <c r="A146" i="49" s="1"/>
  <c r="A147" i="49" s="1"/>
  <c r="A148" i="49" s="1"/>
  <c r="A149" i="49" s="1"/>
  <c r="A150" i="49" s="1"/>
  <c r="A151" i="49" s="1"/>
  <c r="A152" i="49" s="1"/>
  <c r="A153" i="49" s="1"/>
  <c r="A154" i="49" s="1"/>
  <c r="A155" i="49" s="1"/>
  <c r="A156" i="49" s="1"/>
  <c r="A157" i="49" s="1"/>
  <c r="A158" i="49" s="1"/>
  <c r="A159" i="49" s="1"/>
  <c r="A160" i="49" s="1"/>
  <c r="A161" i="49" s="1"/>
  <c r="A162" i="49" s="1"/>
  <c r="A163" i="49" s="1"/>
  <c r="A171" i="49" s="1"/>
  <c r="A172" i="49" s="1"/>
  <c r="A173" i="49" s="1"/>
  <c r="A174" i="49" s="1"/>
  <c r="A175" i="49" s="1"/>
  <c r="A176" i="49" s="1"/>
  <c r="A177" i="49" s="1"/>
  <c r="A178" i="49" s="1"/>
  <c r="A179" i="49" s="1"/>
  <c r="A180" i="49" s="1"/>
  <c r="A181" i="49" s="1"/>
  <c r="A182" i="49" s="1"/>
  <c r="A183" i="49" s="1"/>
  <c r="A184" i="49" s="1"/>
  <c r="A185" i="49" s="1"/>
  <c r="A186" i="49" s="1"/>
  <c r="A187" i="49" s="1"/>
  <c r="A188" i="49" s="1"/>
  <c r="A189" i="49" s="1"/>
  <c r="A190" i="49" s="1"/>
  <c r="A191" i="49" s="1"/>
  <c r="A192" i="49" s="1"/>
  <c r="A193" i="49" s="1"/>
  <c r="A199" i="49" s="1"/>
  <c r="A200" i="49" s="1"/>
  <c r="A201" i="49" s="1"/>
  <c r="A202" i="49" s="1"/>
  <c r="A203" i="49" s="1"/>
  <c r="A204" i="49" s="1"/>
  <c r="A205" i="49" s="1"/>
  <c r="A206" i="49" s="1"/>
  <c r="A207" i="49" s="1"/>
  <c r="A208" i="49" s="1"/>
  <c r="A209" i="49" s="1"/>
  <c r="A210" i="49" s="1"/>
  <c r="A211" i="49" s="1"/>
  <c r="A212" i="49" s="1"/>
  <c r="A213" i="49" s="1"/>
  <c r="A214" i="49" s="1"/>
  <c r="A215" i="49" s="1"/>
  <c r="A216" i="49" s="1"/>
  <c r="A217" i="49" s="1"/>
  <c r="A218" i="49" s="1"/>
  <c r="A219" i="49" s="1"/>
  <c r="A220" i="49" s="1"/>
  <c r="A221" i="49" s="1"/>
  <c r="A227" i="49" s="1"/>
  <c r="A228" i="49" s="1"/>
  <c r="A229" i="49" s="1"/>
  <c r="A230" i="49" s="1"/>
  <c r="A231" i="49" s="1"/>
  <c r="A232" i="49" s="1"/>
  <c r="A233" i="49" s="1"/>
  <c r="A234" i="49" s="1"/>
  <c r="A235" i="49" s="1"/>
  <c r="A236" i="49" s="1"/>
  <c r="A237" i="49" s="1"/>
  <c r="A238" i="49" s="1"/>
  <c r="A239" i="49" s="1"/>
  <c r="A240" i="49" s="1"/>
  <c r="A241" i="49" s="1"/>
  <c r="A242" i="49" s="1"/>
  <c r="A243" i="49" s="1"/>
  <c r="A244" i="49" s="1"/>
  <c r="A245" i="49" s="1"/>
  <c r="A246" i="49" s="1"/>
  <c r="A247" i="49" s="1"/>
  <c r="A248" i="49" s="1"/>
  <c r="A249" i="49" s="1"/>
  <c r="A257" i="49" s="1"/>
  <c r="A258" i="49" s="1"/>
  <c r="A259" i="49" s="1"/>
  <c r="A260" i="49" s="1"/>
  <c r="A261" i="49" s="1"/>
  <c r="A262" i="49" s="1"/>
  <c r="A263" i="49" s="1"/>
  <c r="A264" i="49" s="1"/>
  <c r="A265" i="49" s="1"/>
  <c r="A266" i="49" s="1"/>
  <c r="A267" i="49" s="1"/>
  <c r="A268" i="49" s="1"/>
  <c r="A269" i="49" s="1"/>
  <c r="A270" i="49" s="1"/>
  <c r="A271" i="49" s="1"/>
  <c r="A272" i="49" s="1"/>
  <c r="A273" i="49" s="1"/>
  <c r="A274" i="49" s="1"/>
  <c r="A275" i="49" s="1"/>
  <c r="A276" i="49" s="1"/>
  <c r="A277" i="49" s="1"/>
  <c r="A278" i="49" s="1"/>
  <c r="A279" i="49" s="1"/>
  <c r="A285" i="49" s="1"/>
  <c r="A286" i="49" s="1"/>
  <c r="A287" i="49" s="1"/>
  <c r="A288" i="49" s="1"/>
  <c r="A289" i="49" s="1"/>
  <c r="A290" i="49" s="1"/>
  <c r="A291" i="49" s="1"/>
  <c r="A292" i="49" s="1"/>
  <c r="A293" i="49" s="1"/>
  <c r="A294" i="49" s="1"/>
  <c r="A295" i="49" s="1"/>
  <c r="A296" i="49" s="1"/>
  <c r="A297" i="49" s="1"/>
  <c r="A298" i="49" s="1"/>
  <c r="A299" i="49" s="1"/>
  <c r="A300" i="49" s="1"/>
  <c r="A301" i="49" s="1"/>
  <c r="A302" i="49" s="1"/>
  <c r="A303" i="49" s="1"/>
  <c r="A304" i="49" s="1"/>
  <c r="A305" i="49" s="1"/>
  <c r="A306" i="49" s="1"/>
  <c r="A307" i="49" s="1"/>
  <c r="A313" i="49" s="1"/>
  <c r="A314" i="49" s="1"/>
  <c r="A315" i="49" s="1"/>
  <c r="A316" i="49" s="1"/>
  <c r="A317" i="49" s="1"/>
  <c r="A318" i="49" s="1"/>
  <c r="A319" i="49" s="1"/>
  <c r="A320" i="49" s="1"/>
  <c r="A321" i="49" s="1"/>
  <c r="A322" i="49" s="1"/>
  <c r="A323" i="49" s="1"/>
  <c r="A324" i="49" s="1"/>
  <c r="A325" i="49" s="1"/>
  <c r="A326" i="49" s="1"/>
  <c r="A327" i="49" s="1"/>
  <c r="A328" i="49" s="1"/>
  <c r="A329" i="49" s="1"/>
  <c r="A330" i="49" s="1"/>
  <c r="A331" i="49" s="1"/>
  <c r="A332" i="49" s="1"/>
  <c r="A333" i="49" s="1"/>
  <c r="A334" i="49" s="1"/>
  <c r="A335" i="49" s="1"/>
  <c r="A343" i="49" s="1"/>
  <c r="A344" i="49" s="1"/>
  <c r="A345" i="49" s="1"/>
  <c r="A346" i="49" s="1"/>
  <c r="A347" i="49" s="1"/>
  <c r="A348" i="49" s="1"/>
  <c r="A349" i="49" s="1"/>
  <c r="A350" i="49" s="1"/>
  <c r="A351" i="49" s="1"/>
  <c r="A352" i="49" s="1"/>
  <c r="A353" i="49" s="1"/>
  <c r="A354" i="49" s="1"/>
  <c r="A355" i="49" s="1"/>
  <c r="A356" i="49" s="1"/>
  <c r="A357" i="49" s="1"/>
  <c r="A358" i="49" s="1"/>
  <c r="A359" i="49" s="1"/>
  <c r="A360" i="49" s="1"/>
  <c r="A361" i="49" s="1"/>
  <c r="A362" i="49" s="1"/>
  <c r="A363" i="49" s="1"/>
  <c r="A364" i="49" s="1"/>
  <c r="A365" i="49" s="1"/>
  <c r="D13" i="49"/>
  <c r="J172" i="49" l="1"/>
  <c r="J173" i="49" s="1"/>
  <c r="E14" i="71"/>
  <c r="F31" i="11"/>
  <c r="E16" i="71"/>
  <c r="F33" i="11"/>
  <c r="E15" i="71"/>
  <c r="F32" i="11"/>
  <c r="J286" i="49"/>
  <c r="K286" i="49" s="1"/>
  <c r="E17" i="71"/>
  <c r="F34" i="11"/>
  <c r="J54" i="49"/>
  <c r="D46" i="7"/>
  <c r="J114" i="49"/>
  <c r="K114" i="49" s="1"/>
  <c r="D26" i="49"/>
  <c r="E9" i="71"/>
  <c r="F26" i="11"/>
  <c r="E13" i="71"/>
  <c r="F30" i="11"/>
  <c r="E11" i="71"/>
  <c r="F28" i="11"/>
  <c r="E12" i="71"/>
  <c r="F29" i="11"/>
  <c r="E10" i="71"/>
  <c r="F27" i="11"/>
  <c r="J86" i="49"/>
  <c r="J345" i="49"/>
  <c r="K345" i="49" s="1"/>
  <c r="F62" i="49"/>
  <c r="J228" i="49"/>
  <c r="J229" i="49" s="1"/>
  <c r="F63" i="49"/>
  <c r="F67" i="49"/>
  <c r="F60" i="49"/>
  <c r="F69" i="49"/>
  <c r="F61" i="49"/>
  <c r="F68" i="49"/>
  <c r="F64" i="49"/>
  <c r="F59" i="49"/>
  <c r="F71" i="49"/>
  <c r="F70" i="49"/>
  <c r="F57" i="49"/>
  <c r="F55" i="49"/>
  <c r="M13" i="48"/>
  <c r="P89" i="48"/>
  <c r="P72" i="48"/>
  <c r="F68" i="48"/>
  <c r="E41" i="48"/>
  <c r="E13" i="48"/>
  <c r="G73" i="48"/>
  <c r="H73" i="48" s="1"/>
  <c r="H16" i="48" s="1"/>
  <c r="P86" i="48"/>
  <c r="P73" i="48"/>
  <c r="P81" i="48"/>
  <c r="P88" i="48"/>
  <c r="G80" i="48"/>
  <c r="H80" i="48" s="1"/>
  <c r="H23" i="48" s="1"/>
  <c r="P51" i="48"/>
  <c r="G41" i="48"/>
  <c r="P47" i="48"/>
  <c r="P54" i="48"/>
  <c r="G72" i="48"/>
  <c r="H72" i="48" s="1"/>
  <c r="H15" i="48" s="1"/>
  <c r="P78" i="48"/>
  <c r="G77" i="48"/>
  <c r="H77" i="48" s="1"/>
  <c r="H20" i="48" s="1"/>
  <c r="G79" i="48"/>
  <c r="H79" i="48" s="1"/>
  <c r="H22" i="48" s="1"/>
  <c r="G85" i="48"/>
  <c r="G28" i="48" s="1"/>
  <c r="P87" i="48"/>
  <c r="P46" i="48"/>
  <c r="P53" i="48"/>
  <c r="P55" i="48"/>
  <c r="G71" i="48"/>
  <c r="H71" i="48" s="1"/>
  <c r="H14" i="48" s="1"/>
  <c r="G75" i="48"/>
  <c r="H75" i="48" s="1"/>
  <c r="I75" i="48" s="1"/>
  <c r="P79" i="48"/>
  <c r="G81" i="48"/>
  <c r="G24" i="48" s="1"/>
  <c r="G83" i="48"/>
  <c r="P85" i="48"/>
  <c r="F69" i="48"/>
  <c r="F41" i="48"/>
  <c r="O15" i="48"/>
  <c r="I70" i="48"/>
  <c r="P83" i="48"/>
  <c r="P57" i="48"/>
  <c r="P62" i="48"/>
  <c r="P70" i="48"/>
  <c r="P76" i="48"/>
  <c r="P77" i="48"/>
  <c r="P20" i="48" s="1"/>
  <c r="O28" i="48"/>
  <c r="E39" i="48"/>
  <c r="P43" i="48"/>
  <c r="P61" i="48"/>
  <c r="P71" i="48"/>
  <c r="O14" i="48"/>
  <c r="O20" i="48"/>
  <c r="P45" i="48"/>
  <c r="P59" i="48"/>
  <c r="P74" i="48"/>
  <c r="G84" i="48"/>
  <c r="G76" i="48"/>
  <c r="G19" i="48" s="1"/>
  <c r="P58" i="48"/>
  <c r="P50" i="48"/>
  <c r="P42" i="48"/>
  <c r="P90" i="48"/>
  <c r="G87" i="48"/>
  <c r="P82" i="48"/>
  <c r="G90" i="48"/>
  <c r="G82" i="48"/>
  <c r="G74" i="48"/>
  <c r="P56" i="48"/>
  <c r="P48" i="48"/>
  <c r="G86" i="48"/>
  <c r="G78" i="48"/>
  <c r="P60" i="48"/>
  <c r="P52" i="48"/>
  <c r="P44" i="48"/>
  <c r="P80" i="48"/>
  <c r="P84" i="48"/>
  <c r="E68" i="48"/>
  <c r="E40" i="48"/>
  <c r="P75" i="48"/>
  <c r="O16" i="48"/>
  <c r="O32" i="48"/>
  <c r="G40" i="48"/>
  <c r="G88" i="48"/>
  <c r="G89" i="48"/>
  <c r="O22" i="48"/>
  <c r="O30" i="48"/>
  <c r="F56" i="49"/>
  <c r="J87" i="49"/>
  <c r="F72" i="49"/>
  <c r="F74" i="49"/>
  <c r="F58" i="49"/>
  <c r="F231" i="49"/>
  <c r="F248" i="49"/>
  <c r="F75" i="49" s="1"/>
  <c r="E72" i="49"/>
  <c r="I67" i="49"/>
  <c r="G54" i="48" s="1"/>
  <c r="E60" i="49"/>
  <c r="E73" i="49"/>
  <c r="I71" i="49"/>
  <c r="G58" i="48" s="1"/>
  <c r="F104" i="49"/>
  <c r="F73" i="49" s="1"/>
  <c r="I75" i="49"/>
  <c r="G62" i="48" s="1"/>
  <c r="K314" i="49"/>
  <c r="J315" i="49"/>
  <c r="I55" i="49"/>
  <c r="G42" i="48" s="1"/>
  <c r="K42" i="48" s="1"/>
  <c r="N42" i="48" s="1"/>
  <c r="E57" i="49"/>
  <c r="F183" i="49"/>
  <c r="F66" i="49" s="1"/>
  <c r="J115" i="49"/>
  <c r="K86" i="49"/>
  <c r="J201" i="49"/>
  <c r="E55" i="49"/>
  <c r="F96" i="49"/>
  <c r="F65" i="49" s="1"/>
  <c r="E59" i="49"/>
  <c r="E67" i="49"/>
  <c r="I59" i="49"/>
  <c r="G46" i="48" s="1"/>
  <c r="J259" i="49"/>
  <c r="K258" i="49"/>
  <c r="E61" i="49"/>
  <c r="E69" i="49"/>
  <c r="K200" i="49"/>
  <c r="J142" i="49"/>
  <c r="P28" i="48" l="1"/>
  <c r="J287" i="49"/>
  <c r="K228" i="49"/>
  <c r="J55" i="49"/>
  <c r="P24" i="48"/>
  <c r="J346" i="49"/>
  <c r="K346" i="49" s="1"/>
  <c r="K172" i="49"/>
  <c r="G29" i="48"/>
  <c r="G25" i="48"/>
  <c r="G13" i="48"/>
  <c r="P32" i="48"/>
  <c r="P30" i="48"/>
  <c r="H18" i="48"/>
  <c r="P13" i="48"/>
  <c r="P15" i="48"/>
  <c r="G14" i="48"/>
  <c r="I72" i="48"/>
  <c r="J72" i="48" s="1"/>
  <c r="J15" i="48" s="1"/>
  <c r="K43" i="48"/>
  <c r="K44" i="48" s="1"/>
  <c r="P29" i="48"/>
  <c r="I80" i="48"/>
  <c r="I23" i="48" s="1"/>
  <c r="I73" i="48"/>
  <c r="J73" i="48" s="1"/>
  <c r="J16" i="48" s="1"/>
  <c r="P19" i="48"/>
  <c r="G16" i="48"/>
  <c r="E111" i="48"/>
  <c r="G18" i="48"/>
  <c r="G15" i="48"/>
  <c r="G20" i="48"/>
  <c r="P31" i="48"/>
  <c r="P25" i="48"/>
  <c r="P17" i="48"/>
  <c r="P26" i="48"/>
  <c r="P22" i="48"/>
  <c r="I71" i="48"/>
  <c r="J71" i="48" s="1"/>
  <c r="J14" i="48" s="1"/>
  <c r="I77" i="48"/>
  <c r="I20" i="48" s="1"/>
  <c r="H83" i="48"/>
  <c r="G26" i="48"/>
  <c r="P21" i="48"/>
  <c r="P16" i="48"/>
  <c r="H81" i="48"/>
  <c r="H24" i="48" s="1"/>
  <c r="I79" i="48"/>
  <c r="J79" i="48" s="1"/>
  <c r="J22" i="48" s="1"/>
  <c r="P18" i="48"/>
  <c r="G23" i="48"/>
  <c r="G22" i="48"/>
  <c r="H85" i="48"/>
  <c r="H28" i="48" s="1"/>
  <c r="H87" i="48"/>
  <c r="H30" i="48" s="1"/>
  <c r="H89" i="48"/>
  <c r="H32" i="48" s="1"/>
  <c r="G32" i="48"/>
  <c r="E110" i="48"/>
  <c r="H74" i="48"/>
  <c r="H17" i="48" s="1"/>
  <c r="G17" i="48"/>
  <c r="J75" i="48"/>
  <c r="J18" i="48" s="1"/>
  <c r="I18" i="48"/>
  <c r="G31" i="48"/>
  <c r="H88" i="48"/>
  <c r="H31" i="48" s="1"/>
  <c r="H82" i="48"/>
  <c r="H25" i="48" s="1"/>
  <c r="H76" i="48"/>
  <c r="H19" i="48" s="1"/>
  <c r="G66" i="48"/>
  <c r="P23" i="48"/>
  <c r="H90" i="48"/>
  <c r="H33" i="48" s="1"/>
  <c r="G33" i="48"/>
  <c r="H84" i="48"/>
  <c r="H27" i="48" s="1"/>
  <c r="G27" i="48"/>
  <c r="P33" i="48"/>
  <c r="G30" i="48"/>
  <c r="P14" i="48"/>
  <c r="P27" i="48"/>
  <c r="H86" i="48"/>
  <c r="H29" i="48" s="1"/>
  <c r="G21" i="48"/>
  <c r="H78" i="48"/>
  <c r="H21" i="48" s="1"/>
  <c r="J70" i="48"/>
  <c r="J13" i="48" s="1"/>
  <c r="I13" i="48"/>
  <c r="K173" i="49"/>
  <c r="J174" i="49"/>
  <c r="J288" i="49"/>
  <c r="K287" i="49"/>
  <c r="K87" i="49"/>
  <c r="J88" i="49"/>
  <c r="J260" i="49"/>
  <c r="K259" i="49"/>
  <c r="J202" i="49"/>
  <c r="K201" i="49"/>
  <c r="K315" i="49"/>
  <c r="J316" i="49"/>
  <c r="K229" i="49"/>
  <c r="J230" i="49"/>
  <c r="K142" i="49"/>
  <c r="J143" i="49"/>
  <c r="J56" i="49" s="1"/>
  <c r="J116" i="49"/>
  <c r="K115" i="49"/>
  <c r="I81" i="48" l="1"/>
  <c r="I24" i="48" s="1"/>
  <c r="J347" i="49"/>
  <c r="J348" i="49" s="1"/>
  <c r="K55" i="49"/>
  <c r="P34" i="48"/>
  <c r="D41" i="57" s="1"/>
  <c r="I14" i="48"/>
  <c r="I15" i="48"/>
  <c r="I16" i="48"/>
  <c r="J77" i="48"/>
  <c r="J20" i="48" s="1"/>
  <c r="J80" i="48"/>
  <c r="J23" i="48" s="1"/>
  <c r="K70" i="48"/>
  <c r="N70" i="48" s="1"/>
  <c r="N13" i="48" s="1"/>
  <c r="I89" i="48"/>
  <c r="I32" i="48" s="1"/>
  <c r="H26" i="48"/>
  <c r="I83" i="48"/>
  <c r="I22" i="48"/>
  <c r="I85" i="48"/>
  <c r="J85" i="48" s="1"/>
  <c r="J28" i="48" s="1"/>
  <c r="I82" i="48"/>
  <c r="I74" i="48"/>
  <c r="K45" i="48"/>
  <c r="I78" i="48"/>
  <c r="I88" i="48"/>
  <c r="I86" i="48"/>
  <c r="I84" i="48"/>
  <c r="I76" i="48"/>
  <c r="I87" i="48"/>
  <c r="I90" i="48"/>
  <c r="K260" i="49"/>
  <c r="J261" i="49"/>
  <c r="J317" i="49"/>
  <c r="K316" i="49"/>
  <c r="J89" i="49"/>
  <c r="K88" i="49"/>
  <c r="K116" i="49"/>
  <c r="J117" i="49"/>
  <c r="K143" i="49"/>
  <c r="K56" i="49" s="1"/>
  <c r="J144" i="49"/>
  <c r="J289" i="49"/>
  <c r="K288" i="49"/>
  <c r="K230" i="49"/>
  <c r="J231" i="49"/>
  <c r="J203" i="49"/>
  <c r="K202" i="49"/>
  <c r="K174" i="49"/>
  <c r="J175" i="49"/>
  <c r="J81" i="48" l="1"/>
  <c r="J24" i="48" s="1"/>
  <c r="K347" i="49"/>
  <c r="K71" i="48"/>
  <c r="K72" i="48" s="1"/>
  <c r="J89" i="48"/>
  <c r="J32" i="48" s="1"/>
  <c r="K13" i="48"/>
  <c r="I28" i="48"/>
  <c r="J83" i="48"/>
  <c r="J26" i="48" s="1"/>
  <c r="I26" i="48"/>
  <c r="H66" i="48"/>
  <c r="J87" i="48"/>
  <c r="J30" i="48" s="1"/>
  <c r="I30" i="48"/>
  <c r="J88" i="48"/>
  <c r="J31" i="48" s="1"/>
  <c r="I31" i="48"/>
  <c r="J76" i="48"/>
  <c r="J19" i="48" s="1"/>
  <c r="I19" i="48"/>
  <c r="J78" i="48"/>
  <c r="J21" i="48" s="1"/>
  <c r="I21" i="48"/>
  <c r="I17" i="48"/>
  <c r="J74" i="48"/>
  <c r="J17" i="48" s="1"/>
  <c r="I27" i="48"/>
  <c r="J84" i="48"/>
  <c r="J27" i="48" s="1"/>
  <c r="J82" i="48"/>
  <c r="J25" i="48" s="1"/>
  <c r="I25" i="48"/>
  <c r="J90" i="48"/>
  <c r="J33" i="48" s="1"/>
  <c r="I33" i="48"/>
  <c r="J86" i="48"/>
  <c r="J29" i="48" s="1"/>
  <c r="I29" i="48"/>
  <c r="K46" i="48"/>
  <c r="J176" i="49"/>
  <c r="K175" i="49"/>
  <c r="J145" i="49"/>
  <c r="K144" i="49"/>
  <c r="K57" i="49" s="1"/>
  <c r="J318" i="49"/>
  <c r="K317" i="49"/>
  <c r="K203" i="49"/>
  <c r="J204" i="49"/>
  <c r="K117" i="49"/>
  <c r="J118" i="49"/>
  <c r="J232" i="49"/>
  <c r="K231" i="49"/>
  <c r="J57" i="49"/>
  <c r="K348" i="49"/>
  <c r="J349" i="49"/>
  <c r="K261" i="49"/>
  <c r="J262" i="49"/>
  <c r="K289" i="49"/>
  <c r="J290" i="49"/>
  <c r="K89" i="49"/>
  <c r="J90" i="49"/>
  <c r="K14" i="48" l="1"/>
  <c r="K47" i="48"/>
  <c r="K73" i="48"/>
  <c r="K15" i="48"/>
  <c r="J233" i="49"/>
  <c r="K232" i="49"/>
  <c r="K318" i="49"/>
  <c r="J319" i="49"/>
  <c r="J263" i="49"/>
  <c r="K262" i="49"/>
  <c r="J119" i="49"/>
  <c r="K118" i="49"/>
  <c r="J146" i="49"/>
  <c r="K145" i="49"/>
  <c r="K58" i="49" s="1"/>
  <c r="K204" i="49"/>
  <c r="J205" i="49"/>
  <c r="J58" i="49"/>
  <c r="K349" i="49"/>
  <c r="J350" i="49"/>
  <c r="J177" i="49"/>
  <c r="K176" i="49"/>
  <c r="J59" i="49"/>
  <c r="J91" i="49"/>
  <c r="K90" i="49"/>
  <c r="K290" i="49"/>
  <c r="J291" i="49"/>
  <c r="K48" i="48" l="1"/>
  <c r="K74" i="48"/>
  <c r="K16" i="48"/>
  <c r="A110" i="48"/>
  <c r="J66" i="48"/>
  <c r="K263" i="49"/>
  <c r="J264" i="49"/>
  <c r="J206" i="49"/>
  <c r="K205" i="49"/>
  <c r="K319" i="49"/>
  <c r="J320" i="49"/>
  <c r="J92" i="49"/>
  <c r="K91" i="49"/>
  <c r="J292" i="49"/>
  <c r="K291" i="49"/>
  <c r="K146" i="49"/>
  <c r="K59" i="49" s="1"/>
  <c r="J147" i="49"/>
  <c r="J60" i="49" s="1"/>
  <c r="K233" i="49"/>
  <c r="J234" i="49"/>
  <c r="J178" i="49"/>
  <c r="K177" i="49"/>
  <c r="J351" i="49"/>
  <c r="K350" i="49"/>
  <c r="K119" i="49"/>
  <c r="J120" i="49"/>
  <c r="K49" i="48" l="1"/>
  <c r="K75" i="48"/>
  <c r="K17" i="48"/>
  <c r="A111" i="48"/>
  <c r="A112" i="48" s="1"/>
  <c r="A113" i="48" s="1"/>
  <c r="A114" i="48" s="1"/>
  <c r="A115" i="48" s="1"/>
  <c r="A116" i="48" s="1"/>
  <c r="A117" i="48" s="1"/>
  <c r="A118" i="48" s="1"/>
  <c r="A119" i="48" s="1"/>
  <c r="A120" i="48" s="1"/>
  <c r="A121" i="48" s="1"/>
  <c r="J207" i="49"/>
  <c r="K206" i="49"/>
  <c r="J352" i="49"/>
  <c r="K351" i="49"/>
  <c r="J293" i="49"/>
  <c r="K292" i="49"/>
  <c r="K264" i="49"/>
  <c r="J265" i="49"/>
  <c r="K178" i="49"/>
  <c r="J179" i="49"/>
  <c r="K234" i="49"/>
  <c r="J235" i="49"/>
  <c r="J93" i="49"/>
  <c r="K92" i="49"/>
  <c r="J321" i="49"/>
  <c r="K320" i="49"/>
  <c r="J121" i="49"/>
  <c r="K120" i="49"/>
  <c r="K147" i="49"/>
  <c r="K60" i="49" s="1"/>
  <c r="J148" i="49"/>
  <c r="J61" i="49" s="1"/>
  <c r="F121" i="48" l="1"/>
  <c r="A122" i="48"/>
  <c r="A123" i="48" s="1"/>
  <c r="A124" i="48" s="1"/>
  <c r="F122" i="48"/>
  <c r="K76" i="48"/>
  <c r="K18" i="48"/>
  <c r="K50" i="48"/>
  <c r="K121" i="49"/>
  <c r="J122" i="49"/>
  <c r="J149" i="49"/>
  <c r="K148" i="49"/>
  <c r="K61" i="49" s="1"/>
  <c r="J266" i="49"/>
  <c r="K265" i="49"/>
  <c r="J94" i="49"/>
  <c r="K93" i="49"/>
  <c r="J236" i="49"/>
  <c r="K235" i="49"/>
  <c r="J322" i="49"/>
  <c r="K321" i="49"/>
  <c r="K352" i="49"/>
  <c r="J353" i="49"/>
  <c r="K293" i="49"/>
  <c r="J294" i="49"/>
  <c r="K179" i="49"/>
  <c r="J180" i="49"/>
  <c r="K207" i="49"/>
  <c r="J208" i="49"/>
  <c r="K51" i="48" l="1"/>
  <c r="K77" i="48"/>
  <c r="K19" i="48"/>
  <c r="J209" i="49"/>
  <c r="K208" i="49"/>
  <c r="J267" i="49"/>
  <c r="K266" i="49"/>
  <c r="K322" i="49"/>
  <c r="J323" i="49"/>
  <c r="J181" i="49"/>
  <c r="K180" i="49"/>
  <c r="J237" i="49"/>
  <c r="K236" i="49"/>
  <c r="J150" i="49"/>
  <c r="J63" i="49" s="1"/>
  <c r="K149" i="49"/>
  <c r="K62" i="49" s="1"/>
  <c r="K294" i="49"/>
  <c r="J295" i="49"/>
  <c r="J62" i="49"/>
  <c r="K122" i="49"/>
  <c r="J123" i="49"/>
  <c r="K353" i="49"/>
  <c r="J354" i="49"/>
  <c r="J95" i="49"/>
  <c r="K94" i="49"/>
  <c r="K78" i="48" l="1"/>
  <c r="K20" i="48"/>
  <c r="K52" i="48"/>
  <c r="J296" i="49"/>
  <c r="K295" i="49"/>
  <c r="K323" i="49"/>
  <c r="J324" i="49"/>
  <c r="K95" i="49"/>
  <c r="J96" i="49"/>
  <c r="J355" i="49"/>
  <c r="K354" i="49"/>
  <c r="J151" i="49"/>
  <c r="J64" i="49" s="1"/>
  <c r="K150" i="49"/>
  <c r="K63" i="49" s="1"/>
  <c r="J268" i="49"/>
  <c r="K267" i="49"/>
  <c r="J124" i="49"/>
  <c r="K123" i="49"/>
  <c r="K237" i="49"/>
  <c r="J238" i="49"/>
  <c r="J210" i="49"/>
  <c r="K209" i="49"/>
  <c r="J182" i="49"/>
  <c r="K181" i="49"/>
  <c r="K53" i="48" l="1"/>
  <c r="K79" i="48"/>
  <c r="K21" i="48"/>
  <c r="K182" i="49"/>
  <c r="J183" i="49"/>
  <c r="J325" i="49"/>
  <c r="K324" i="49"/>
  <c r="J125" i="49"/>
  <c r="K124" i="49"/>
  <c r="J356" i="49"/>
  <c r="K355" i="49"/>
  <c r="J297" i="49"/>
  <c r="K296" i="49"/>
  <c r="K210" i="49"/>
  <c r="J211" i="49"/>
  <c r="K268" i="49"/>
  <c r="J269" i="49"/>
  <c r="K238" i="49"/>
  <c r="J239" i="49"/>
  <c r="K96" i="49"/>
  <c r="J97" i="49"/>
  <c r="K151" i="49"/>
  <c r="K64" i="49" s="1"/>
  <c r="J152" i="49"/>
  <c r="K80" i="48" l="1"/>
  <c r="K22" i="48"/>
  <c r="K54" i="48"/>
  <c r="K97" i="49"/>
  <c r="J98" i="49"/>
  <c r="J326" i="49"/>
  <c r="K325" i="49"/>
  <c r="K297" i="49"/>
  <c r="J298" i="49"/>
  <c r="K183" i="49"/>
  <c r="J184" i="49"/>
  <c r="J240" i="49"/>
  <c r="K239" i="49"/>
  <c r="K356" i="49"/>
  <c r="J357" i="49"/>
  <c r="K152" i="49"/>
  <c r="K65" i="49" s="1"/>
  <c r="J153" i="49"/>
  <c r="J66" i="49" s="1"/>
  <c r="K269" i="49"/>
  <c r="J270" i="49"/>
  <c r="J126" i="49"/>
  <c r="K125" i="49"/>
  <c r="J65" i="49"/>
  <c r="K211" i="49"/>
  <c r="J212" i="49"/>
  <c r="K81" i="48" l="1"/>
  <c r="K23" i="48"/>
  <c r="K55" i="48"/>
  <c r="K126" i="49"/>
  <c r="J127" i="49"/>
  <c r="K326" i="49"/>
  <c r="J327" i="49"/>
  <c r="J271" i="49"/>
  <c r="K270" i="49"/>
  <c r="J241" i="49"/>
  <c r="K240" i="49"/>
  <c r="J99" i="49"/>
  <c r="K98" i="49"/>
  <c r="K212" i="49"/>
  <c r="J213" i="49"/>
  <c r="J154" i="49"/>
  <c r="K153" i="49"/>
  <c r="K66" i="49" s="1"/>
  <c r="K184" i="49"/>
  <c r="J185" i="49"/>
  <c r="K357" i="49"/>
  <c r="J358" i="49"/>
  <c r="K298" i="49"/>
  <c r="J299" i="49"/>
  <c r="K82" i="48" l="1"/>
  <c r="K24" i="48"/>
  <c r="K56" i="48"/>
  <c r="J359" i="49"/>
  <c r="K358" i="49"/>
  <c r="J100" i="49"/>
  <c r="K99" i="49"/>
  <c r="J155" i="49"/>
  <c r="K154" i="49"/>
  <c r="K67" i="49" s="1"/>
  <c r="J272" i="49"/>
  <c r="K271" i="49"/>
  <c r="J186" i="49"/>
  <c r="K185" i="49"/>
  <c r="J67" i="49"/>
  <c r="K127" i="49"/>
  <c r="J128" i="49"/>
  <c r="J214" i="49"/>
  <c r="K213" i="49"/>
  <c r="K327" i="49"/>
  <c r="J328" i="49"/>
  <c r="J300" i="49"/>
  <c r="K299" i="49"/>
  <c r="K241" i="49"/>
  <c r="J242" i="49"/>
  <c r="K83" i="48" l="1"/>
  <c r="K25" i="48"/>
  <c r="K57" i="48"/>
  <c r="J156" i="49"/>
  <c r="J69" i="49" s="1"/>
  <c r="K155" i="49"/>
  <c r="K68" i="49" s="1"/>
  <c r="J129" i="49"/>
  <c r="K128" i="49"/>
  <c r="J329" i="49"/>
  <c r="K328" i="49"/>
  <c r="J301" i="49"/>
  <c r="K300" i="49"/>
  <c r="K100" i="49"/>
  <c r="J101" i="49"/>
  <c r="K242" i="49"/>
  <c r="J243" i="49"/>
  <c r="J215" i="49"/>
  <c r="K214" i="49"/>
  <c r="J68" i="49"/>
  <c r="J187" i="49"/>
  <c r="K186" i="49"/>
  <c r="K272" i="49"/>
  <c r="J273" i="49"/>
  <c r="J360" i="49"/>
  <c r="K359" i="49"/>
  <c r="K84" i="48" l="1"/>
  <c r="K26" i="48"/>
  <c r="K58" i="48"/>
  <c r="K301" i="49"/>
  <c r="J302" i="49"/>
  <c r="J330" i="49"/>
  <c r="K329" i="49"/>
  <c r="K215" i="49"/>
  <c r="J216" i="49"/>
  <c r="J244" i="49"/>
  <c r="K243" i="49"/>
  <c r="J102" i="49"/>
  <c r="K101" i="49"/>
  <c r="K360" i="49"/>
  <c r="J361" i="49"/>
  <c r="K273" i="49"/>
  <c r="J274" i="49"/>
  <c r="J188" i="49"/>
  <c r="K187" i="49"/>
  <c r="K129" i="49"/>
  <c r="J130" i="49"/>
  <c r="K156" i="49"/>
  <c r="K69" i="49" s="1"/>
  <c r="J157" i="49"/>
  <c r="K59" i="48" l="1"/>
  <c r="K85" i="48"/>
  <c r="K27" i="48"/>
  <c r="J245" i="49"/>
  <c r="K244" i="49"/>
  <c r="J158" i="49"/>
  <c r="J71" i="49" s="1"/>
  <c r="K157" i="49"/>
  <c r="K70" i="49" s="1"/>
  <c r="J217" i="49"/>
  <c r="K216" i="49"/>
  <c r="K130" i="49"/>
  <c r="J131" i="49"/>
  <c r="J70" i="49"/>
  <c r="K302" i="49"/>
  <c r="J303" i="49"/>
  <c r="J275" i="49"/>
  <c r="K274" i="49"/>
  <c r="K361" i="49"/>
  <c r="J362" i="49"/>
  <c r="K330" i="49"/>
  <c r="J331" i="49"/>
  <c r="J189" i="49"/>
  <c r="K188" i="49"/>
  <c r="J103" i="49"/>
  <c r="K102" i="49"/>
  <c r="K60" i="48" l="1"/>
  <c r="K86" i="48"/>
  <c r="K28" i="48"/>
  <c r="J363" i="49"/>
  <c r="K362" i="49"/>
  <c r="J218" i="49"/>
  <c r="K217" i="49"/>
  <c r="K103" i="49"/>
  <c r="J104" i="49"/>
  <c r="J304" i="49"/>
  <c r="K303" i="49"/>
  <c r="K189" i="49"/>
  <c r="J190" i="49"/>
  <c r="K331" i="49"/>
  <c r="J332" i="49"/>
  <c r="K131" i="49"/>
  <c r="J132" i="49"/>
  <c r="J276" i="49"/>
  <c r="K275" i="49"/>
  <c r="J159" i="49"/>
  <c r="J72" i="49" s="1"/>
  <c r="K158" i="49"/>
  <c r="K71" i="49" s="1"/>
  <c r="K245" i="49"/>
  <c r="J246" i="49"/>
  <c r="K61" i="48" l="1"/>
  <c r="K87" i="48"/>
  <c r="K29" i="48"/>
  <c r="K104" i="49"/>
  <c r="J105" i="49"/>
  <c r="K190" i="49"/>
  <c r="J191" i="49"/>
  <c r="K159" i="49"/>
  <c r="K72" i="49" s="1"/>
  <c r="J160" i="49"/>
  <c r="K132" i="49"/>
  <c r="J133" i="49"/>
  <c r="K246" i="49"/>
  <c r="J247" i="49"/>
  <c r="J333" i="49"/>
  <c r="K332" i="49"/>
  <c r="K218" i="49"/>
  <c r="J219" i="49"/>
  <c r="K276" i="49"/>
  <c r="J277" i="49"/>
  <c r="J305" i="49"/>
  <c r="K304" i="49"/>
  <c r="J364" i="49"/>
  <c r="K364" i="49" s="1"/>
  <c r="K365" i="49" s="1"/>
  <c r="K363" i="49"/>
  <c r="F18" i="71" l="1"/>
  <c r="F19" i="71"/>
  <c r="K88" i="48"/>
  <c r="K30" i="48"/>
  <c r="K62" i="48"/>
  <c r="J161" i="49"/>
  <c r="K160" i="49"/>
  <c r="K73" i="49" s="1"/>
  <c r="J248" i="49"/>
  <c r="K248" i="49" s="1"/>
  <c r="K247" i="49"/>
  <c r="K305" i="49"/>
  <c r="J306" i="49"/>
  <c r="K306" i="49" s="1"/>
  <c r="K277" i="49"/>
  <c r="J278" i="49"/>
  <c r="K278" i="49" s="1"/>
  <c r="J134" i="49"/>
  <c r="K134" i="49" s="1"/>
  <c r="K133" i="49"/>
  <c r="K105" i="49"/>
  <c r="J106" i="49"/>
  <c r="J74" i="49"/>
  <c r="K219" i="49"/>
  <c r="J220" i="49"/>
  <c r="K220" i="49" s="1"/>
  <c r="J192" i="49"/>
  <c r="K192" i="49" s="1"/>
  <c r="K191" i="49"/>
  <c r="J334" i="49"/>
  <c r="K334" i="49" s="1"/>
  <c r="K333" i="49"/>
  <c r="J73" i="49"/>
  <c r="K307" i="49" l="1"/>
  <c r="G33" i="11" s="1"/>
  <c r="K279" i="49"/>
  <c r="K135" i="49"/>
  <c r="K193" i="49"/>
  <c r="K221" i="49"/>
  <c r="K89" i="48"/>
  <c r="K31" i="48"/>
  <c r="K249" i="49"/>
  <c r="K335" i="49"/>
  <c r="K106" i="49"/>
  <c r="K161" i="49"/>
  <c r="K74" i="49" s="1"/>
  <c r="J162" i="49"/>
  <c r="K162" i="49" s="1"/>
  <c r="K163" i="49" s="1"/>
  <c r="F16" i="71" l="1"/>
  <c r="F17" i="71"/>
  <c r="G34" i="11"/>
  <c r="F14" i="71"/>
  <c r="G31" i="11"/>
  <c r="F15" i="71"/>
  <c r="G32" i="11"/>
  <c r="F11" i="71"/>
  <c r="G28" i="11"/>
  <c r="F12" i="71"/>
  <c r="G29" i="11"/>
  <c r="F13" i="71"/>
  <c r="G30" i="11"/>
  <c r="F10" i="71"/>
  <c r="G27" i="11"/>
  <c r="K90" i="48"/>
  <c r="K32" i="48"/>
  <c r="J75" i="49"/>
  <c r="K75" i="49"/>
  <c r="K76" i="49" s="1"/>
  <c r="K107" i="49"/>
  <c r="F9" i="71" l="1"/>
  <c r="G26" i="11"/>
  <c r="C42" i="57"/>
  <c r="D82" i="7"/>
  <c r="K33" i="48"/>
  <c r="K34" i="48" s="1"/>
  <c r="C41" i="57" s="1"/>
  <c r="I124" i="1" l="1"/>
  <c r="G340" i="15" l="1"/>
  <c r="G332" i="15"/>
  <c r="G333" i="15" s="1"/>
  <c r="D310" i="15"/>
  <c r="I295" i="15"/>
  <c r="A295" i="15"/>
  <c r="I293" i="15"/>
  <c r="H293" i="15"/>
  <c r="G293" i="15"/>
  <c r="F293" i="15"/>
  <c r="A278" i="15"/>
  <c r="A279" i="15" s="1"/>
  <c r="A280" i="15" s="1"/>
  <c r="A281" i="15" s="1"/>
  <c r="A282" i="15" s="1"/>
  <c r="A283" i="15" s="1"/>
  <c r="A284" i="15" s="1"/>
  <c r="A285" i="15" s="1"/>
  <c r="A286" i="15" s="1"/>
  <c r="A287" i="15" s="1"/>
  <c r="A288" i="15" s="1"/>
  <c r="A289" i="15" s="1"/>
  <c r="A290" i="15" s="1"/>
  <c r="I273" i="15"/>
  <c r="A192" i="15"/>
  <c r="A193" i="15" s="1"/>
  <c r="A194" i="15" s="1"/>
  <c r="A195" i="15" s="1"/>
  <c r="A196" i="15" s="1"/>
  <c r="A197" i="15" s="1"/>
  <c r="A198" i="15" s="1"/>
  <c r="A199" i="15" s="1"/>
  <c r="A200" i="15" s="1"/>
  <c r="A201" i="15" s="1"/>
  <c r="A202" i="15" s="1"/>
  <c r="A203" i="15" s="1"/>
  <c r="A204" i="15" s="1"/>
  <c r="A205" i="15" s="1"/>
  <c r="A206" i="15" s="1"/>
  <c r="A207" i="15" s="1"/>
  <c r="A208" i="15" s="1"/>
  <c r="A209" i="15" s="1"/>
  <c r="A210" i="15" s="1"/>
  <c r="A211" i="15" s="1"/>
  <c r="A212" i="15" s="1"/>
  <c r="A213" i="15" s="1"/>
  <c r="A214" i="15" s="1"/>
  <c r="A215" i="15" s="1"/>
  <c r="A216" i="15" s="1"/>
  <c r="A217" i="15" s="1"/>
  <c r="A218" i="15" s="1"/>
  <c r="A219" i="15" s="1"/>
  <c r="A220" i="15" s="1"/>
  <c r="A221" i="15" s="1"/>
  <c r="A222" i="15" s="1"/>
  <c r="A223" i="15" s="1"/>
  <c r="A224" i="15" s="1"/>
  <c r="A225" i="15" s="1"/>
  <c r="A226" i="15" s="1"/>
  <c r="A227" i="15" s="1"/>
  <c r="A228" i="15" s="1"/>
  <c r="A229" i="15" s="1"/>
  <c r="A230" i="15" s="1"/>
  <c r="A237" i="15" s="1"/>
  <c r="A238" i="15" s="1"/>
  <c r="A239" i="15" s="1"/>
  <c r="A240" i="15" s="1"/>
  <c r="A241" i="15" s="1"/>
  <c r="A242" i="15" s="1"/>
  <c r="A243" i="15" s="1"/>
  <c r="A244" i="15" s="1"/>
  <c r="A245" i="15" s="1"/>
  <c r="A246" i="15" s="1"/>
  <c r="A247" i="15" s="1"/>
  <c r="A248" i="15" s="1"/>
  <c r="A249" i="15" s="1"/>
  <c r="A250" i="15" s="1"/>
  <c r="A251" i="15" s="1"/>
  <c r="A252" i="15" s="1"/>
  <c r="A253" i="15" s="1"/>
  <c r="A254" i="15" s="1"/>
  <c r="A255" i="15" s="1"/>
  <c r="A256" i="15" s="1"/>
  <c r="A257" i="15" s="1"/>
  <c r="A258" i="15" s="1"/>
  <c r="A259" i="15" s="1"/>
  <c r="A260" i="15" s="1"/>
  <c r="A261" i="15" s="1"/>
  <c r="A262" i="15" s="1"/>
  <c r="A263" i="15" s="1"/>
  <c r="A264" i="15" s="1"/>
  <c r="E183" i="15"/>
  <c r="A179" i="15"/>
  <c r="A180" i="15" s="1"/>
  <c r="I178" i="15"/>
  <c r="H178" i="15"/>
  <c r="D178" i="15"/>
  <c r="A155" i="15"/>
  <c r="A156" i="15" s="1"/>
  <c r="A157" i="15" s="1"/>
  <c r="A158" i="15" s="1"/>
  <c r="A159" i="15" s="1"/>
  <c r="A160" i="15" s="1"/>
  <c r="A161" i="15" s="1"/>
  <c r="A162" i="15" s="1"/>
  <c r="A163" i="15" s="1"/>
  <c r="A164" i="15" s="1"/>
  <c r="A165" i="15" s="1"/>
  <c r="A166" i="15" s="1"/>
  <c r="A167" i="15" s="1"/>
  <c r="A168" i="15" s="1"/>
  <c r="A169" i="15" s="1"/>
  <c r="A170" i="15" s="1"/>
  <c r="A171" i="15" s="1"/>
  <c r="A172" i="15" s="1"/>
  <c r="A173" i="15" s="1"/>
  <c r="A174" i="15" s="1"/>
  <c r="A175" i="15" s="1"/>
  <c r="I143" i="15"/>
  <c r="A143" i="15"/>
  <c r="E148" i="15" s="1"/>
  <c r="I141" i="15"/>
  <c r="H141" i="15"/>
  <c r="G141" i="15"/>
  <c r="F141" i="15"/>
  <c r="D141" i="15"/>
  <c r="A124" i="15"/>
  <c r="A125" i="15" s="1"/>
  <c r="A126" i="15" s="1"/>
  <c r="A127" i="15" s="1"/>
  <c r="A128" i="15" s="1"/>
  <c r="A129" i="15" s="1"/>
  <c r="A130" i="15" s="1"/>
  <c r="A131" i="15" s="1"/>
  <c r="A132" i="15" s="1"/>
  <c r="A133" i="15" s="1"/>
  <c r="A134" i="15" s="1"/>
  <c r="A135" i="15" s="1"/>
  <c r="A136" i="15" s="1"/>
  <c r="A137" i="15" s="1"/>
  <c r="A138" i="15" s="1"/>
  <c r="D119" i="15"/>
  <c r="F119" i="15"/>
  <c r="A31" i="15"/>
  <c r="A11" i="15"/>
  <c r="A12" i="15" s="1"/>
  <c r="A13" i="15" s="1"/>
  <c r="G341" i="15" l="1"/>
  <c r="H94" i="15"/>
  <c r="F178" i="15"/>
  <c r="F180" i="15" s="1"/>
  <c r="I180" i="15"/>
  <c r="E14" i="15"/>
  <c r="A14" i="15"/>
  <c r="E19" i="15" s="1"/>
  <c r="E178" i="15"/>
  <c r="A296" i="15"/>
  <c r="A297" i="15" s="1"/>
  <c r="E12" i="15" s="1"/>
  <c r="D143" i="15"/>
  <c r="G178" i="15"/>
  <c r="E141" i="15"/>
  <c r="F143" i="15"/>
  <c r="F145" i="15" s="1"/>
  <c r="A32" i="15"/>
  <c r="A33" i="15" s="1"/>
  <c r="A34" i="15" s="1"/>
  <c r="A35" i="15" s="1"/>
  <c r="A36" i="15" s="1"/>
  <c r="A37" i="15" s="1"/>
  <c r="A38" i="15" s="1"/>
  <c r="A39" i="15" s="1"/>
  <c r="I119" i="15"/>
  <c r="D293" i="15"/>
  <c r="E293" i="15"/>
  <c r="H273" i="15"/>
  <c r="H295" i="15" s="1"/>
  <c r="A183" i="15"/>
  <c r="E11" i="15"/>
  <c r="D273" i="15"/>
  <c r="A144" i="15"/>
  <c r="A145" i="15" s="1"/>
  <c r="E300" i="15"/>
  <c r="E263" i="15" l="1"/>
  <c r="G263" i="15" s="1"/>
  <c r="G273" i="15" s="1"/>
  <c r="G295" i="15" s="1"/>
  <c r="E270" i="15"/>
  <c r="G270" i="15" s="1"/>
  <c r="A15" i="15"/>
  <c r="A16" i="15" s="1"/>
  <c r="A17" i="15" s="1"/>
  <c r="A18" i="15" s="1"/>
  <c r="A19" i="15" s="1"/>
  <c r="A20" i="15" s="1"/>
  <c r="A21" i="15" s="1"/>
  <c r="A22" i="15" s="1"/>
  <c r="A23" i="15" s="1"/>
  <c r="A24" i="15" s="1"/>
  <c r="A40" i="15"/>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A67" i="15" s="1"/>
  <c r="A68" i="15" s="1"/>
  <c r="A69" i="15" s="1"/>
  <c r="A70" i="15" s="1"/>
  <c r="A71" i="15" s="1"/>
  <c r="A72" i="15" s="1"/>
  <c r="A79" i="15" s="1"/>
  <c r="A80" i="15" s="1"/>
  <c r="A81" i="15" s="1"/>
  <c r="A82" i="15" s="1"/>
  <c r="A83" i="15" s="1"/>
  <c r="A84" i="15" s="1"/>
  <c r="A85" i="15" s="1"/>
  <c r="A86" i="15" s="1"/>
  <c r="A87" i="15" s="1"/>
  <c r="A88" i="15" s="1"/>
  <c r="A89" i="15" s="1"/>
  <c r="A90" i="15" s="1"/>
  <c r="A91" i="15" s="1"/>
  <c r="A92" i="15" s="1"/>
  <c r="A93" i="15" s="1"/>
  <c r="A94" i="15" s="1"/>
  <c r="A95" i="15" s="1"/>
  <c r="A96" i="15" s="1"/>
  <c r="A97" i="15" s="1"/>
  <c r="A98" i="15" s="1"/>
  <c r="A99" i="15" s="1"/>
  <c r="A100" i="15" s="1"/>
  <c r="A101" i="15" s="1"/>
  <c r="A102" i="15" s="1"/>
  <c r="A103" i="15" s="1"/>
  <c r="A104" i="15" s="1"/>
  <c r="A105" i="15" s="1"/>
  <c r="A106" i="15" s="1"/>
  <c r="A107" i="15" s="1"/>
  <c r="A108" i="15" s="1"/>
  <c r="A109" i="15" s="1"/>
  <c r="A110" i="15" s="1"/>
  <c r="A111" i="15" s="1"/>
  <c r="A112" i="15" s="1"/>
  <c r="A113" i="15" s="1"/>
  <c r="A114" i="15" s="1"/>
  <c r="A115" i="15" s="1"/>
  <c r="A116" i="15" s="1"/>
  <c r="A117" i="15" s="1"/>
  <c r="A300" i="15"/>
  <c r="A308" i="15" s="1"/>
  <c r="I297" i="15"/>
  <c r="E119" i="15"/>
  <c r="E143" i="15" s="1"/>
  <c r="G119" i="15"/>
  <c r="G143" i="15" s="1"/>
  <c r="H119" i="15"/>
  <c r="H143" i="15" s="1"/>
  <c r="A148" i="15"/>
  <c r="E10" i="15"/>
  <c r="D295" i="15"/>
  <c r="I145" i="15"/>
  <c r="F273" i="15"/>
  <c r="F295" i="15" s="1"/>
  <c r="F297" i="15" s="1"/>
  <c r="E273" i="15"/>
  <c r="E295" i="15" s="1"/>
  <c r="A309" i="15"/>
  <c r="A310" i="15" s="1"/>
  <c r="E24" i="15" l="1"/>
  <c r="A311" i="15"/>
  <c r="A312" i="15" s="1"/>
  <c r="E13" i="15" s="1"/>
  <c r="I312" i="15"/>
  <c r="I310" i="15"/>
  <c r="A62" i="2" l="1"/>
  <c r="E42" i="30" l="1"/>
  <c r="E22" i="30" s="1"/>
  <c r="E41" i="30"/>
  <c r="D22" i="30" s="1"/>
  <c r="H42" i="8" l="1"/>
  <c r="H33" i="8"/>
  <c r="F102" i="8"/>
  <c r="F97" i="8"/>
  <c r="F83" i="8"/>
  <c r="E83" i="8"/>
  <c r="E86" i="8" s="1"/>
  <c r="F95" i="8"/>
  <c r="F94" i="8"/>
  <c r="E72" i="7"/>
  <c r="G79" i="46"/>
  <c r="G78" i="46"/>
  <c r="J10" i="28" l="1"/>
  <c r="C12" i="72"/>
  <c r="L10" i="28" s="1"/>
  <c r="F23" i="22" l="1"/>
  <c r="G23" i="22"/>
  <c r="A11" i="22"/>
  <c r="A12" i="22" s="1"/>
  <c r="A13" i="22" s="1"/>
  <c r="A14" i="22" s="1"/>
  <c r="A15" i="22" s="1"/>
  <c r="A16" i="22" s="1"/>
  <c r="A17" i="22" s="1"/>
  <c r="A18" i="22" s="1"/>
  <c r="A19" i="22" s="1"/>
  <c r="A20" i="22" s="1"/>
  <c r="A10" i="22"/>
  <c r="A21" i="22" l="1"/>
  <c r="A67" i="44" l="1"/>
  <c r="A68" i="44" s="1"/>
  <c r="A69" i="44" s="1"/>
  <c r="A70" i="44" s="1"/>
  <c r="A30" i="44"/>
  <c r="A18" i="44"/>
  <c r="G81" i="44" l="1"/>
  <c r="A77" i="44"/>
  <c r="I108" i="1"/>
  <c r="A108" i="1" l="1"/>
  <c r="K108" i="1" l="1"/>
  <c r="E73" i="7" l="1"/>
  <c r="H184" i="61" l="1"/>
  <c r="N184" i="61" l="1"/>
  <c r="M184" i="61"/>
  <c r="G184" i="61"/>
  <c r="I184" i="61" s="1"/>
  <c r="F184" i="61"/>
  <c r="A63" i="2" l="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D125" i="2" l="1"/>
  <c r="D126" i="2" s="1"/>
  <c r="F163" i="46" s="1"/>
  <c r="D119" i="2"/>
  <c r="D120" i="2" s="1"/>
  <c r="F162" i="46" s="1"/>
  <c r="D113" i="2"/>
  <c r="D114" i="2" s="1"/>
  <c r="F161" i="46" s="1"/>
  <c r="D107" i="2"/>
  <c r="D108" i="2" s="1"/>
  <c r="F145" i="46" s="1"/>
  <c r="D101" i="2"/>
  <c r="D102" i="2" s="1"/>
  <c r="F141" i="46" s="1"/>
  <c r="D95" i="2"/>
  <c r="D96" i="2" s="1"/>
  <c r="F136" i="46" s="1"/>
  <c r="D89" i="2"/>
  <c r="D90" i="2" s="1"/>
  <c r="F134" i="46" s="1"/>
  <c r="D83" i="2"/>
  <c r="D84" i="2" s="1"/>
  <c r="F133" i="46" s="1"/>
  <c r="D77" i="2"/>
  <c r="D78" i="2" s="1"/>
  <c r="F132" i="46" s="1"/>
  <c r="D71" i="2"/>
  <c r="D72" i="2" s="1"/>
  <c r="F122" i="46" s="1"/>
  <c r="D65" i="2"/>
  <c r="D66" i="2" s="1"/>
  <c r="F121" i="46" s="1"/>
  <c r="D59" i="2"/>
  <c r="D60" i="2" s="1"/>
  <c r="D53" i="2"/>
  <c r="D54" i="2" s="1"/>
  <c r="D47" i="2"/>
  <c r="D48" i="2" s="1"/>
  <c r="F106" i="46" s="1"/>
  <c r="D41" i="2"/>
  <c r="D42" i="2" s="1"/>
  <c r="F105" i="46" s="1"/>
  <c r="D35" i="2"/>
  <c r="D36" i="2" s="1"/>
  <c r="F143" i="46" l="1"/>
  <c r="F109" i="46"/>
  <c r="F100" i="46"/>
  <c r="F101" i="46"/>
  <c r="F99" i="46"/>
  <c r="F108" i="46"/>
  <c r="F140" i="46"/>
  <c r="F139" i="46"/>
  <c r="F138" i="46"/>
  <c r="C29" i="46"/>
  <c r="L29" i="46"/>
  <c r="E115" i="46" s="1"/>
  <c r="K29" i="46"/>
  <c r="G29" i="46"/>
  <c r="J29" i="46" l="1"/>
  <c r="C115" i="46" s="1"/>
  <c r="D115" i="46"/>
  <c r="L40" i="28"/>
  <c r="H72" i="72" l="1"/>
  <c r="L39" i="28" s="1"/>
  <c r="E45" i="21"/>
  <c r="E44" i="21"/>
  <c r="B190" i="71" l="1"/>
  <c r="B187" i="71"/>
  <c r="E21" i="2"/>
  <c r="E20" i="2"/>
  <c r="E12" i="2"/>
  <c r="E11" i="2"/>
  <c r="E41" i="71"/>
  <c r="H27" i="8"/>
  <c r="H25" i="8"/>
  <c r="H23" i="8"/>
  <c r="H9" i="8"/>
  <c r="H8" i="8"/>
  <c r="G40" i="32"/>
  <c r="G34" i="32"/>
  <c r="G28" i="32"/>
  <c r="G20" i="32"/>
  <c r="G14" i="32"/>
  <c r="G41" i="32"/>
  <c r="G35" i="32"/>
  <c r="G29" i="32"/>
  <c r="G21" i="32"/>
  <c r="G15" i="32"/>
  <c r="B37" i="31"/>
  <c r="G10" i="31"/>
  <c r="G9" i="31"/>
  <c r="B99" i="44"/>
  <c r="B194" i="71"/>
  <c r="B184" i="71"/>
  <c r="B183" i="71"/>
  <c r="F141" i="71"/>
  <c r="F140" i="71"/>
  <c r="F114" i="71"/>
  <c r="F54" i="71"/>
  <c r="F47" i="71"/>
  <c r="D87" i="46"/>
  <c r="G90" i="12"/>
  <c r="J49" i="28"/>
  <c r="J47" i="28"/>
  <c r="J46" i="28"/>
  <c r="J32" i="28"/>
  <c r="J8" i="28"/>
  <c r="G68" i="8"/>
  <c r="G70" i="8"/>
  <c r="H61" i="8"/>
  <c r="E58" i="7"/>
  <c r="E54" i="7"/>
  <c r="E51" i="7"/>
  <c r="E39" i="7"/>
  <c r="I135" i="1"/>
  <c r="I134" i="1"/>
  <c r="I133" i="1"/>
  <c r="I130" i="1"/>
  <c r="I128" i="1"/>
  <c r="I126" i="1"/>
  <c r="I100" i="1"/>
  <c r="I32" i="1"/>
  <c r="I30" i="1"/>
  <c r="I26" i="1"/>
  <c r="I22" i="1"/>
  <c r="I12" i="1"/>
  <c r="I11" i="1"/>
  <c r="D71" i="17" l="1"/>
  <c r="D7" i="17" s="1"/>
  <c r="F200" i="61" l="1"/>
  <c r="F201" i="61"/>
  <c r="F198" i="61"/>
  <c r="F204" i="61"/>
  <c r="G31" i="57" l="1"/>
  <c r="F48" i="71"/>
  <c r="F55" i="71"/>
  <c r="C36" i="71"/>
  <c r="F34" i="71"/>
  <c r="J45" i="8" l="1"/>
  <c r="E70" i="8" l="1"/>
  <c r="C108" i="26" l="1"/>
  <c r="G98" i="12"/>
  <c r="E19" i="55"/>
  <c r="E17" i="55"/>
  <c r="E18" i="55"/>
  <c r="G33" i="57"/>
  <c r="A33" i="57"/>
  <c r="A34" i="57" s="1"/>
  <c r="A35" i="57" s="1"/>
  <c r="A36" i="57" s="1"/>
  <c r="A37" i="57" s="1"/>
  <c r="A38" i="57" s="1"/>
  <c r="A39" i="57" s="1"/>
  <c r="A40" i="57" s="1"/>
  <c r="A41" i="57" s="1"/>
  <c r="A42" i="57" s="1"/>
  <c r="A43" i="57" s="1"/>
  <c r="A44" i="57" s="1"/>
  <c r="A45" i="57" s="1"/>
  <c r="A46" i="57" s="1"/>
  <c r="A47" i="57" s="1"/>
  <c r="A32" i="57"/>
  <c r="G21" i="45"/>
  <c r="I21" i="45"/>
  <c r="L23" i="4" l="1"/>
  <c r="L24" i="64" s="1"/>
  <c r="C119" i="48" s="1"/>
  <c r="E119" i="48" s="1"/>
  <c r="K23" i="4"/>
  <c r="K24" i="64" s="1"/>
  <c r="C118" i="48" s="1"/>
  <c r="E118" i="48" s="1"/>
  <c r="J23" i="4"/>
  <c r="J24" i="64" s="1"/>
  <c r="C117" i="48" s="1"/>
  <c r="E117" i="48" s="1"/>
  <c r="I23" i="4"/>
  <c r="I24" i="64" s="1"/>
  <c r="C116" i="48" s="1"/>
  <c r="E116" i="48" s="1"/>
  <c r="H23" i="4"/>
  <c r="H24" i="64" s="1"/>
  <c r="C115" i="48" s="1"/>
  <c r="E115" i="48" s="1"/>
  <c r="G23" i="4"/>
  <c r="G24" i="64" s="1"/>
  <c r="C114" i="48" s="1"/>
  <c r="E114" i="48" s="1"/>
  <c r="F23" i="4"/>
  <c r="F24" i="64" s="1"/>
  <c r="C113" i="48" s="1"/>
  <c r="E113" i="48" s="1"/>
  <c r="E23" i="4"/>
  <c r="E24" i="64" s="1"/>
  <c r="C112" i="48" s="1"/>
  <c r="E122" i="48" l="1"/>
  <c r="E112" i="48"/>
  <c r="E121" i="48" s="1"/>
  <c r="F70" i="26"/>
  <c r="H57" i="26"/>
  <c r="F64" i="26"/>
  <c r="E124" i="48" l="1"/>
  <c r="L71" i="48" s="1"/>
  <c r="M71" i="48" s="1"/>
  <c r="N71" i="48" s="1"/>
  <c r="G63" i="22"/>
  <c r="G69" i="22"/>
  <c r="G46" i="22"/>
  <c r="G34" i="22"/>
  <c r="C57" i="22"/>
  <c r="L56" i="48" l="1"/>
  <c r="L45" i="48"/>
  <c r="L87" i="48"/>
  <c r="L53" i="48"/>
  <c r="L60" i="48"/>
  <c r="L52" i="48"/>
  <c r="L57" i="48"/>
  <c r="L75" i="48"/>
  <c r="L90" i="48"/>
  <c r="L85" i="48"/>
  <c r="L55" i="48"/>
  <c r="L77" i="48"/>
  <c r="L73" i="48"/>
  <c r="L74" i="48"/>
  <c r="L62" i="48"/>
  <c r="L84" i="48"/>
  <c r="L54" i="48"/>
  <c r="L50" i="48"/>
  <c r="L44" i="48"/>
  <c r="L43" i="48"/>
  <c r="M43" i="48" s="1"/>
  <c r="L89" i="48"/>
  <c r="L61" i="48"/>
  <c r="L59" i="48"/>
  <c r="L30" i="48" s="1"/>
  <c r="L83" i="48"/>
  <c r="L26" i="48" s="1"/>
  <c r="L81" i="48"/>
  <c r="L79" i="48"/>
  <c r="L51" i="48"/>
  <c r="L49" i="48"/>
  <c r="L20" i="48" s="1"/>
  <c r="L72" i="48"/>
  <c r="M72" i="48" s="1"/>
  <c r="L46" i="48"/>
  <c r="L88" i="48"/>
  <c r="L86" i="48"/>
  <c r="L58" i="48"/>
  <c r="L82" i="48"/>
  <c r="L80" i="48"/>
  <c r="L78" i="48"/>
  <c r="L76" i="48"/>
  <c r="L48" i="48"/>
  <c r="L47" i="48"/>
  <c r="F69" i="22"/>
  <c r="F46" i="22" s="1"/>
  <c r="F63" i="22"/>
  <c r="F34" i="22" s="1"/>
  <c r="L28" i="48" l="1"/>
  <c r="L18" i="48"/>
  <c r="L21" i="48"/>
  <c r="L16" i="48"/>
  <c r="L27" i="48"/>
  <c r="L25" i="48"/>
  <c r="F49" i="22"/>
  <c r="L24" i="48"/>
  <c r="L33" i="48"/>
  <c r="L17" i="48"/>
  <c r="L19" i="48"/>
  <c r="L32" i="48"/>
  <c r="L31" i="48"/>
  <c r="L15" i="48"/>
  <c r="L23" i="48"/>
  <c r="L29" i="48"/>
  <c r="L14" i="48"/>
  <c r="L22" i="48"/>
  <c r="M73" i="48"/>
  <c r="N72" i="48"/>
  <c r="M14" i="48"/>
  <c r="M44" i="48"/>
  <c r="N43" i="48"/>
  <c r="N14" i="48" s="1"/>
  <c r="N181" i="61"/>
  <c r="J181" i="61"/>
  <c r="M181" i="61" s="1"/>
  <c r="G181" i="61"/>
  <c r="I181" i="61" s="1"/>
  <c r="E187" i="61"/>
  <c r="M45" i="48" l="1"/>
  <c r="M15" i="48"/>
  <c r="N44" i="48"/>
  <c r="N15" i="48" s="1"/>
  <c r="N73" i="48"/>
  <c r="M74" i="48"/>
  <c r="K44" i="1"/>
  <c r="K52" i="1" s="1"/>
  <c r="B112" i="12"/>
  <c r="E129" i="21"/>
  <c r="M75" i="48" l="1"/>
  <c r="N74" i="48"/>
  <c r="M46" i="48"/>
  <c r="M16" i="48"/>
  <c r="N45" i="48"/>
  <c r="N16" i="48" s="1"/>
  <c r="K133" i="1"/>
  <c r="N46" i="48" l="1"/>
  <c r="N17" i="48" s="1"/>
  <c r="M47" i="48"/>
  <c r="M17" i="48"/>
  <c r="N75" i="48"/>
  <c r="M76" i="48"/>
  <c r="C8" i="72"/>
  <c r="L8" i="28" s="1"/>
  <c r="A34" i="72"/>
  <c r="J50" i="28" s="1"/>
  <c r="A26" i="72"/>
  <c r="J33" i="28" s="1"/>
  <c r="C32" i="72"/>
  <c r="L49" i="28" s="1"/>
  <c r="A22" i="72"/>
  <c r="A10" i="72"/>
  <c r="C34" i="72"/>
  <c r="L50" i="28" s="1"/>
  <c r="C30" i="72"/>
  <c r="L46" i="28" s="1"/>
  <c r="C28" i="72"/>
  <c r="L34" i="28" s="1"/>
  <c r="L48" i="28" s="1"/>
  <c r="C26" i="72"/>
  <c r="L33" i="28" s="1"/>
  <c r="C24" i="72"/>
  <c r="C14" i="72"/>
  <c r="L11" i="28" s="1"/>
  <c r="C10" i="72"/>
  <c r="L9" i="28" s="1"/>
  <c r="M18" i="48" l="1"/>
  <c r="N47" i="48"/>
  <c r="N18" i="48" s="1"/>
  <c r="M48" i="48"/>
  <c r="N76" i="48"/>
  <c r="M77" i="48"/>
  <c r="L16" i="28"/>
  <c r="A14" i="72"/>
  <c r="J9" i="28"/>
  <c r="L32" i="28"/>
  <c r="L47" i="28"/>
  <c r="A28" i="72"/>
  <c r="J34" i="28" s="1"/>
  <c r="M19" i="48" l="1"/>
  <c r="M49" i="48"/>
  <c r="N48" i="48"/>
  <c r="N19" i="48" s="1"/>
  <c r="N77" i="48"/>
  <c r="M78" i="48"/>
  <c r="A16" i="72"/>
  <c r="J11" i="28"/>
  <c r="M20" i="48" l="1"/>
  <c r="N49" i="48"/>
  <c r="N20" i="48" s="1"/>
  <c r="M50" i="48"/>
  <c r="M79" i="48"/>
  <c r="N78" i="48"/>
  <c r="A18" i="72"/>
  <c r="F36" i="53"/>
  <c r="E36" i="53"/>
  <c r="M51" i="48" l="1"/>
  <c r="N50" i="48"/>
  <c r="N21" i="48" s="1"/>
  <c r="M21" i="48"/>
  <c r="N79" i="48"/>
  <c r="M80" i="48"/>
  <c r="L41" i="28"/>
  <c r="A9" i="28"/>
  <c r="N80" i="48" l="1"/>
  <c r="M81" i="48"/>
  <c r="N51" i="48"/>
  <c r="N22" i="48" s="1"/>
  <c r="M52" i="48"/>
  <c r="M22" i="48"/>
  <c r="A11" i="28"/>
  <c r="A12" i="28" s="1"/>
  <c r="A13" i="28" s="1"/>
  <c r="L51" i="28"/>
  <c r="L35" i="28"/>
  <c r="L43" i="28" s="1"/>
  <c r="M53" i="48" l="1"/>
  <c r="N52" i="48"/>
  <c r="N23" i="48" s="1"/>
  <c r="M23" i="48"/>
  <c r="M82" i="48"/>
  <c r="N81" i="48"/>
  <c r="J16" i="28"/>
  <c r="A14" i="28"/>
  <c r="E41" i="57"/>
  <c r="N82" i="48" l="1"/>
  <c r="M83" i="48"/>
  <c r="M54" i="48"/>
  <c r="M24" i="48"/>
  <c r="N53" i="48"/>
  <c r="N24" i="48" s="1"/>
  <c r="E51" i="63"/>
  <c r="E50" i="63"/>
  <c r="E49" i="63"/>
  <c r="E48" i="63"/>
  <c r="E45" i="63"/>
  <c r="E44" i="63"/>
  <c r="E43" i="63"/>
  <c r="E42" i="63"/>
  <c r="E41" i="63"/>
  <c r="E40" i="63"/>
  <c r="E39" i="63"/>
  <c r="E38" i="63"/>
  <c r="E37" i="63"/>
  <c r="E36" i="63"/>
  <c r="E35" i="63"/>
  <c r="E34" i="63"/>
  <c r="E33" i="63"/>
  <c r="E32" i="63"/>
  <c r="E31" i="63"/>
  <c r="E30" i="63"/>
  <c r="E29" i="63"/>
  <c r="M25" i="48" l="1"/>
  <c r="M55" i="48"/>
  <c r="N54" i="48"/>
  <c r="N25" i="48" s="1"/>
  <c r="M84" i="48"/>
  <c r="N83" i="48"/>
  <c r="E27" i="12"/>
  <c r="E26" i="12"/>
  <c r="E25" i="12"/>
  <c r="N84" i="48" l="1"/>
  <c r="M85" i="48"/>
  <c r="M26" i="48"/>
  <c r="N55" i="48"/>
  <c r="N26" i="48" s="1"/>
  <c r="M56" i="48"/>
  <c r="A15" i="28"/>
  <c r="N85" i="48" l="1"/>
  <c r="M86" i="48"/>
  <c r="N56" i="48"/>
  <c r="N27" i="48" s="1"/>
  <c r="M57" i="48"/>
  <c r="M27" i="48"/>
  <c r="A16" i="28"/>
  <c r="I63" i="1" s="1"/>
  <c r="M28" i="48" l="1"/>
  <c r="N57" i="48"/>
  <c r="N28" i="48" s="1"/>
  <c r="M58" i="48"/>
  <c r="M87" i="48"/>
  <c r="N86" i="48"/>
  <c r="A19" i="28"/>
  <c r="J27" i="28" s="1"/>
  <c r="N87" i="48" l="1"/>
  <c r="M88" i="48"/>
  <c r="N58" i="48"/>
  <c r="N29" i="48" s="1"/>
  <c r="M59" i="48"/>
  <c r="M29" i="48"/>
  <c r="A20" i="28"/>
  <c r="A21" i="28" s="1"/>
  <c r="A22" i="28" s="1"/>
  <c r="A23" i="28" s="1"/>
  <c r="A25" i="28" s="1"/>
  <c r="A26" i="28" s="1"/>
  <c r="A27" i="28" s="1"/>
  <c r="I64" i="1" s="1"/>
  <c r="M60" i="48" l="1"/>
  <c r="M30" i="48"/>
  <c r="N59" i="48"/>
  <c r="N30" i="48" s="1"/>
  <c r="N88" i="48"/>
  <c r="M89" i="48"/>
  <c r="A29" i="28"/>
  <c r="I65" i="1" s="1"/>
  <c r="J29" i="28"/>
  <c r="A32" i="28"/>
  <c r="A33" i="28" s="1"/>
  <c r="H302" i="11"/>
  <c r="G302" i="11"/>
  <c r="H301" i="11"/>
  <c r="G301" i="11"/>
  <c r="H300" i="11"/>
  <c r="G300" i="11"/>
  <c r="H299" i="11"/>
  <c r="G299" i="11"/>
  <c r="H298" i="11"/>
  <c r="G298" i="11"/>
  <c r="H297" i="11"/>
  <c r="G297" i="11"/>
  <c r="H296" i="11"/>
  <c r="G296" i="11"/>
  <c r="H295" i="11"/>
  <c r="G295" i="11"/>
  <c r="H294" i="11"/>
  <c r="G294" i="11"/>
  <c r="H293" i="11"/>
  <c r="G293" i="11"/>
  <c r="H292" i="11"/>
  <c r="G292" i="11"/>
  <c r="H291" i="11"/>
  <c r="G291" i="11"/>
  <c r="H290" i="11"/>
  <c r="G290" i="11"/>
  <c r="H283" i="11"/>
  <c r="G283" i="11"/>
  <c r="H282" i="11"/>
  <c r="G282" i="11"/>
  <c r="H281" i="11"/>
  <c r="G281" i="11"/>
  <c r="H280" i="11"/>
  <c r="G280" i="11"/>
  <c r="H279" i="11"/>
  <c r="G279" i="11"/>
  <c r="H278" i="11"/>
  <c r="G278" i="11"/>
  <c r="H277" i="11"/>
  <c r="G277" i="11"/>
  <c r="H276" i="11"/>
  <c r="G276" i="11"/>
  <c r="H275" i="11"/>
  <c r="G275" i="11"/>
  <c r="H274" i="11"/>
  <c r="G274" i="11"/>
  <c r="H273" i="11"/>
  <c r="G273" i="11"/>
  <c r="H272" i="11"/>
  <c r="G272" i="11"/>
  <c r="H271" i="11"/>
  <c r="G271" i="11"/>
  <c r="H264" i="11"/>
  <c r="G264" i="11"/>
  <c r="H263" i="11"/>
  <c r="G263" i="11"/>
  <c r="H262" i="11"/>
  <c r="G262" i="11"/>
  <c r="H261" i="11"/>
  <c r="G261" i="11"/>
  <c r="H260" i="11"/>
  <c r="G260" i="11"/>
  <c r="H259" i="11"/>
  <c r="G259" i="11"/>
  <c r="H258" i="11"/>
  <c r="G258" i="11"/>
  <c r="H257" i="11"/>
  <c r="G257" i="11"/>
  <c r="H256" i="11"/>
  <c r="G256" i="11"/>
  <c r="H255" i="11"/>
  <c r="G255" i="11"/>
  <c r="H254" i="11"/>
  <c r="G254" i="11"/>
  <c r="H253" i="11"/>
  <c r="G253" i="11"/>
  <c r="H252" i="11"/>
  <c r="G252" i="11"/>
  <c r="H245" i="11"/>
  <c r="G245" i="11"/>
  <c r="H244" i="11"/>
  <c r="G244" i="11"/>
  <c r="H243" i="11"/>
  <c r="G243" i="11"/>
  <c r="H242" i="11"/>
  <c r="G242" i="11"/>
  <c r="H241" i="11"/>
  <c r="G241" i="11"/>
  <c r="H240" i="11"/>
  <c r="G240" i="11"/>
  <c r="H239" i="11"/>
  <c r="G239" i="11"/>
  <c r="H238" i="11"/>
  <c r="G238" i="11"/>
  <c r="H237" i="11"/>
  <c r="G237" i="11"/>
  <c r="H236" i="11"/>
  <c r="G236" i="11"/>
  <c r="H235" i="11"/>
  <c r="G235" i="11"/>
  <c r="H234" i="11"/>
  <c r="G234" i="11"/>
  <c r="H233" i="11"/>
  <c r="G233" i="11"/>
  <c r="H226" i="11"/>
  <c r="G226" i="11"/>
  <c r="H225" i="11"/>
  <c r="G225" i="11"/>
  <c r="H224" i="11"/>
  <c r="G224" i="11"/>
  <c r="H223" i="11"/>
  <c r="G223" i="11"/>
  <c r="H222" i="11"/>
  <c r="G222" i="11"/>
  <c r="H221" i="11"/>
  <c r="G221" i="11"/>
  <c r="H220" i="11"/>
  <c r="G220" i="11"/>
  <c r="H219" i="11"/>
  <c r="G219" i="11"/>
  <c r="H218" i="11"/>
  <c r="G218" i="11"/>
  <c r="H217" i="11"/>
  <c r="G217" i="11"/>
  <c r="H216" i="11"/>
  <c r="G216" i="11"/>
  <c r="H215" i="11"/>
  <c r="G215" i="11"/>
  <c r="H214" i="11"/>
  <c r="G214" i="11"/>
  <c r="H207" i="11"/>
  <c r="G207" i="11"/>
  <c r="H206" i="11"/>
  <c r="G206" i="11"/>
  <c r="H205" i="11"/>
  <c r="G205" i="11"/>
  <c r="H204" i="11"/>
  <c r="G204" i="11"/>
  <c r="H203" i="11"/>
  <c r="G203" i="11"/>
  <c r="H202" i="11"/>
  <c r="G202" i="11"/>
  <c r="H201" i="11"/>
  <c r="G201" i="11"/>
  <c r="H200" i="11"/>
  <c r="G200" i="11"/>
  <c r="H199" i="11"/>
  <c r="G199" i="11"/>
  <c r="H198" i="11"/>
  <c r="G198" i="11"/>
  <c r="H197" i="11"/>
  <c r="G197" i="11"/>
  <c r="H196" i="11"/>
  <c r="G196" i="11"/>
  <c r="H195" i="11"/>
  <c r="G195" i="11"/>
  <c r="H188" i="11"/>
  <c r="G188" i="11"/>
  <c r="H187" i="11"/>
  <c r="G187" i="11"/>
  <c r="H186" i="11"/>
  <c r="G186" i="11"/>
  <c r="H185" i="11"/>
  <c r="G185" i="11"/>
  <c r="H184" i="11"/>
  <c r="G184" i="11"/>
  <c r="H183" i="11"/>
  <c r="G183" i="11"/>
  <c r="H182" i="11"/>
  <c r="G182" i="11"/>
  <c r="H181" i="11"/>
  <c r="G181" i="11"/>
  <c r="H180" i="11"/>
  <c r="G180" i="11"/>
  <c r="H179" i="11"/>
  <c r="G179" i="11"/>
  <c r="H178" i="11"/>
  <c r="G178" i="11"/>
  <c r="H177" i="11"/>
  <c r="G177" i="11"/>
  <c r="H176" i="11"/>
  <c r="G176" i="11"/>
  <c r="H169" i="11"/>
  <c r="G169" i="11"/>
  <c r="G84" i="11" s="1"/>
  <c r="H168" i="11"/>
  <c r="G168" i="11"/>
  <c r="G83" i="11" s="1"/>
  <c r="H167" i="11"/>
  <c r="G167" i="11"/>
  <c r="G82" i="11" s="1"/>
  <c r="H166" i="11"/>
  <c r="G166" i="11"/>
  <c r="G81" i="11" s="1"/>
  <c r="H165" i="11"/>
  <c r="G165" i="11"/>
  <c r="G80" i="11" s="1"/>
  <c r="H164" i="11"/>
  <c r="G164" i="11"/>
  <c r="G79" i="11" s="1"/>
  <c r="H163" i="11"/>
  <c r="G163" i="11"/>
  <c r="G78" i="11" s="1"/>
  <c r="H162" i="11"/>
  <c r="G162" i="11"/>
  <c r="G77" i="11" s="1"/>
  <c r="H161" i="11"/>
  <c r="G161" i="11"/>
  <c r="G76" i="11" s="1"/>
  <c r="H160" i="11"/>
  <c r="G160" i="11"/>
  <c r="G75" i="11" s="1"/>
  <c r="H159" i="11"/>
  <c r="G159" i="11"/>
  <c r="G74" i="11" s="1"/>
  <c r="H158" i="11"/>
  <c r="G158" i="11"/>
  <c r="G73" i="11" s="1"/>
  <c r="H157" i="11"/>
  <c r="G157" i="11"/>
  <c r="G72" i="11" s="1"/>
  <c r="H149" i="11"/>
  <c r="G149" i="11"/>
  <c r="H84" i="11" s="1"/>
  <c r="H148" i="11"/>
  <c r="G148" i="11"/>
  <c r="H83" i="11" s="1"/>
  <c r="H147" i="11"/>
  <c r="G147" i="11"/>
  <c r="H82" i="11" s="1"/>
  <c r="H146" i="11"/>
  <c r="G146" i="11"/>
  <c r="H81" i="11" s="1"/>
  <c r="H145" i="11"/>
  <c r="G145" i="11"/>
  <c r="H80" i="11" s="1"/>
  <c r="H144" i="11"/>
  <c r="G144" i="11"/>
  <c r="H79" i="11" s="1"/>
  <c r="H143" i="11"/>
  <c r="G143" i="11"/>
  <c r="H78" i="11" s="1"/>
  <c r="H142" i="11"/>
  <c r="G142" i="11"/>
  <c r="H77" i="11" s="1"/>
  <c r="H141" i="11"/>
  <c r="G141" i="11"/>
  <c r="H76" i="11" s="1"/>
  <c r="H140" i="11"/>
  <c r="G140" i="11"/>
  <c r="H75" i="11" s="1"/>
  <c r="H139" i="11"/>
  <c r="G139" i="11"/>
  <c r="H74" i="11" s="1"/>
  <c r="H138" i="11"/>
  <c r="G138" i="11"/>
  <c r="H73" i="11" s="1"/>
  <c r="H137" i="11"/>
  <c r="G137" i="11"/>
  <c r="H72" i="11" s="1"/>
  <c r="H129" i="11"/>
  <c r="G129" i="11"/>
  <c r="F84" i="11" s="1"/>
  <c r="H128" i="11"/>
  <c r="G128" i="11"/>
  <c r="F83" i="11" s="1"/>
  <c r="H127" i="11"/>
  <c r="G127" i="11"/>
  <c r="F82" i="11" s="1"/>
  <c r="H126" i="11"/>
  <c r="G126" i="11"/>
  <c r="F81" i="11" s="1"/>
  <c r="H125" i="11"/>
  <c r="G125" i="11"/>
  <c r="F80" i="11" s="1"/>
  <c r="H124" i="11"/>
  <c r="G124" i="11"/>
  <c r="F79" i="11" s="1"/>
  <c r="H123" i="11"/>
  <c r="G123" i="11"/>
  <c r="F78" i="11" s="1"/>
  <c r="H122" i="11"/>
  <c r="G122" i="11"/>
  <c r="F77" i="11" s="1"/>
  <c r="H121" i="11"/>
  <c r="G121" i="11"/>
  <c r="F76" i="11" s="1"/>
  <c r="H120" i="11"/>
  <c r="G120" i="11"/>
  <c r="F75" i="11" s="1"/>
  <c r="H119" i="11"/>
  <c r="G119" i="11"/>
  <c r="F74" i="11" s="1"/>
  <c r="H118" i="11"/>
  <c r="G118" i="11"/>
  <c r="F73" i="11" s="1"/>
  <c r="H117" i="11"/>
  <c r="G117" i="11"/>
  <c r="F72" i="11" s="1"/>
  <c r="F107" i="11"/>
  <c r="E97" i="11" l="1"/>
  <c r="G97" i="11" s="1"/>
  <c r="E101" i="11"/>
  <c r="G101" i="11" s="1"/>
  <c r="E105" i="11"/>
  <c r="G105" i="11" s="1"/>
  <c r="E99" i="11"/>
  <c r="G99" i="11" s="1"/>
  <c r="E103" i="11"/>
  <c r="G103" i="11" s="1"/>
  <c r="E95" i="11"/>
  <c r="G95" i="11" s="1"/>
  <c r="E94" i="11"/>
  <c r="G94" i="11" s="1"/>
  <c r="E96" i="11"/>
  <c r="G96" i="11" s="1"/>
  <c r="E102" i="11"/>
  <c r="G102" i="11" s="1"/>
  <c r="E104" i="11"/>
  <c r="G104" i="11" s="1"/>
  <c r="E98" i="11"/>
  <c r="G98" i="11" s="1"/>
  <c r="E100" i="11"/>
  <c r="G100" i="11" s="1"/>
  <c r="E106" i="11"/>
  <c r="G106" i="11" s="1"/>
  <c r="N89" i="48"/>
  <c r="M90" i="48"/>
  <c r="N90" i="48" s="1"/>
  <c r="N60" i="48"/>
  <c r="N31" i="48" s="1"/>
  <c r="M61" i="48"/>
  <c r="M31" i="48"/>
  <c r="I47" i="28"/>
  <c r="A34" i="28"/>
  <c r="B57" i="28" s="1"/>
  <c r="G107" i="11" l="1"/>
  <c r="E107" i="11"/>
  <c r="M62" i="48"/>
  <c r="M32" i="48"/>
  <c r="N61" i="48"/>
  <c r="N32" i="48" s="1"/>
  <c r="I48" i="28"/>
  <c r="A35" i="28"/>
  <c r="I68" i="1" s="1"/>
  <c r="J35" i="28"/>
  <c r="N62" i="48" l="1"/>
  <c r="N33" i="48" s="1"/>
  <c r="N34" i="48" s="1"/>
  <c r="D78" i="7" s="1"/>
  <c r="M33" i="48"/>
  <c r="A38" i="28"/>
  <c r="A39" i="28" s="1"/>
  <c r="A40" i="28" s="1"/>
  <c r="A41" i="28" s="1"/>
  <c r="I69" i="1" s="1"/>
  <c r="B170" i="21"/>
  <c r="D156" i="21"/>
  <c r="M129" i="21"/>
  <c r="L129" i="21"/>
  <c r="K129" i="21"/>
  <c r="J129" i="21"/>
  <c r="I129" i="21"/>
  <c r="H129" i="21"/>
  <c r="G129" i="21"/>
  <c r="F129" i="21"/>
  <c r="D129" i="21"/>
  <c r="M83" i="21"/>
  <c r="L83" i="21"/>
  <c r="K83" i="21"/>
  <c r="J83" i="21"/>
  <c r="I83" i="21"/>
  <c r="H83" i="21"/>
  <c r="G83" i="21"/>
  <c r="F83" i="21"/>
  <c r="E83" i="21"/>
  <c r="D83" i="21"/>
  <c r="N82" i="21"/>
  <c r="N81" i="21"/>
  <c r="N80" i="21"/>
  <c r="N79" i="21"/>
  <c r="N78" i="21"/>
  <c r="N77" i="21"/>
  <c r="N76" i="21"/>
  <c r="N75" i="21"/>
  <c r="N74" i="21"/>
  <c r="N73" i="21"/>
  <c r="N72" i="21"/>
  <c r="N71" i="21"/>
  <c r="F58" i="21"/>
  <c r="E46" i="21"/>
  <c r="F51" i="21" s="1"/>
  <c r="F35" i="21"/>
  <c r="E35" i="21"/>
  <c r="D35" i="21"/>
  <c r="A35" i="21"/>
  <c r="H19" i="8" s="1"/>
  <c r="G34" i="21"/>
  <c r="G33" i="21"/>
  <c r="D25" i="21"/>
  <c r="N24" i="21"/>
  <c r="A13" i="21"/>
  <c r="A14" i="21" s="1"/>
  <c r="A15" i="21" s="1"/>
  <c r="A16" i="21" s="1"/>
  <c r="A17" i="21" s="1"/>
  <c r="A18" i="21" s="1"/>
  <c r="A19" i="21" s="1"/>
  <c r="A20" i="21" s="1"/>
  <c r="A21" i="21" s="1"/>
  <c r="A22" i="21" s="1"/>
  <c r="A23" i="21" s="1"/>
  <c r="A24" i="21" s="1"/>
  <c r="N12" i="21"/>
  <c r="M11" i="4"/>
  <c r="A12" i="4"/>
  <c r="A13" i="4" s="1"/>
  <c r="A14" i="4" s="1"/>
  <c r="A15" i="4" s="1"/>
  <c r="A16" i="4" s="1"/>
  <c r="A17" i="4" s="1"/>
  <c r="A18" i="4" s="1"/>
  <c r="A19" i="4" s="1"/>
  <c r="A20" i="4" s="1"/>
  <c r="A21" i="4" s="1"/>
  <c r="A22" i="4" s="1"/>
  <c r="A23" i="4" s="1"/>
  <c r="E36" i="7" s="1"/>
  <c r="M23" i="4"/>
  <c r="M24" i="64" s="1"/>
  <c r="F34" i="4"/>
  <c r="F35" i="4"/>
  <c r="D37" i="7" s="1"/>
  <c r="C36" i="4"/>
  <c r="D36" i="4"/>
  <c r="E36" i="4"/>
  <c r="H52" i="4"/>
  <c r="H53" i="4"/>
  <c r="F61" i="4" s="1"/>
  <c r="M74" i="4"/>
  <c r="M75" i="4"/>
  <c r="M76" i="4"/>
  <c r="M77" i="4"/>
  <c r="M78" i="4"/>
  <c r="M79" i="4"/>
  <c r="M80" i="4"/>
  <c r="M81" i="4"/>
  <c r="M82" i="4"/>
  <c r="M83" i="4"/>
  <c r="M84" i="4"/>
  <c r="M85" i="4"/>
  <c r="C86" i="4"/>
  <c r="D86" i="4"/>
  <c r="E86" i="4"/>
  <c r="F86" i="4"/>
  <c r="G86" i="4"/>
  <c r="H86" i="4"/>
  <c r="I86" i="4"/>
  <c r="J86" i="4"/>
  <c r="K86" i="4"/>
  <c r="L86" i="4"/>
  <c r="M94" i="4"/>
  <c r="M95" i="4"/>
  <c r="M96" i="4"/>
  <c r="M97" i="4"/>
  <c r="M98" i="4"/>
  <c r="M99" i="4"/>
  <c r="M100" i="4"/>
  <c r="M101" i="4"/>
  <c r="M102" i="4"/>
  <c r="M103" i="4"/>
  <c r="M104" i="4"/>
  <c r="M105" i="4"/>
  <c r="C106" i="4"/>
  <c r="D106" i="4"/>
  <c r="D135" i="4" s="1"/>
  <c r="E106" i="4"/>
  <c r="E135" i="4" s="1"/>
  <c r="F106" i="4"/>
  <c r="F135" i="4" s="1"/>
  <c r="G106" i="4"/>
  <c r="G135" i="4" s="1"/>
  <c r="H106" i="4"/>
  <c r="H135" i="4" s="1"/>
  <c r="I106" i="4"/>
  <c r="I135" i="4" s="1"/>
  <c r="J106" i="4"/>
  <c r="J135" i="4" s="1"/>
  <c r="K106" i="4"/>
  <c r="K135" i="4" s="1"/>
  <c r="L106" i="4"/>
  <c r="L135" i="4" s="1"/>
  <c r="C114" i="4"/>
  <c r="D114" i="4"/>
  <c r="E114" i="4"/>
  <c r="F114" i="4"/>
  <c r="G114" i="4"/>
  <c r="H114" i="4"/>
  <c r="I114" i="4"/>
  <c r="J114" i="4"/>
  <c r="K114" i="4"/>
  <c r="L114" i="4"/>
  <c r="C115" i="4"/>
  <c r="D115" i="4"/>
  <c r="E115" i="4"/>
  <c r="F115" i="4"/>
  <c r="G115" i="4"/>
  <c r="H115" i="4"/>
  <c r="I115" i="4"/>
  <c r="J115" i="4"/>
  <c r="K115" i="4"/>
  <c r="L115" i="4"/>
  <c r="C116" i="4"/>
  <c r="D116" i="4"/>
  <c r="E116" i="4"/>
  <c r="F116" i="4"/>
  <c r="G116" i="4"/>
  <c r="H116" i="4"/>
  <c r="I116" i="4"/>
  <c r="J116" i="4"/>
  <c r="K116" i="4"/>
  <c r="L116" i="4"/>
  <c r="C117" i="4"/>
  <c r="D117" i="4"/>
  <c r="E117" i="4"/>
  <c r="F117" i="4"/>
  <c r="G117" i="4"/>
  <c r="H117" i="4"/>
  <c r="I117" i="4"/>
  <c r="J117" i="4"/>
  <c r="K117" i="4"/>
  <c r="L117" i="4"/>
  <c r="C118" i="4"/>
  <c r="D118" i="4"/>
  <c r="E118" i="4"/>
  <c r="F118" i="4"/>
  <c r="G118" i="4"/>
  <c r="H118" i="4"/>
  <c r="I118" i="4"/>
  <c r="J118" i="4"/>
  <c r="K118" i="4"/>
  <c r="L118" i="4"/>
  <c r="C119" i="4"/>
  <c r="D119" i="4"/>
  <c r="E119" i="4"/>
  <c r="F119" i="4"/>
  <c r="G119" i="4"/>
  <c r="H119" i="4"/>
  <c r="I119" i="4"/>
  <c r="J119" i="4"/>
  <c r="K119" i="4"/>
  <c r="L119" i="4"/>
  <c r="C120" i="4"/>
  <c r="D120" i="4"/>
  <c r="E120" i="4"/>
  <c r="F120" i="4"/>
  <c r="G120" i="4"/>
  <c r="H120" i="4"/>
  <c r="I120" i="4"/>
  <c r="J120" i="4"/>
  <c r="K120" i="4"/>
  <c r="L120" i="4"/>
  <c r="C121" i="4"/>
  <c r="D121" i="4"/>
  <c r="E121" i="4"/>
  <c r="F121" i="4"/>
  <c r="G121" i="4"/>
  <c r="H121" i="4"/>
  <c r="I121" i="4"/>
  <c r="J121" i="4"/>
  <c r="K121" i="4"/>
  <c r="L121" i="4"/>
  <c r="C122" i="4"/>
  <c r="D122" i="4"/>
  <c r="E122" i="4"/>
  <c r="F122" i="4"/>
  <c r="G122" i="4"/>
  <c r="H122" i="4"/>
  <c r="I122" i="4"/>
  <c r="J122" i="4"/>
  <c r="K122" i="4"/>
  <c r="L122" i="4"/>
  <c r="C123" i="4"/>
  <c r="D123" i="4"/>
  <c r="E123" i="4"/>
  <c r="F123" i="4"/>
  <c r="G123" i="4"/>
  <c r="H123" i="4"/>
  <c r="I123" i="4"/>
  <c r="J123" i="4"/>
  <c r="K123" i="4"/>
  <c r="L123" i="4"/>
  <c r="C124" i="4"/>
  <c r="D124" i="4"/>
  <c r="E124" i="4"/>
  <c r="F124" i="4"/>
  <c r="G124" i="4"/>
  <c r="H124" i="4"/>
  <c r="I124" i="4"/>
  <c r="J124" i="4"/>
  <c r="K124" i="4"/>
  <c r="L124" i="4"/>
  <c r="C125" i="4"/>
  <c r="D125" i="4"/>
  <c r="E125" i="4"/>
  <c r="F125" i="4"/>
  <c r="G125" i="4"/>
  <c r="H125" i="4"/>
  <c r="I125" i="4"/>
  <c r="J125" i="4"/>
  <c r="K125" i="4"/>
  <c r="L125" i="4"/>
  <c r="C131" i="4"/>
  <c r="D131" i="4"/>
  <c r="E131" i="4"/>
  <c r="F131" i="4"/>
  <c r="G131" i="4"/>
  <c r="H131" i="4"/>
  <c r="I131" i="4"/>
  <c r="J131" i="4"/>
  <c r="K131" i="4"/>
  <c r="L131" i="4"/>
  <c r="C135" i="4"/>
  <c r="G24" i="2"/>
  <c r="G22" i="2"/>
  <c r="I126" i="4" l="1"/>
  <c r="E126" i="4"/>
  <c r="J126" i="4"/>
  <c r="H126" i="4"/>
  <c r="F126" i="4"/>
  <c r="L126" i="4"/>
  <c r="D126" i="4"/>
  <c r="K126" i="4"/>
  <c r="G126" i="4"/>
  <c r="G148" i="4" s="1"/>
  <c r="C126" i="4"/>
  <c r="D43" i="4"/>
  <c r="K9" i="1" s="1"/>
  <c r="F36" i="4"/>
  <c r="M131" i="4"/>
  <c r="M12" i="64"/>
  <c r="D139" i="4"/>
  <c r="D146" i="4" s="1"/>
  <c r="D12" i="4" s="1"/>
  <c r="B176" i="4"/>
  <c r="L139" i="4"/>
  <c r="L149" i="4" s="1"/>
  <c r="E38" i="7"/>
  <c r="I21" i="1"/>
  <c r="H139" i="4"/>
  <c r="H146" i="4" s="1"/>
  <c r="H12" i="4" s="1"/>
  <c r="H13" i="64" s="1"/>
  <c r="H50" i="64" s="1"/>
  <c r="M106" i="4"/>
  <c r="M135" i="4" s="1"/>
  <c r="F139" i="4"/>
  <c r="J139" i="4"/>
  <c r="K139" i="4"/>
  <c r="I139" i="4"/>
  <c r="G139" i="4"/>
  <c r="E139" i="4"/>
  <c r="E149" i="4" s="1"/>
  <c r="C139" i="4"/>
  <c r="F56" i="4"/>
  <c r="G35" i="21"/>
  <c r="J19" i="8" s="1"/>
  <c r="M86" i="4"/>
  <c r="A44" i="21"/>
  <c r="A45" i="21" s="1"/>
  <c r="H46" i="21" s="1"/>
  <c r="A25" i="21"/>
  <c r="B174" i="21"/>
  <c r="K22" i="1"/>
  <c r="D39" i="7"/>
  <c r="N83" i="21"/>
  <c r="J41" i="28"/>
  <c r="J43" i="28"/>
  <c r="A43" i="28"/>
  <c r="I70" i="1" s="1"/>
  <c r="M125" i="4"/>
  <c r="M124" i="4"/>
  <c r="M123" i="4"/>
  <c r="M122" i="4"/>
  <c r="M121" i="4"/>
  <c r="M120" i="4"/>
  <c r="M119" i="4"/>
  <c r="M118" i="4"/>
  <c r="M117" i="4"/>
  <c r="M116" i="4"/>
  <c r="M115" i="4"/>
  <c r="M114" i="4"/>
  <c r="A24" i="4"/>
  <c r="N129" i="21"/>
  <c r="I147" i="4" l="1"/>
  <c r="L147" i="4"/>
  <c r="E153" i="4"/>
  <c r="G149" i="4"/>
  <c r="I149" i="4"/>
  <c r="F149" i="4"/>
  <c r="L155" i="4"/>
  <c r="L152" i="4"/>
  <c r="M139" i="4"/>
  <c r="L146" i="4"/>
  <c r="L12" i="4" s="1"/>
  <c r="L13" i="4" s="1"/>
  <c r="L14" i="64" s="1"/>
  <c r="L51" i="64" s="1"/>
  <c r="M93" i="21" s="1"/>
  <c r="L148" i="4"/>
  <c r="L156" i="4"/>
  <c r="J149" i="4"/>
  <c r="C150" i="4"/>
  <c r="G152" i="4"/>
  <c r="I150" i="4"/>
  <c r="F148" i="4"/>
  <c r="I151" i="4"/>
  <c r="L153" i="4"/>
  <c r="L154" i="4"/>
  <c r="I154" i="4"/>
  <c r="C151" i="4"/>
  <c r="K149" i="4"/>
  <c r="C157" i="4"/>
  <c r="J150" i="4"/>
  <c r="C149" i="4"/>
  <c r="H151" i="4"/>
  <c r="D157" i="4"/>
  <c r="D148" i="4"/>
  <c r="L150" i="4"/>
  <c r="E148" i="4"/>
  <c r="G151" i="4"/>
  <c r="L151" i="4"/>
  <c r="L157" i="4"/>
  <c r="C148" i="4"/>
  <c r="C155" i="4"/>
  <c r="C147" i="4"/>
  <c r="K152" i="4"/>
  <c r="D147" i="4"/>
  <c r="D13" i="4" s="1"/>
  <c r="D14" i="64" s="1"/>
  <c r="D51" i="64" s="1"/>
  <c r="E93" i="21" s="1"/>
  <c r="D154" i="4"/>
  <c r="D150" i="4"/>
  <c r="C154" i="4"/>
  <c r="C146" i="4"/>
  <c r="C12" i="4" s="1"/>
  <c r="C13" i="64" s="1"/>
  <c r="C50" i="64" s="1"/>
  <c r="D92" i="21" s="1"/>
  <c r="C153" i="4"/>
  <c r="E156" i="4"/>
  <c r="I155" i="4"/>
  <c r="K156" i="4"/>
  <c r="D155" i="4"/>
  <c r="F150" i="4"/>
  <c r="C152" i="4"/>
  <c r="C156" i="4"/>
  <c r="K151" i="4"/>
  <c r="D13" i="64"/>
  <c r="D50" i="64" s="1"/>
  <c r="E146" i="4"/>
  <c r="E12" i="4" s="1"/>
  <c r="E151" i="4"/>
  <c r="H147" i="4"/>
  <c r="H13" i="4" s="1"/>
  <c r="H157" i="4"/>
  <c r="H148" i="4"/>
  <c r="E152" i="4"/>
  <c r="E157" i="4"/>
  <c r="E147" i="4"/>
  <c r="G156" i="4"/>
  <c r="D153" i="4"/>
  <c r="H155" i="4"/>
  <c r="D152" i="4"/>
  <c r="J148" i="4"/>
  <c r="H150" i="4"/>
  <c r="E150" i="4"/>
  <c r="E155" i="4"/>
  <c r="G154" i="4"/>
  <c r="G155" i="4"/>
  <c r="I146" i="4"/>
  <c r="I12" i="4" s="1"/>
  <c r="D151" i="4"/>
  <c r="H153" i="4"/>
  <c r="F147" i="4"/>
  <c r="D149" i="4"/>
  <c r="D156" i="4"/>
  <c r="I92" i="21"/>
  <c r="E154" i="4"/>
  <c r="I156" i="4"/>
  <c r="I152" i="4"/>
  <c r="I148" i="4"/>
  <c r="I157" i="4"/>
  <c r="I153" i="4"/>
  <c r="F155" i="4"/>
  <c r="J155" i="4"/>
  <c r="G147" i="4"/>
  <c r="K148" i="4"/>
  <c r="K155" i="4"/>
  <c r="F151" i="4"/>
  <c r="F152" i="4"/>
  <c r="H152" i="4"/>
  <c r="G150" i="4"/>
  <c r="G146" i="4"/>
  <c r="G12" i="4" s="1"/>
  <c r="G157" i="4"/>
  <c r="G153" i="4"/>
  <c r="K154" i="4"/>
  <c r="K150" i="4"/>
  <c r="K146" i="4"/>
  <c r="K12" i="4" s="1"/>
  <c r="K157" i="4"/>
  <c r="K153" i="4"/>
  <c r="K147" i="4"/>
  <c r="F153" i="4"/>
  <c r="F157" i="4"/>
  <c r="F156" i="4"/>
  <c r="F146" i="4"/>
  <c r="F12" i="4" s="1"/>
  <c r="J152" i="4"/>
  <c r="H156" i="4"/>
  <c r="J147" i="4"/>
  <c r="J156" i="4"/>
  <c r="J146" i="4"/>
  <c r="J12" i="4" s="1"/>
  <c r="J13" i="64" s="1"/>
  <c r="J50" i="64" s="1"/>
  <c r="F154" i="4"/>
  <c r="J153" i="4"/>
  <c r="J157" i="4"/>
  <c r="J151" i="4"/>
  <c r="J154" i="4"/>
  <c r="H149" i="4"/>
  <c r="H154" i="4"/>
  <c r="A33" i="21"/>
  <c r="H18" i="8"/>
  <c r="M126" i="4"/>
  <c r="A46" i="28"/>
  <c r="A47" i="28" s="1"/>
  <c r="A48" i="28" s="1"/>
  <c r="A49" i="28" s="1"/>
  <c r="H35" i="21"/>
  <c r="B169" i="21"/>
  <c r="A34" i="4"/>
  <c r="G58" i="21"/>
  <c r="A46" i="21"/>
  <c r="F100" i="12"/>
  <c r="B108" i="12"/>
  <c r="L13" i="64" l="1"/>
  <c r="L50" i="64" s="1"/>
  <c r="M92" i="21" s="1"/>
  <c r="L158" i="4"/>
  <c r="M151" i="4"/>
  <c r="C13" i="4"/>
  <c r="C14" i="64" s="1"/>
  <c r="C51" i="64" s="1"/>
  <c r="D93" i="21" s="1"/>
  <c r="D14" i="4"/>
  <c r="D15" i="4" s="1"/>
  <c r="G13" i="64"/>
  <c r="G50" i="64" s="1"/>
  <c r="H92" i="21" s="1"/>
  <c r="G13" i="4"/>
  <c r="G14" i="4" s="1"/>
  <c r="M148" i="4"/>
  <c r="D158" i="4"/>
  <c r="M150" i="4"/>
  <c r="M146" i="4"/>
  <c r="C158" i="4"/>
  <c r="H158" i="4"/>
  <c r="M157" i="4"/>
  <c r="G158" i="4"/>
  <c r="J158" i="4"/>
  <c r="M156" i="4"/>
  <c r="F158" i="4"/>
  <c r="M152" i="4"/>
  <c r="M154" i="4"/>
  <c r="M147" i="4"/>
  <c r="M155" i="4"/>
  <c r="M153" i="4"/>
  <c r="I13" i="64"/>
  <c r="I50" i="64" s="1"/>
  <c r="I13" i="4"/>
  <c r="H14" i="64"/>
  <c r="H51" i="64" s="1"/>
  <c r="H14" i="4"/>
  <c r="H15" i="64" s="1"/>
  <c r="H52" i="64" s="1"/>
  <c r="I94" i="21" s="1"/>
  <c r="K13" i="64"/>
  <c r="K50" i="64" s="1"/>
  <c r="K13" i="4"/>
  <c r="E158" i="4"/>
  <c r="K158" i="4"/>
  <c r="M149" i="4"/>
  <c r="F13" i="4"/>
  <c r="F13" i="64"/>
  <c r="F50" i="64" s="1"/>
  <c r="I158" i="4"/>
  <c r="E13" i="4"/>
  <c r="E13" i="64"/>
  <c r="E50" i="64" s="1"/>
  <c r="L14" i="4"/>
  <c r="E92" i="21"/>
  <c r="K92" i="21"/>
  <c r="J13" i="4"/>
  <c r="B171" i="4"/>
  <c r="A50" i="28"/>
  <c r="M12" i="4"/>
  <c r="M13" i="64" s="1"/>
  <c r="A35" i="4"/>
  <c r="G51" i="21"/>
  <c r="A51" i="21"/>
  <c r="C14" i="4" l="1"/>
  <c r="C15" i="64" s="1"/>
  <c r="C52" i="64" s="1"/>
  <c r="D94" i="21" s="1"/>
  <c r="D15" i="64"/>
  <c r="D52" i="64" s="1"/>
  <c r="E94" i="21" s="1"/>
  <c r="M50" i="64"/>
  <c r="G14" i="64"/>
  <c r="G51" i="64" s="1"/>
  <c r="H93" i="21" s="1"/>
  <c r="H15" i="4"/>
  <c r="H16" i="4" s="1"/>
  <c r="M13" i="4"/>
  <c r="M14" i="64" s="1"/>
  <c r="M158" i="4"/>
  <c r="K14" i="4"/>
  <c r="K14" i="64"/>
  <c r="K51" i="64" s="1"/>
  <c r="L93" i="21" s="1"/>
  <c r="I14" i="4"/>
  <c r="I14" i="64"/>
  <c r="I51" i="64" s="1"/>
  <c r="J93" i="21" s="1"/>
  <c r="L15" i="4"/>
  <c r="L15" i="64"/>
  <c r="L52" i="64" s="1"/>
  <c r="G92" i="21"/>
  <c r="D16" i="4"/>
  <c r="D16" i="64"/>
  <c r="D53" i="64" s="1"/>
  <c r="E95" i="21" s="1"/>
  <c r="L92" i="21"/>
  <c r="J92" i="21"/>
  <c r="J14" i="4"/>
  <c r="J14" i="64"/>
  <c r="J51" i="64" s="1"/>
  <c r="F92" i="21"/>
  <c r="F14" i="64"/>
  <c r="F51" i="64" s="1"/>
  <c r="G93" i="21" s="1"/>
  <c r="F14" i="4"/>
  <c r="G15" i="4"/>
  <c r="G15" i="64"/>
  <c r="G52" i="64" s="1"/>
  <c r="E14" i="4"/>
  <c r="E14" i="64"/>
  <c r="E51" i="64" s="1"/>
  <c r="I93" i="21"/>
  <c r="E37" i="7"/>
  <c r="B172" i="4"/>
  <c r="A51" i="28"/>
  <c r="I73" i="1" s="1"/>
  <c r="J51" i="28"/>
  <c r="A36" i="4"/>
  <c r="E43" i="4"/>
  <c r="A52" i="21"/>
  <c r="A53" i="21" s="1"/>
  <c r="H20" i="8" s="1"/>
  <c r="H16" i="64" l="1"/>
  <c r="H53" i="64" s="1"/>
  <c r="I95" i="21" s="1"/>
  <c r="C15" i="4"/>
  <c r="C16" i="64" s="1"/>
  <c r="C53" i="64" s="1"/>
  <c r="D95" i="21" s="1"/>
  <c r="F15" i="4"/>
  <c r="F15" i="64"/>
  <c r="F52" i="64" s="1"/>
  <c r="G94" i="21" s="1"/>
  <c r="H17" i="4"/>
  <c r="H17" i="64"/>
  <c r="H54" i="64" s="1"/>
  <c r="K15" i="4"/>
  <c r="K15" i="64"/>
  <c r="K52" i="64" s="1"/>
  <c r="H94" i="21"/>
  <c r="J15" i="4"/>
  <c r="J15" i="64"/>
  <c r="J52" i="64" s="1"/>
  <c r="K94" i="21" s="1"/>
  <c r="F93" i="21"/>
  <c r="M51" i="64"/>
  <c r="G16" i="4"/>
  <c r="G16" i="64"/>
  <c r="G53" i="64" s="1"/>
  <c r="H95" i="21" s="1"/>
  <c r="D17" i="4"/>
  <c r="D17" i="64"/>
  <c r="D54" i="64" s="1"/>
  <c r="L16" i="64"/>
  <c r="L53" i="64" s="1"/>
  <c r="M95" i="21" s="1"/>
  <c r="L16" i="4"/>
  <c r="I15" i="4"/>
  <c r="I15" i="64"/>
  <c r="I52" i="64" s="1"/>
  <c r="M14" i="4"/>
  <c r="M15" i="64" s="1"/>
  <c r="E15" i="4"/>
  <c r="E15" i="64"/>
  <c r="E52" i="64" s="1"/>
  <c r="K93" i="21"/>
  <c r="M94" i="21"/>
  <c r="A58" i="21"/>
  <c r="G53" i="21"/>
  <c r="A42" i="4"/>
  <c r="E42" i="4"/>
  <c r="A59" i="21"/>
  <c r="A60" i="21" s="1"/>
  <c r="I23" i="1" s="1"/>
  <c r="C16" i="4" l="1"/>
  <c r="C17" i="64" s="1"/>
  <c r="C54" i="64" s="1"/>
  <c r="D96" i="21" s="1"/>
  <c r="M15" i="4"/>
  <c r="M16" i="64" s="1"/>
  <c r="H18" i="4"/>
  <c r="H18" i="64"/>
  <c r="H55" i="64" s="1"/>
  <c r="I97" i="21" s="1"/>
  <c r="J94" i="21"/>
  <c r="E96" i="21"/>
  <c r="L94" i="21"/>
  <c r="F94" i="21"/>
  <c r="M52" i="64"/>
  <c r="I16" i="4"/>
  <c r="I16" i="64"/>
  <c r="I53" i="64" s="1"/>
  <c r="J95" i="21" s="1"/>
  <c r="D18" i="4"/>
  <c r="D18" i="64"/>
  <c r="D55" i="64" s="1"/>
  <c r="E97" i="21" s="1"/>
  <c r="J16" i="4"/>
  <c r="J16" i="64"/>
  <c r="J53" i="64" s="1"/>
  <c r="K16" i="4"/>
  <c r="K16" i="64"/>
  <c r="K53" i="64" s="1"/>
  <c r="L95" i="21" s="1"/>
  <c r="E16" i="4"/>
  <c r="E16" i="64"/>
  <c r="E53" i="64" s="1"/>
  <c r="L17" i="4"/>
  <c r="L17" i="64"/>
  <c r="L54" i="64" s="1"/>
  <c r="M96" i="21" s="1"/>
  <c r="G17" i="4"/>
  <c r="G17" i="64"/>
  <c r="G54" i="64" s="1"/>
  <c r="I96" i="21"/>
  <c r="F16" i="4"/>
  <c r="F16" i="64"/>
  <c r="F53" i="64" s="1"/>
  <c r="A43" i="4"/>
  <c r="H6" i="8"/>
  <c r="G60" i="21"/>
  <c r="A71" i="21"/>
  <c r="C17" i="4" l="1"/>
  <c r="C18" i="64" s="1"/>
  <c r="C55" i="64" s="1"/>
  <c r="D97" i="21" s="1"/>
  <c r="M16" i="4"/>
  <c r="M17" i="64" s="1"/>
  <c r="L18" i="4"/>
  <c r="L18" i="64"/>
  <c r="L55" i="64" s="1"/>
  <c r="G95" i="21"/>
  <c r="F95" i="21"/>
  <c r="M53" i="64"/>
  <c r="D19" i="4"/>
  <c r="D19" i="64"/>
  <c r="D56" i="64" s="1"/>
  <c r="E98" i="21" s="1"/>
  <c r="F17" i="4"/>
  <c r="F17" i="64"/>
  <c r="F54" i="64" s="1"/>
  <c r="G96" i="21" s="1"/>
  <c r="G18" i="4"/>
  <c r="G18" i="64"/>
  <c r="G55" i="64" s="1"/>
  <c r="H97" i="21" s="1"/>
  <c r="E17" i="4"/>
  <c r="E17" i="64"/>
  <c r="E54" i="64" s="1"/>
  <c r="J17" i="4"/>
  <c r="J17" i="64"/>
  <c r="J54" i="64" s="1"/>
  <c r="K96" i="21" s="1"/>
  <c r="H19" i="4"/>
  <c r="H19" i="64"/>
  <c r="H56" i="64" s="1"/>
  <c r="I98" i="21" s="1"/>
  <c r="I17" i="4"/>
  <c r="I17" i="64"/>
  <c r="I54" i="64" s="1"/>
  <c r="J96" i="21" s="1"/>
  <c r="K17" i="4"/>
  <c r="K17" i="64"/>
  <c r="K54" i="64" s="1"/>
  <c r="H96" i="21"/>
  <c r="K95" i="21"/>
  <c r="A52" i="4"/>
  <c r="A53" i="4" s="1"/>
  <c r="A56" i="4" s="1"/>
  <c r="I9" i="1"/>
  <c r="A72" i="21"/>
  <c r="A73" i="21" s="1"/>
  <c r="A74" i="21" s="1"/>
  <c r="A75" i="21" s="1"/>
  <c r="A76" i="21" s="1"/>
  <c r="A77" i="21" s="1"/>
  <c r="A78" i="21" s="1"/>
  <c r="A79" i="21" s="1"/>
  <c r="A80" i="21" s="1"/>
  <c r="A81" i="21" s="1"/>
  <c r="A82" i="21" s="1"/>
  <c r="A83" i="21" s="1"/>
  <c r="A91" i="21" s="1"/>
  <c r="C18" i="4" l="1"/>
  <c r="C19" i="64" s="1"/>
  <c r="C56" i="64" s="1"/>
  <c r="D98" i="21" s="1"/>
  <c r="H20" i="4"/>
  <c r="H20" i="64"/>
  <c r="H57" i="64" s="1"/>
  <c r="J18" i="4"/>
  <c r="J18" i="64"/>
  <c r="J55" i="64" s="1"/>
  <c r="K97" i="21" s="1"/>
  <c r="G19" i="4"/>
  <c r="G19" i="64"/>
  <c r="G56" i="64" s="1"/>
  <c r="D20" i="4"/>
  <c r="D20" i="64"/>
  <c r="D57" i="64" s="1"/>
  <c r="M97" i="21"/>
  <c r="K18" i="4"/>
  <c r="K18" i="64"/>
  <c r="K55" i="64" s="1"/>
  <c r="L97" i="21" s="1"/>
  <c r="E18" i="4"/>
  <c r="E18" i="64"/>
  <c r="E55" i="64" s="1"/>
  <c r="F18" i="4"/>
  <c r="F18" i="64"/>
  <c r="F55" i="64" s="1"/>
  <c r="G97" i="21" s="1"/>
  <c r="M17" i="4"/>
  <c r="M18" i="64" s="1"/>
  <c r="G61" i="4"/>
  <c r="L96" i="21"/>
  <c r="I18" i="4"/>
  <c r="I18" i="64"/>
  <c r="I55" i="64" s="1"/>
  <c r="J97" i="21" s="1"/>
  <c r="F96" i="21"/>
  <c r="M54" i="64"/>
  <c r="L19" i="4"/>
  <c r="L19" i="64"/>
  <c r="L56" i="64" s="1"/>
  <c r="M98" i="21" s="1"/>
  <c r="G56" i="4"/>
  <c r="E24" i="2"/>
  <c r="E22" i="2"/>
  <c r="A92" i="21"/>
  <c r="A93" i="21" s="1"/>
  <c r="A94" i="21" s="1"/>
  <c r="A95" i="21" s="1"/>
  <c r="A96" i="21" s="1"/>
  <c r="A97" i="21" s="1"/>
  <c r="A98" i="21" s="1"/>
  <c r="A99" i="21" s="1"/>
  <c r="A100" i="21" s="1"/>
  <c r="A101" i="21" s="1"/>
  <c r="A102" i="21" s="1"/>
  <c r="A103" i="21" s="1"/>
  <c r="A57" i="4"/>
  <c r="A58" i="4" s="1"/>
  <c r="M18" i="4" l="1"/>
  <c r="M19" i="64" s="1"/>
  <c r="C19" i="4"/>
  <c r="C20" i="64" s="1"/>
  <c r="C57" i="64" s="1"/>
  <c r="D99" i="21" s="1"/>
  <c r="I19" i="4"/>
  <c r="I19" i="64"/>
  <c r="I56" i="64" s="1"/>
  <c r="E19" i="4"/>
  <c r="E19" i="64"/>
  <c r="E56" i="64" s="1"/>
  <c r="E99" i="21"/>
  <c r="H21" i="4"/>
  <c r="H21" i="64"/>
  <c r="H58" i="64" s="1"/>
  <c r="I100" i="21" s="1"/>
  <c r="F19" i="4"/>
  <c r="F19" i="64"/>
  <c r="F56" i="64" s="1"/>
  <c r="G98" i="21" s="1"/>
  <c r="D21" i="4"/>
  <c r="D21" i="64"/>
  <c r="D58" i="64" s="1"/>
  <c r="E100" i="21" s="1"/>
  <c r="J19" i="4"/>
  <c r="J19" i="64"/>
  <c r="J56" i="64" s="1"/>
  <c r="L20" i="4"/>
  <c r="L20" i="64"/>
  <c r="L57" i="64" s="1"/>
  <c r="M99" i="21" s="1"/>
  <c r="K19" i="4"/>
  <c r="K19" i="64"/>
  <c r="K56" i="64" s="1"/>
  <c r="H98" i="21"/>
  <c r="F97" i="21"/>
  <c r="M55" i="64"/>
  <c r="G20" i="4"/>
  <c r="G20" i="64"/>
  <c r="G57" i="64" s="1"/>
  <c r="H99" i="21" s="1"/>
  <c r="I99" i="21"/>
  <c r="A61" i="4"/>
  <c r="A62" i="4" s="1"/>
  <c r="A63" i="4" s="1"/>
  <c r="H7" i="8"/>
  <c r="B175" i="21"/>
  <c r="A111" i="21"/>
  <c r="B173" i="21"/>
  <c r="G58" i="4"/>
  <c r="C20" i="4" l="1"/>
  <c r="C21" i="64" s="1"/>
  <c r="C58" i="64" s="1"/>
  <c r="D100" i="21" s="1"/>
  <c r="M19" i="4"/>
  <c r="M20" i="64" s="1"/>
  <c r="K98" i="21"/>
  <c r="D22" i="4"/>
  <c r="D23" i="64" s="1"/>
  <c r="D60" i="64" s="1"/>
  <c r="D22" i="64"/>
  <c r="D59" i="64" s="1"/>
  <c r="E101" i="21" s="1"/>
  <c r="F98" i="21"/>
  <c r="M56" i="64"/>
  <c r="I20" i="4"/>
  <c r="I20" i="64"/>
  <c r="I57" i="64" s="1"/>
  <c r="J99" i="21" s="1"/>
  <c r="L98" i="21"/>
  <c r="J20" i="4"/>
  <c r="J20" i="64"/>
  <c r="J57" i="64" s="1"/>
  <c r="K99" i="21" s="1"/>
  <c r="H22" i="4"/>
  <c r="H23" i="64" s="1"/>
  <c r="H60" i="64" s="1"/>
  <c r="H22" i="64"/>
  <c r="H59" i="64" s="1"/>
  <c r="I101" i="21" s="1"/>
  <c r="E20" i="4"/>
  <c r="E20" i="64"/>
  <c r="E57" i="64" s="1"/>
  <c r="G21" i="4"/>
  <c r="G21" i="64"/>
  <c r="G58" i="64" s="1"/>
  <c r="H100" i="21" s="1"/>
  <c r="K20" i="4"/>
  <c r="K20" i="64"/>
  <c r="K57" i="64" s="1"/>
  <c r="L99" i="21" s="1"/>
  <c r="L21" i="4"/>
  <c r="L21" i="64"/>
  <c r="L58" i="64" s="1"/>
  <c r="M100" i="21" s="1"/>
  <c r="F20" i="4"/>
  <c r="F20" i="64"/>
  <c r="F57" i="64" s="1"/>
  <c r="G99" i="21" s="1"/>
  <c r="J98" i="21"/>
  <c r="A74" i="4"/>
  <c r="A75" i="4" s="1"/>
  <c r="A76" i="4" s="1"/>
  <c r="A77" i="4" s="1"/>
  <c r="A78" i="4" s="1"/>
  <c r="A79" i="4" s="1"/>
  <c r="A80" i="4" s="1"/>
  <c r="A81" i="4" s="1"/>
  <c r="A82" i="4" s="1"/>
  <c r="A83" i="4" s="1"/>
  <c r="A84" i="4" s="1"/>
  <c r="A85" i="4" s="1"/>
  <c r="A86" i="4" s="1"/>
  <c r="A94" i="4" s="1"/>
  <c r="I10" i="1"/>
  <c r="A112" i="21"/>
  <c r="A113" i="21" s="1"/>
  <c r="A114" i="21" s="1"/>
  <c r="A115" i="21" s="1"/>
  <c r="A116" i="21" s="1"/>
  <c r="A117" i="21" s="1"/>
  <c r="A118" i="21" s="1"/>
  <c r="A119" i="21" s="1"/>
  <c r="A120" i="21" s="1"/>
  <c r="A121" i="21" s="1"/>
  <c r="A122" i="21" s="1"/>
  <c r="A123" i="21" s="1"/>
  <c r="A129" i="21" s="1"/>
  <c r="G63" i="4"/>
  <c r="C21" i="4" l="1"/>
  <c r="C22" i="64" s="1"/>
  <c r="C59" i="64" s="1"/>
  <c r="D101" i="21" s="1"/>
  <c r="D24" i="4"/>
  <c r="H24" i="4"/>
  <c r="K21" i="4"/>
  <c r="K21" i="64"/>
  <c r="K58" i="64" s="1"/>
  <c r="F99" i="21"/>
  <c r="M57" i="64"/>
  <c r="F21" i="4"/>
  <c r="F21" i="64"/>
  <c r="F58" i="64" s="1"/>
  <c r="G100" i="21" s="1"/>
  <c r="E21" i="4"/>
  <c r="E21" i="64"/>
  <c r="E58" i="64" s="1"/>
  <c r="J21" i="4"/>
  <c r="J21" i="64"/>
  <c r="J58" i="64" s="1"/>
  <c r="K100" i="21" s="1"/>
  <c r="I21" i="4"/>
  <c r="I21" i="64"/>
  <c r="I58" i="64" s="1"/>
  <c r="J100" i="21" s="1"/>
  <c r="M20" i="4"/>
  <c r="M21" i="64" s="1"/>
  <c r="L22" i="4"/>
  <c r="L23" i="64" s="1"/>
  <c r="L60" i="64" s="1"/>
  <c r="L22" i="64"/>
  <c r="L59" i="64" s="1"/>
  <c r="M101" i="21" s="1"/>
  <c r="E102" i="21"/>
  <c r="D61" i="64"/>
  <c r="G22" i="4"/>
  <c r="G22" i="64"/>
  <c r="G59" i="64" s="1"/>
  <c r="H101" i="21" s="1"/>
  <c r="I102" i="21"/>
  <c r="H61" i="64"/>
  <c r="B178" i="21"/>
  <c r="A133" i="21"/>
  <c r="A136" i="21" s="1"/>
  <c r="A95" i="4"/>
  <c r="A96" i="4" s="1"/>
  <c r="A97" i="4" s="1"/>
  <c r="A98" i="4" s="1"/>
  <c r="A99" i="4" s="1"/>
  <c r="A100" i="4" s="1"/>
  <c r="A101" i="4" s="1"/>
  <c r="A102" i="4" s="1"/>
  <c r="A103" i="4" s="1"/>
  <c r="A104" i="4" s="1"/>
  <c r="A105" i="4" s="1"/>
  <c r="A106" i="4" s="1"/>
  <c r="C22" i="4" l="1"/>
  <c r="C23" i="64" s="1"/>
  <c r="C60" i="64" s="1"/>
  <c r="D102" i="21" s="1"/>
  <c r="G23" i="64"/>
  <c r="G60" i="64" s="1"/>
  <c r="G24" i="4"/>
  <c r="F100" i="21"/>
  <c r="M58" i="64"/>
  <c r="L100" i="21"/>
  <c r="M102" i="21"/>
  <c r="L61" i="64"/>
  <c r="I22" i="4"/>
  <c r="I22" i="64"/>
  <c r="I59" i="64" s="1"/>
  <c r="J101" i="21" s="1"/>
  <c r="E22" i="4"/>
  <c r="E22" i="64"/>
  <c r="E59" i="64" s="1"/>
  <c r="K22" i="4"/>
  <c r="K22" i="64"/>
  <c r="K59" i="64" s="1"/>
  <c r="L101" i="21" s="1"/>
  <c r="M21" i="4"/>
  <c r="M22" i="64" s="1"/>
  <c r="L24" i="4"/>
  <c r="J22" i="4"/>
  <c r="J22" i="64"/>
  <c r="J59" i="64" s="1"/>
  <c r="K101" i="21" s="1"/>
  <c r="F22" i="4"/>
  <c r="F22" i="64"/>
  <c r="F59" i="64" s="1"/>
  <c r="G101" i="21" s="1"/>
  <c r="A144" i="21"/>
  <c r="A145" i="21" s="1"/>
  <c r="A146" i="21" s="1"/>
  <c r="A147" i="21" s="1"/>
  <c r="A148" i="21" s="1"/>
  <c r="A149" i="21" s="1"/>
  <c r="A150" i="21" s="1"/>
  <c r="A151" i="21" s="1"/>
  <c r="A152" i="21" s="1"/>
  <c r="A153" i="21" s="1"/>
  <c r="A154" i="21" s="1"/>
  <c r="A155" i="21" s="1"/>
  <c r="A156" i="21" s="1"/>
  <c r="B177" i="21"/>
  <c r="B176" i="21"/>
  <c r="B175" i="4"/>
  <c r="A114" i="4"/>
  <c r="B177" i="4"/>
  <c r="C61" i="64" l="1"/>
  <c r="C24" i="4"/>
  <c r="F23" i="64"/>
  <c r="F60" i="64" s="1"/>
  <c r="F24" i="4"/>
  <c r="E23" i="64"/>
  <c r="E60" i="64" s="1"/>
  <c r="E24" i="4"/>
  <c r="H102" i="21"/>
  <c r="G61" i="64"/>
  <c r="M22" i="4"/>
  <c r="J23" i="64"/>
  <c r="J60" i="64" s="1"/>
  <c r="J24" i="4"/>
  <c r="K23" i="64"/>
  <c r="K60" i="64" s="1"/>
  <c r="K24" i="4"/>
  <c r="I23" i="64"/>
  <c r="I60" i="64" s="1"/>
  <c r="I24" i="4"/>
  <c r="F101" i="21"/>
  <c r="M59" i="64"/>
  <c r="B179" i="21"/>
  <c r="A115" i="4"/>
  <c r="A116" i="4" s="1"/>
  <c r="A117" i="4" s="1"/>
  <c r="A118" i="4" s="1"/>
  <c r="A119" i="4" s="1"/>
  <c r="A120" i="4" s="1"/>
  <c r="A121" i="4" s="1"/>
  <c r="A122" i="4" s="1"/>
  <c r="A123" i="4" s="1"/>
  <c r="A124" i="4" s="1"/>
  <c r="A125" i="4" s="1"/>
  <c r="A126" i="4" s="1"/>
  <c r="A131" i="4" s="1"/>
  <c r="L102" i="21" l="1"/>
  <c r="K61" i="64"/>
  <c r="G102" i="21"/>
  <c r="F61" i="64"/>
  <c r="J102" i="21"/>
  <c r="I61" i="64"/>
  <c r="K102" i="21"/>
  <c r="J61" i="64"/>
  <c r="M24" i="4"/>
  <c r="D42" i="4" s="1"/>
  <c r="J6" i="8" s="1"/>
  <c r="M23" i="64"/>
  <c r="F102" i="21"/>
  <c r="E61" i="64"/>
  <c r="M60" i="64"/>
  <c r="M62" i="64" s="1"/>
  <c r="F92" i="64" s="1"/>
  <c r="B180" i="4"/>
  <c r="A135" i="4"/>
  <c r="A139" i="4" s="1"/>
  <c r="G224" i="53"/>
  <c r="F224" i="53"/>
  <c r="E224" i="53"/>
  <c r="G222" i="53"/>
  <c r="F222" i="53"/>
  <c r="E222" i="53"/>
  <c r="G221" i="53"/>
  <c r="F221" i="53"/>
  <c r="E221" i="53"/>
  <c r="G220" i="53"/>
  <c r="F220" i="53"/>
  <c r="E220" i="53"/>
  <c r="G219" i="53"/>
  <c r="F219" i="53"/>
  <c r="E219" i="53"/>
  <c r="G217" i="53"/>
  <c r="G216" i="53" s="1"/>
  <c r="F217" i="53"/>
  <c r="F216" i="53" s="1"/>
  <c r="E216" i="53"/>
  <c r="G215" i="53"/>
  <c r="F215" i="53"/>
  <c r="E215" i="53"/>
  <c r="G214" i="53"/>
  <c r="F214" i="53"/>
  <c r="E214" i="53"/>
  <c r="G212" i="53"/>
  <c r="F212" i="53"/>
  <c r="E212" i="53"/>
  <c r="G211" i="53"/>
  <c r="F211" i="53"/>
  <c r="E211" i="53"/>
  <c r="G210" i="53"/>
  <c r="F210" i="53"/>
  <c r="E210" i="53"/>
  <c r="G209" i="53"/>
  <c r="F209" i="53"/>
  <c r="E209" i="53"/>
  <c r="G207" i="53"/>
  <c r="F207" i="53"/>
  <c r="E207" i="53"/>
  <c r="G192" i="53"/>
  <c r="F192" i="53"/>
  <c r="D51" i="53" s="1"/>
  <c r="G191" i="53"/>
  <c r="F191" i="53"/>
  <c r="D50" i="53" s="1"/>
  <c r="G190" i="53"/>
  <c r="F190" i="53"/>
  <c r="G189" i="53"/>
  <c r="F189" i="53"/>
  <c r="D48" i="53" s="1"/>
  <c r="G188" i="53"/>
  <c r="F188" i="53"/>
  <c r="H179" i="53"/>
  <c r="E179" i="53"/>
  <c r="D179" i="53"/>
  <c r="C179" i="53"/>
  <c r="I170" i="53"/>
  <c r="F170" i="53"/>
  <c r="I169" i="53"/>
  <c r="F169" i="53"/>
  <c r="I168" i="53"/>
  <c r="F168" i="53"/>
  <c r="I167" i="53"/>
  <c r="F167" i="53"/>
  <c r="I166" i="53"/>
  <c r="F166" i="53"/>
  <c r="I165" i="53"/>
  <c r="F165" i="53"/>
  <c r="I164" i="53"/>
  <c r="F164" i="53"/>
  <c r="I163" i="53"/>
  <c r="F163" i="53"/>
  <c r="I162" i="53"/>
  <c r="F162" i="53"/>
  <c r="I161" i="53"/>
  <c r="F161" i="53"/>
  <c r="I160" i="53"/>
  <c r="F160" i="53"/>
  <c r="I159" i="53"/>
  <c r="F159" i="53"/>
  <c r="I158" i="53"/>
  <c r="F158" i="53"/>
  <c r="E80" i="53"/>
  <c r="G79" i="53"/>
  <c r="G78" i="53"/>
  <c r="G77" i="53"/>
  <c r="G76" i="53"/>
  <c r="G75" i="53"/>
  <c r="G74" i="53"/>
  <c r="G72" i="53"/>
  <c r="G71" i="53"/>
  <c r="G70" i="53"/>
  <c r="G69" i="53"/>
  <c r="A56" i="53"/>
  <c r="A57" i="53" s="1"/>
  <c r="A58" i="53" s="1"/>
  <c r="A60" i="53" s="1"/>
  <c r="A61" i="53" s="1"/>
  <c r="A62" i="53" s="1"/>
  <c r="A63" i="53" s="1"/>
  <c r="A64" i="53" s="1"/>
  <c r="A65" i="53" s="1"/>
  <c r="H51" i="53"/>
  <c r="E51" i="53"/>
  <c r="E50" i="53"/>
  <c r="H49" i="53"/>
  <c r="E49" i="53"/>
  <c r="D49" i="53"/>
  <c r="H48" i="53"/>
  <c r="E48" i="53"/>
  <c r="H47" i="53"/>
  <c r="E47" i="53"/>
  <c r="D47" i="53"/>
  <c r="E44" i="53"/>
  <c r="D44" i="53"/>
  <c r="A37" i="53"/>
  <c r="A38" i="53" s="1"/>
  <c r="A39" i="53" s="1"/>
  <c r="A40" i="53" s="1"/>
  <c r="A41" i="53" s="1"/>
  <c r="A42" i="53" s="1"/>
  <c r="A43" i="53" s="1"/>
  <c r="A44" i="53" s="1"/>
  <c r="A45" i="53" s="1"/>
  <c r="A46" i="53" s="1"/>
  <c r="G36" i="53"/>
  <c r="K9" i="53"/>
  <c r="J9" i="53"/>
  <c r="F179" i="53" l="1"/>
  <c r="H50" i="53"/>
  <c r="I179" i="53"/>
  <c r="F226" i="53"/>
  <c r="A146" i="4"/>
  <c r="B179" i="4"/>
  <c r="J159" i="53"/>
  <c r="J160" i="53"/>
  <c r="J161" i="53"/>
  <c r="J162" i="53"/>
  <c r="J163" i="53"/>
  <c r="J164" i="53"/>
  <c r="J165" i="53"/>
  <c r="J166" i="53"/>
  <c r="J167" i="53"/>
  <c r="J168" i="53"/>
  <c r="J169" i="53"/>
  <c r="J170" i="53"/>
  <c r="E226" i="53"/>
  <c r="G226" i="53"/>
  <c r="A147" i="4"/>
  <c r="A148" i="4" s="1"/>
  <c r="A149" i="4" s="1"/>
  <c r="A150" i="4" s="1"/>
  <c r="A151" i="4" s="1"/>
  <c r="A152" i="4" s="1"/>
  <c r="A153" i="4" s="1"/>
  <c r="A154" i="4" s="1"/>
  <c r="A155" i="4" s="1"/>
  <c r="A156" i="4" s="1"/>
  <c r="A157" i="4" s="1"/>
  <c r="A158" i="4" s="1"/>
  <c r="B178" i="4"/>
  <c r="J158" i="53"/>
  <c r="B181" i="4" l="1"/>
  <c r="J179" i="53"/>
  <c r="K158" i="53" s="1"/>
  <c r="K160" i="53" l="1"/>
  <c r="C19" i="53" s="1"/>
  <c r="K162" i="53"/>
  <c r="C21" i="53" s="1"/>
  <c r="K164" i="53"/>
  <c r="C23" i="53" s="1"/>
  <c r="K166" i="53"/>
  <c r="C25" i="53" s="1"/>
  <c r="K168" i="53"/>
  <c r="C27" i="53" s="1"/>
  <c r="K170" i="53"/>
  <c r="C29" i="53" s="1"/>
  <c r="K159" i="53"/>
  <c r="C18" i="53" s="1"/>
  <c r="K161" i="53"/>
  <c r="C20" i="53" s="1"/>
  <c r="K163" i="53"/>
  <c r="C22" i="53" s="1"/>
  <c r="K165" i="53"/>
  <c r="C24" i="53" s="1"/>
  <c r="K167" i="53"/>
  <c r="C26" i="53" s="1"/>
  <c r="K169" i="53"/>
  <c r="C28" i="53" s="1"/>
  <c r="C17" i="53"/>
  <c r="K179" i="53" l="1"/>
  <c r="C207" i="53"/>
  <c r="C36" i="53"/>
  <c r="C222" i="53"/>
  <c r="C216" i="53"/>
  <c r="C211" i="53"/>
  <c r="C224" i="53"/>
  <c r="C219" i="53"/>
  <c r="C212" i="53"/>
  <c r="C220" i="53"/>
  <c r="C214" i="53"/>
  <c r="C209" i="53"/>
  <c r="C221" i="53"/>
  <c r="C215" i="53"/>
  <c r="C210" i="53"/>
  <c r="C226" i="53" l="1"/>
  <c r="K69" i="1" l="1"/>
  <c r="K64" i="1"/>
  <c r="K73" i="1" l="1"/>
  <c r="K70" i="1" l="1"/>
  <c r="K84" i="1" s="1"/>
  <c r="K68" i="1"/>
  <c r="L55" i="46" l="1"/>
  <c r="E141" i="46" s="1"/>
  <c r="I141" i="46" s="1"/>
  <c r="K55" i="46"/>
  <c r="D141" i="46" s="1"/>
  <c r="H141" i="46" s="1"/>
  <c r="E62" i="46"/>
  <c r="D62" i="46"/>
  <c r="G55" i="46"/>
  <c r="C55" i="46"/>
  <c r="G141" i="46" l="1"/>
  <c r="J55" i="46"/>
  <c r="C141" i="46" s="1"/>
  <c r="B34" i="31" l="1"/>
  <c r="F44" i="26" l="1"/>
  <c r="F46" i="71" l="1"/>
  <c r="D19" i="71"/>
  <c r="D18" i="71"/>
  <c r="D53" i="71"/>
  <c r="A10" i="71"/>
  <c r="A11" i="71" s="1"/>
  <c r="A12" i="71" s="1"/>
  <c r="A13" i="71" s="1"/>
  <c r="A14" i="71" s="1"/>
  <c r="A15" i="71" s="1"/>
  <c r="A16" i="71" s="1"/>
  <c r="A17" i="71" s="1"/>
  <c r="A18" i="71" s="1"/>
  <c r="A19" i="71" s="1"/>
  <c r="D46" i="71"/>
  <c r="F53" i="71"/>
  <c r="D38" i="7"/>
  <c r="E119" i="61"/>
  <c r="E31" i="61"/>
  <c r="F70" i="61"/>
  <c r="G70" i="61" s="1"/>
  <c r="F39" i="61"/>
  <c r="J39" i="61" s="1"/>
  <c r="G12" i="2"/>
  <c r="C87" i="46"/>
  <c r="G57" i="26"/>
  <c r="E64" i="26"/>
  <c r="G11" i="2" s="1"/>
  <c r="H80" i="44"/>
  <c r="H77" i="44"/>
  <c r="H55" i="44"/>
  <c r="I34" i="44"/>
  <c r="H34" i="44"/>
  <c r="A14" i="44"/>
  <c r="A15" i="44" s="1"/>
  <c r="A16" i="44" s="1"/>
  <c r="A17" i="44" s="1"/>
  <c r="K21" i="1"/>
  <c r="E81" i="46"/>
  <c r="E83" i="46" s="1"/>
  <c r="D81" i="46"/>
  <c r="C79" i="46"/>
  <c r="J79" i="46" s="1"/>
  <c r="C165" i="46" s="1"/>
  <c r="I81" i="46"/>
  <c r="L80" i="46"/>
  <c r="E166" i="46" s="1"/>
  <c r="I166" i="46" s="1"/>
  <c r="K79" i="46"/>
  <c r="D165" i="46" s="1"/>
  <c r="H165" i="46" s="1"/>
  <c r="K78" i="46"/>
  <c r="D164" i="46" s="1"/>
  <c r="L78" i="46"/>
  <c r="E164" i="46" s="1"/>
  <c r="C78" i="46"/>
  <c r="G77" i="46"/>
  <c r="L77" i="46"/>
  <c r="E163" i="46" s="1"/>
  <c r="K77" i="46"/>
  <c r="D163" i="46" s="1"/>
  <c r="H163" i="46" s="1"/>
  <c r="C77" i="46"/>
  <c r="G76" i="46"/>
  <c r="L76" i="46"/>
  <c r="K76" i="46"/>
  <c r="D162" i="46" s="1"/>
  <c r="H162" i="46" s="1"/>
  <c r="C76" i="46"/>
  <c r="G75" i="46"/>
  <c r="L75" i="46"/>
  <c r="K75" i="46"/>
  <c r="D161" i="46" s="1"/>
  <c r="H161" i="46" s="1"/>
  <c r="J213" i="46" s="1"/>
  <c r="C75" i="46"/>
  <c r="G74" i="46"/>
  <c r="L74" i="46"/>
  <c r="E160" i="46" s="1"/>
  <c r="K74" i="46"/>
  <c r="D160" i="46" s="1"/>
  <c r="C74" i="46"/>
  <c r="G73" i="46"/>
  <c r="L73" i="46"/>
  <c r="E159" i="46" s="1"/>
  <c r="K73" i="46"/>
  <c r="D159" i="46" s="1"/>
  <c r="C73" i="46"/>
  <c r="G72" i="46"/>
  <c r="L72" i="46"/>
  <c r="K72" i="46"/>
  <c r="D158" i="46" s="1"/>
  <c r="C72" i="46"/>
  <c r="G71" i="46"/>
  <c r="L79" i="46"/>
  <c r="E165" i="46" s="1"/>
  <c r="I165" i="46" s="1"/>
  <c r="K71" i="46"/>
  <c r="C71" i="46"/>
  <c r="I62" i="46"/>
  <c r="L61" i="46"/>
  <c r="E147" i="46" s="1"/>
  <c r="G59" i="46"/>
  <c r="L59" i="46"/>
  <c r="E145" i="46" s="1"/>
  <c r="I145" i="46" s="1"/>
  <c r="C59" i="46"/>
  <c r="K58" i="46"/>
  <c r="G58" i="46"/>
  <c r="L58" i="46"/>
  <c r="E144" i="46" s="1"/>
  <c r="I144" i="46" s="1"/>
  <c r="C58" i="46"/>
  <c r="G57" i="46"/>
  <c r="L57" i="46"/>
  <c r="E143" i="46" s="1"/>
  <c r="I143" i="46" s="1"/>
  <c r="C57" i="46"/>
  <c r="K56" i="46"/>
  <c r="G56" i="46"/>
  <c r="L56" i="46"/>
  <c r="E142" i="46" s="1"/>
  <c r="I142" i="46" s="1"/>
  <c r="C56" i="46"/>
  <c r="G54" i="46"/>
  <c r="L54" i="46"/>
  <c r="E140" i="46" s="1"/>
  <c r="I140" i="46" s="1"/>
  <c r="C54" i="46"/>
  <c r="K53" i="46"/>
  <c r="D139" i="46" s="1"/>
  <c r="H139" i="46" s="1"/>
  <c r="G53" i="46"/>
  <c r="L53" i="46"/>
  <c r="E139" i="46" s="1"/>
  <c r="I139" i="46" s="1"/>
  <c r="C53" i="46"/>
  <c r="G52" i="46"/>
  <c r="L52" i="46"/>
  <c r="E138" i="46" s="1"/>
  <c r="I138" i="46" s="1"/>
  <c r="C52" i="46"/>
  <c r="K51" i="46"/>
  <c r="D137" i="46" s="1"/>
  <c r="H137" i="46" s="1"/>
  <c r="G51" i="46"/>
  <c r="L51" i="46"/>
  <c r="E137" i="46" s="1"/>
  <c r="I137" i="46" s="1"/>
  <c r="C51" i="46"/>
  <c r="G50" i="46"/>
  <c r="L50" i="46"/>
  <c r="E136" i="46" s="1"/>
  <c r="I136" i="46" s="1"/>
  <c r="C50" i="46"/>
  <c r="K49" i="46"/>
  <c r="G49" i="46"/>
  <c r="L49" i="46"/>
  <c r="E135" i="46" s="1"/>
  <c r="C49" i="46"/>
  <c r="G48" i="46"/>
  <c r="L48" i="46"/>
  <c r="E134" i="46" s="1"/>
  <c r="I134" i="46" s="1"/>
  <c r="C48" i="46"/>
  <c r="K47" i="46"/>
  <c r="D133" i="46" s="1"/>
  <c r="H133" i="46" s="1"/>
  <c r="G47" i="46"/>
  <c r="L47" i="46"/>
  <c r="E133" i="46" s="1"/>
  <c r="I133" i="46" s="1"/>
  <c r="C47" i="46"/>
  <c r="G46" i="46"/>
  <c r="L46" i="46"/>
  <c r="E132" i="46" s="1"/>
  <c r="I132" i="46" s="1"/>
  <c r="C46" i="46"/>
  <c r="K45" i="46"/>
  <c r="D131" i="46" s="1"/>
  <c r="G45" i="46"/>
  <c r="L45" i="46"/>
  <c r="E131" i="46" s="1"/>
  <c r="I131" i="46" s="1"/>
  <c r="C45" i="46"/>
  <c r="G44" i="46"/>
  <c r="L44" i="46"/>
  <c r="E130" i="46" s="1"/>
  <c r="C44" i="46"/>
  <c r="K43" i="46"/>
  <c r="D129" i="46" s="1"/>
  <c r="G43" i="46"/>
  <c r="L43" i="46"/>
  <c r="E129" i="46" s="1"/>
  <c r="C43" i="46"/>
  <c r="G42" i="46"/>
  <c r="L42" i="46"/>
  <c r="E128" i="46" s="1"/>
  <c r="C42" i="46"/>
  <c r="K41" i="46"/>
  <c r="D127" i="46" s="1"/>
  <c r="G41" i="46"/>
  <c r="L41" i="46"/>
  <c r="E127" i="46" s="1"/>
  <c r="C41" i="46"/>
  <c r="G40" i="46"/>
  <c r="L40" i="46"/>
  <c r="E126" i="46" s="1"/>
  <c r="I126" i="46" s="1"/>
  <c r="C40" i="46"/>
  <c r="K39" i="46"/>
  <c r="G39" i="46"/>
  <c r="L39" i="46"/>
  <c r="E125" i="46" s="1"/>
  <c r="C39" i="46"/>
  <c r="G38" i="46"/>
  <c r="L38" i="46"/>
  <c r="E124" i="46" s="1"/>
  <c r="I124" i="46" s="1"/>
  <c r="C38" i="46"/>
  <c r="K37" i="46"/>
  <c r="J37" i="46" s="1"/>
  <c r="C123" i="46" s="1"/>
  <c r="G37" i="46"/>
  <c r="L37" i="46"/>
  <c r="E123" i="46" s="1"/>
  <c r="I123" i="46" s="1"/>
  <c r="C37" i="46"/>
  <c r="G36" i="46"/>
  <c r="L36" i="46"/>
  <c r="E122" i="46" s="1"/>
  <c r="I122" i="46" s="1"/>
  <c r="C36" i="46"/>
  <c r="K35" i="46"/>
  <c r="J35" i="46" s="1"/>
  <c r="C121" i="46" s="1"/>
  <c r="G35" i="46"/>
  <c r="L35" i="46"/>
  <c r="E121" i="46" s="1"/>
  <c r="I121" i="46" s="1"/>
  <c r="C35" i="46"/>
  <c r="G34" i="46"/>
  <c r="L34" i="46"/>
  <c r="E120" i="46" s="1"/>
  <c r="I120" i="46" s="1"/>
  <c r="C34" i="46"/>
  <c r="K33" i="46"/>
  <c r="G33" i="46"/>
  <c r="L33" i="46"/>
  <c r="E119" i="46" s="1"/>
  <c r="C33" i="46"/>
  <c r="G32" i="46"/>
  <c r="L32" i="46"/>
  <c r="E118" i="46" s="1"/>
  <c r="K32" i="46"/>
  <c r="C32" i="46"/>
  <c r="G31" i="46"/>
  <c r="L31" i="46"/>
  <c r="E117" i="46" s="1"/>
  <c r="K31" i="46"/>
  <c r="D117" i="46" s="1"/>
  <c r="C31" i="46"/>
  <c r="G30" i="46"/>
  <c r="L30" i="46"/>
  <c r="E116" i="46" s="1"/>
  <c r="K30" i="46"/>
  <c r="C30" i="46"/>
  <c r="G28" i="46"/>
  <c r="L28" i="46"/>
  <c r="E114" i="46" s="1"/>
  <c r="K28" i="46"/>
  <c r="D114" i="46" s="1"/>
  <c r="C28" i="46"/>
  <c r="G27" i="46"/>
  <c r="L27" i="46"/>
  <c r="E113" i="46" s="1"/>
  <c r="I113" i="46" s="1"/>
  <c r="K27" i="46"/>
  <c r="D113" i="46" s="1"/>
  <c r="H113" i="46" s="1"/>
  <c r="G113" i="46" s="1"/>
  <c r="C27" i="46"/>
  <c r="G26" i="46"/>
  <c r="L26" i="46"/>
  <c r="E112" i="46" s="1"/>
  <c r="I112" i="46" s="1"/>
  <c r="K26" i="46"/>
  <c r="C26" i="46"/>
  <c r="G25" i="46"/>
  <c r="L25" i="46"/>
  <c r="E111" i="46" s="1"/>
  <c r="I111" i="46" s="1"/>
  <c r="K25" i="46"/>
  <c r="D111" i="46" s="1"/>
  <c r="C25" i="46"/>
  <c r="G24" i="46"/>
  <c r="L24" i="46"/>
  <c r="E110" i="46" s="1"/>
  <c r="I110" i="46" s="1"/>
  <c r="K24" i="46"/>
  <c r="C24" i="46"/>
  <c r="G23" i="46"/>
  <c r="L23" i="46"/>
  <c r="E109" i="46" s="1"/>
  <c r="I109" i="46" s="1"/>
  <c r="K23" i="46"/>
  <c r="C23" i="46"/>
  <c r="G22" i="46"/>
  <c r="L22" i="46"/>
  <c r="K22" i="46"/>
  <c r="D108" i="46" s="1"/>
  <c r="H108" i="46" s="1"/>
  <c r="C22" i="46"/>
  <c r="G21" i="46"/>
  <c r="L21" i="46"/>
  <c r="K21" i="46"/>
  <c r="D107" i="46" s="1"/>
  <c r="H107" i="46" s="1"/>
  <c r="C21" i="46"/>
  <c r="G20" i="46"/>
  <c r="L20" i="46"/>
  <c r="K20" i="46"/>
  <c r="D106" i="46" s="1"/>
  <c r="H106" i="46" s="1"/>
  <c r="C20" i="46"/>
  <c r="G19" i="46"/>
  <c r="L19" i="46"/>
  <c r="K19" i="46"/>
  <c r="D105" i="46" s="1"/>
  <c r="H105" i="46" s="1"/>
  <c r="C19" i="46"/>
  <c r="G18" i="46"/>
  <c r="L18" i="46"/>
  <c r="K18" i="46"/>
  <c r="D104" i="46" s="1"/>
  <c r="H104" i="46" s="1"/>
  <c r="C18" i="46"/>
  <c r="G17" i="46"/>
  <c r="L17" i="46"/>
  <c r="K17" i="46"/>
  <c r="D103" i="46" s="1"/>
  <c r="H103" i="46" s="1"/>
  <c r="C17" i="46"/>
  <c r="G16" i="46"/>
  <c r="L16" i="46"/>
  <c r="K16" i="46"/>
  <c r="D102" i="46" s="1"/>
  <c r="H102" i="46" s="1"/>
  <c r="C16" i="46"/>
  <c r="G15" i="46"/>
  <c r="L15" i="46"/>
  <c r="K15" i="46"/>
  <c r="D101" i="46" s="1"/>
  <c r="H101" i="46" s="1"/>
  <c r="C15" i="46"/>
  <c r="G14" i="46"/>
  <c r="L14" i="46"/>
  <c r="E100" i="46" s="1"/>
  <c r="I100" i="46" s="1"/>
  <c r="K14" i="46"/>
  <c r="C14" i="46"/>
  <c r="G13" i="46"/>
  <c r="L13" i="46"/>
  <c r="E99" i="46" s="1"/>
  <c r="I99" i="46" s="1"/>
  <c r="K13" i="46"/>
  <c r="D99" i="46" s="1"/>
  <c r="C13" i="46"/>
  <c r="G12" i="46"/>
  <c r="L12" i="46"/>
  <c r="E98" i="46" s="1"/>
  <c r="I98" i="46" s="1"/>
  <c r="K12" i="46"/>
  <c r="C12" i="46"/>
  <c r="A12" i="46"/>
  <c r="A13" i="46" s="1"/>
  <c r="A14" i="46" s="1"/>
  <c r="A15" i="46" s="1"/>
  <c r="A16" i="46" s="1"/>
  <c r="A17" i="46" s="1"/>
  <c r="A18" i="46" s="1"/>
  <c r="A19" i="46" s="1"/>
  <c r="A20" i="46" s="1"/>
  <c r="A21" i="46" s="1"/>
  <c r="A22" i="46" s="1"/>
  <c r="A23" i="46" s="1"/>
  <c r="A24" i="46" s="1"/>
  <c r="A25" i="46" s="1"/>
  <c r="A26" i="46" s="1"/>
  <c r="A27" i="46" s="1"/>
  <c r="A28" i="46" s="1"/>
  <c r="A29" i="46" s="1"/>
  <c r="A30" i="46" s="1"/>
  <c r="A31" i="46" s="1"/>
  <c r="A32" i="46" s="1"/>
  <c r="A33" i="46" s="1"/>
  <c r="A34" i="46" s="1"/>
  <c r="A35" i="46" s="1"/>
  <c r="A36" i="46" s="1"/>
  <c r="A37" i="46" s="1"/>
  <c r="A38" i="46" s="1"/>
  <c r="A39" i="46" s="1"/>
  <c r="A40" i="46" s="1"/>
  <c r="A41" i="46" s="1"/>
  <c r="A42" i="46" s="1"/>
  <c r="A43" i="46" s="1"/>
  <c r="A44" i="46" s="1"/>
  <c r="A45" i="46" s="1"/>
  <c r="A46" i="46" s="1"/>
  <c r="A47" i="46" s="1"/>
  <c r="A48" i="46" s="1"/>
  <c r="A49" i="46" s="1"/>
  <c r="A50" i="46" s="1"/>
  <c r="A51" i="46" s="1"/>
  <c r="A52" i="46" s="1"/>
  <c r="A53" i="46" s="1"/>
  <c r="A54" i="46" s="1"/>
  <c r="A55" i="46" s="1"/>
  <c r="A56" i="46" s="1"/>
  <c r="A57" i="46" s="1"/>
  <c r="A58" i="46" s="1"/>
  <c r="A59" i="46" s="1"/>
  <c r="A60" i="46" s="1"/>
  <c r="A61" i="46" s="1"/>
  <c r="A62" i="46" s="1"/>
  <c r="A63" i="46" s="1"/>
  <c r="G11" i="46"/>
  <c r="C11" i="46"/>
  <c r="E16" i="57"/>
  <c r="E10" i="57"/>
  <c r="E53" i="71"/>
  <c r="D122" i="21"/>
  <c r="D120" i="21"/>
  <c r="D118" i="21"/>
  <c r="D116" i="21"/>
  <c r="D114" i="21"/>
  <c r="D112" i="21"/>
  <c r="D46" i="17"/>
  <c r="D49" i="17"/>
  <c r="D48" i="17"/>
  <c r="D47" i="17"/>
  <c r="B54" i="54"/>
  <c r="C9" i="9"/>
  <c r="G64" i="65"/>
  <c r="K64" i="65" s="1"/>
  <c r="G63" i="65"/>
  <c r="G62" i="65"/>
  <c r="G61" i="65"/>
  <c r="K61" i="65" s="1"/>
  <c r="G60" i="65"/>
  <c r="K60" i="65" s="1"/>
  <c r="G59" i="65"/>
  <c r="G58" i="65"/>
  <c r="G57" i="65"/>
  <c r="K57" i="65" s="1"/>
  <c r="G56" i="65"/>
  <c r="K56" i="65" s="1"/>
  <c r="G55" i="65"/>
  <c r="G54" i="65"/>
  <c r="G53" i="65"/>
  <c r="A5" i="31"/>
  <c r="L122" i="21"/>
  <c r="J122" i="21"/>
  <c r="H122" i="21"/>
  <c r="F122" i="21"/>
  <c r="L120" i="21"/>
  <c r="J120" i="21"/>
  <c r="H120" i="21"/>
  <c r="F120" i="21"/>
  <c r="L118" i="21"/>
  <c r="J118" i="21"/>
  <c r="H118" i="21"/>
  <c r="F118" i="21"/>
  <c r="L116" i="21"/>
  <c r="J116" i="21"/>
  <c r="H116" i="21"/>
  <c r="F116" i="21"/>
  <c r="L114" i="21"/>
  <c r="J114" i="21"/>
  <c r="H114" i="21"/>
  <c r="F114" i="21"/>
  <c r="L112" i="21"/>
  <c r="J112" i="21"/>
  <c r="H112" i="21"/>
  <c r="F112" i="21"/>
  <c r="D36" i="7"/>
  <c r="D94" i="65"/>
  <c r="E17" i="66"/>
  <c r="J25" i="8" s="1"/>
  <c r="F17" i="66"/>
  <c r="F21" i="66"/>
  <c r="F14" i="66"/>
  <c r="F7" i="66"/>
  <c r="E70" i="26"/>
  <c r="F53" i="22"/>
  <c r="D58" i="7"/>
  <c r="D54" i="7"/>
  <c r="F41" i="54"/>
  <c r="F38" i="54"/>
  <c r="F29" i="54"/>
  <c r="E40" i="56"/>
  <c r="E42" i="56" s="1"/>
  <c r="E26" i="56"/>
  <c r="E12" i="56"/>
  <c r="H41" i="8"/>
  <c r="J9" i="8"/>
  <c r="G10" i="2"/>
  <c r="A8" i="2"/>
  <c r="K126" i="1"/>
  <c r="A11" i="7"/>
  <c r="A12" i="7" s="1"/>
  <c r="A13" i="7" s="1"/>
  <c r="A14" i="7" s="1"/>
  <c r="A15" i="7" s="1"/>
  <c r="A16" i="7" s="1"/>
  <c r="K32" i="1"/>
  <c r="E21" i="66"/>
  <c r="E14" i="66"/>
  <c r="E7" i="66"/>
  <c r="I115" i="65"/>
  <c r="I114" i="65"/>
  <c r="I113" i="65"/>
  <c r="I111" i="65"/>
  <c r="I110" i="65"/>
  <c r="I109" i="65"/>
  <c r="I107" i="65"/>
  <c r="I106" i="65"/>
  <c r="G117" i="65"/>
  <c r="E117" i="65"/>
  <c r="C117" i="65"/>
  <c r="E64" i="65"/>
  <c r="K63" i="65"/>
  <c r="E63" i="65"/>
  <c r="K62" i="65"/>
  <c r="E62" i="65"/>
  <c r="E61" i="65"/>
  <c r="E60" i="65"/>
  <c r="K59" i="65"/>
  <c r="E59" i="65"/>
  <c r="K58" i="65"/>
  <c r="E58" i="65"/>
  <c r="E57" i="65"/>
  <c r="E56" i="65"/>
  <c r="K55" i="65"/>
  <c r="E55" i="65"/>
  <c r="K54" i="65"/>
  <c r="E54" i="65"/>
  <c r="E53" i="65"/>
  <c r="H44" i="65"/>
  <c r="H43" i="65"/>
  <c r="H42" i="65"/>
  <c r="H41" i="65"/>
  <c r="H40" i="65"/>
  <c r="H39" i="65"/>
  <c r="H38" i="65"/>
  <c r="H37" i="65"/>
  <c r="H36" i="65"/>
  <c r="F35" i="65"/>
  <c r="H35" i="65" s="1"/>
  <c r="F34" i="65"/>
  <c r="H34" i="65" s="1"/>
  <c r="F33" i="65"/>
  <c r="H33" i="65" s="1"/>
  <c r="F32" i="65"/>
  <c r="H32" i="65" s="1"/>
  <c r="F31" i="65"/>
  <c r="H31" i="65" s="1"/>
  <c r="F30" i="65"/>
  <c r="H30" i="65" s="1"/>
  <c r="F29" i="65"/>
  <c r="H29" i="65" s="1"/>
  <c r="F28" i="65"/>
  <c r="H28" i="65" s="1"/>
  <c r="F27" i="65"/>
  <c r="H27" i="65" s="1"/>
  <c r="F26" i="65"/>
  <c r="H26" i="65" s="1"/>
  <c r="F25" i="65"/>
  <c r="H25" i="65" s="1"/>
  <c r="A14" i="65"/>
  <c r="A15" i="65" s="1"/>
  <c r="A16" i="65" s="1"/>
  <c r="A17" i="65" s="1"/>
  <c r="A18" i="65" s="1"/>
  <c r="A19" i="65" s="1"/>
  <c r="A20" i="65" s="1"/>
  <c r="A21" i="65" s="1"/>
  <c r="A22" i="65" s="1"/>
  <c r="A23" i="65" s="1"/>
  <c r="A24" i="65" s="1"/>
  <c r="B137" i="65" s="1"/>
  <c r="I105" i="65"/>
  <c r="A7" i="63"/>
  <c r="A8" i="63" s="1"/>
  <c r="A9" i="63" s="1"/>
  <c r="A10" i="63" s="1"/>
  <c r="A11" i="63" s="1"/>
  <c r="A12" i="63" s="1"/>
  <c r="A13" i="63" s="1"/>
  <c r="A14" i="63" s="1"/>
  <c r="A15" i="63" s="1"/>
  <c r="A16" i="63" s="1"/>
  <c r="A20" i="63" s="1"/>
  <c r="A21" i="63" s="1"/>
  <c r="A22" i="63" s="1"/>
  <c r="A27" i="63" s="1"/>
  <c r="A28" i="63" s="1"/>
  <c r="A29" i="63" s="1"/>
  <c r="A30" i="63" s="1"/>
  <c r="A31" i="63" s="1"/>
  <c r="A32" i="63" s="1"/>
  <c r="A33" i="63" s="1"/>
  <c r="A34" i="63" s="1"/>
  <c r="E111" i="21"/>
  <c r="G122" i="21"/>
  <c r="G121" i="21"/>
  <c r="G120" i="21"/>
  <c r="G119" i="21"/>
  <c r="G118" i="21"/>
  <c r="G117" i="21"/>
  <c r="G116" i="21"/>
  <c r="G115" i="21"/>
  <c r="G114" i="21"/>
  <c r="G113" i="21"/>
  <c r="G112" i="21"/>
  <c r="I122" i="21"/>
  <c r="I121" i="21"/>
  <c r="I120" i="21"/>
  <c r="I119" i="21"/>
  <c r="I118" i="21"/>
  <c r="I117" i="21"/>
  <c r="I116" i="21"/>
  <c r="I115" i="21"/>
  <c r="I114" i="21"/>
  <c r="I113" i="21"/>
  <c r="I112" i="21"/>
  <c r="K122" i="21"/>
  <c r="K121" i="21"/>
  <c r="K120" i="21"/>
  <c r="K119" i="21"/>
  <c r="K118" i="21"/>
  <c r="K117" i="21"/>
  <c r="K116" i="21"/>
  <c r="K115" i="21"/>
  <c r="K114" i="21"/>
  <c r="K113" i="21"/>
  <c r="K112" i="21"/>
  <c r="M122" i="21"/>
  <c r="M121" i="21"/>
  <c r="M120" i="21"/>
  <c r="M119" i="21"/>
  <c r="M118" i="21"/>
  <c r="M117" i="21"/>
  <c r="M116" i="21"/>
  <c r="M115" i="21"/>
  <c r="M114" i="21"/>
  <c r="M113" i="21"/>
  <c r="M112" i="21"/>
  <c r="D121" i="21"/>
  <c r="D119" i="21"/>
  <c r="D117" i="21"/>
  <c r="D115" i="21"/>
  <c r="D113" i="21"/>
  <c r="F121" i="21"/>
  <c r="F119" i="21"/>
  <c r="F117" i="21"/>
  <c r="F115" i="21"/>
  <c r="F113" i="21"/>
  <c r="H121" i="21"/>
  <c r="H119" i="21"/>
  <c r="H117" i="21"/>
  <c r="H115" i="21"/>
  <c r="H113" i="21"/>
  <c r="J121" i="21"/>
  <c r="J119" i="21"/>
  <c r="J117" i="21"/>
  <c r="J115" i="21"/>
  <c r="J113" i="21"/>
  <c r="L121" i="21"/>
  <c r="L119" i="21"/>
  <c r="L117" i="21"/>
  <c r="L115" i="21"/>
  <c r="L113" i="21"/>
  <c r="G48" i="11"/>
  <c r="G47" i="11"/>
  <c r="G46" i="11"/>
  <c r="E46" i="11" s="1"/>
  <c r="E39" i="12" s="1"/>
  <c r="H85" i="11"/>
  <c r="G60" i="11" s="1"/>
  <c r="G85" i="11"/>
  <c r="G62" i="11" s="1"/>
  <c r="E70" i="12" s="1"/>
  <c r="F85" i="11"/>
  <c r="G61" i="11" s="1"/>
  <c r="E69" i="12" s="1"/>
  <c r="E84" i="11"/>
  <c r="E83" i="11"/>
  <c r="E82" i="11"/>
  <c r="E81" i="11"/>
  <c r="E80" i="11"/>
  <c r="E79" i="11"/>
  <c r="E78" i="11"/>
  <c r="E77" i="11"/>
  <c r="E76" i="11"/>
  <c r="E75" i="11"/>
  <c r="E74" i="11"/>
  <c r="E73" i="11"/>
  <c r="E72" i="11"/>
  <c r="A25" i="12"/>
  <c r="A26" i="12"/>
  <c r="E202" i="61"/>
  <c r="F183" i="61"/>
  <c r="G183" i="61"/>
  <c r="I183" i="61" s="1"/>
  <c r="F182" i="61"/>
  <c r="G182" i="61" s="1"/>
  <c r="I182" i="61" s="1"/>
  <c r="F180" i="61"/>
  <c r="J180" i="61" s="1"/>
  <c r="L187" i="61"/>
  <c r="F179" i="61"/>
  <c r="N179" i="61" s="1"/>
  <c r="H174" i="61"/>
  <c r="E174" i="61"/>
  <c r="F171" i="61"/>
  <c r="J171" i="61" s="1"/>
  <c r="M171" i="61" s="1"/>
  <c r="F170" i="61"/>
  <c r="N170" i="61"/>
  <c r="F169" i="61"/>
  <c r="N169" i="61"/>
  <c r="F168" i="61"/>
  <c r="F167" i="61"/>
  <c r="J167" i="61" s="1"/>
  <c r="M167" i="61" s="1"/>
  <c r="F166" i="61"/>
  <c r="N166" i="61"/>
  <c r="F165" i="61"/>
  <c r="J165" i="61"/>
  <c r="M165" i="61" s="1"/>
  <c r="F164" i="61"/>
  <c r="F163" i="61"/>
  <c r="F162" i="61"/>
  <c r="J162" i="61" s="1"/>
  <c r="M162" i="61" s="1"/>
  <c r="F161" i="61"/>
  <c r="F160" i="61"/>
  <c r="N160" i="61" s="1"/>
  <c r="F159" i="61"/>
  <c r="N159" i="61" s="1"/>
  <c r="F158" i="61"/>
  <c r="N158" i="61" s="1"/>
  <c r="L174" i="61"/>
  <c r="F157" i="61"/>
  <c r="N153" i="61"/>
  <c r="M153" i="61"/>
  <c r="L153" i="61"/>
  <c r="J153" i="61"/>
  <c r="I153" i="61"/>
  <c r="H153" i="61"/>
  <c r="G153" i="61"/>
  <c r="E153" i="61"/>
  <c r="N148" i="61"/>
  <c r="M148" i="61"/>
  <c r="L148" i="61"/>
  <c r="J148" i="61"/>
  <c r="I148" i="61"/>
  <c r="H148" i="61"/>
  <c r="G148" i="61"/>
  <c r="E148" i="61"/>
  <c r="L143" i="61"/>
  <c r="E143" i="61"/>
  <c r="F140" i="61"/>
  <c r="F139" i="61"/>
  <c r="F138" i="61"/>
  <c r="F137" i="61"/>
  <c r="F136" i="61"/>
  <c r="F135" i="61"/>
  <c r="F134" i="61"/>
  <c r="N134" i="61" s="1"/>
  <c r="F133" i="61"/>
  <c r="N133" i="61" s="1"/>
  <c r="F132" i="61"/>
  <c r="N132" i="61" s="1"/>
  <c r="F131" i="61"/>
  <c r="N131" i="61" s="1"/>
  <c r="F130" i="61"/>
  <c r="N130" i="61" s="1"/>
  <c r="F129" i="61"/>
  <c r="N129" i="61" s="1"/>
  <c r="F128" i="61"/>
  <c r="G128" i="61" s="1"/>
  <c r="H128" i="61" s="1"/>
  <c r="I128" i="61" s="1"/>
  <c r="F127" i="61"/>
  <c r="N127" i="61" s="1"/>
  <c r="F126" i="61"/>
  <c r="N126" i="61" s="1"/>
  <c r="F125" i="61"/>
  <c r="N125" i="61" s="1"/>
  <c r="F124" i="61"/>
  <c r="N124" i="61" s="1"/>
  <c r="F123" i="61"/>
  <c r="N123" i="61" s="1"/>
  <c r="F122" i="61"/>
  <c r="G122" i="61" s="1"/>
  <c r="F116" i="61"/>
  <c r="N116" i="61" s="1"/>
  <c r="F115" i="61"/>
  <c r="N115" i="61" s="1"/>
  <c r="F114" i="61"/>
  <c r="N114" i="61" s="1"/>
  <c r="F113" i="61"/>
  <c r="N113" i="61" s="1"/>
  <c r="F112" i="61"/>
  <c r="N112" i="61" s="1"/>
  <c r="F111" i="61"/>
  <c r="G111" i="61" s="1"/>
  <c r="I111" i="61" s="1"/>
  <c r="F110" i="61"/>
  <c r="N110" i="61"/>
  <c r="F109" i="61"/>
  <c r="N109" i="61"/>
  <c r="F108" i="61"/>
  <c r="N108" i="61"/>
  <c r="F107" i="61"/>
  <c r="J107" i="61"/>
  <c r="M107" i="61" s="1"/>
  <c r="F106" i="61"/>
  <c r="J106" i="61" s="1"/>
  <c r="M106" i="61" s="1"/>
  <c r="F105" i="61"/>
  <c r="J105" i="61" s="1"/>
  <c r="M105" i="61" s="1"/>
  <c r="F104" i="61"/>
  <c r="J104" i="61" s="1"/>
  <c r="M104" i="61" s="1"/>
  <c r="F103" i="61"/>
  <c r="J103" i="61" s="1"/>
  <c r="M103" i="61" s="1"/>
  <c r="F102" i="61"/>
  <c r="J102" i="61" s="1"/>
  <c r="M102" i="61" s="1"/>
  <c r="F101" i="61"/>
  <c r="N101" i="61" s="1"/>
  <c r="F100" i="61"/>
  <c r="N100" i="61" s="1"/>
  <c r="F99" i="61"/>
  <c r="N99" i="61" s="1"/>
  <c r="F98" i="61"/>
  <c r="F97" i="61"/>
  <c r="F96" i="61"/>
  <c r="F95" i="61"/>
  <c r="F94" i="61"/>
  <c r="F93" i="61"/>
  <c r="F92" i="61"/>
  <c r="J92" i="61" s="1"/>
  <c r="M92" i="61" s="1"/>
  <c r="F91" i="61"/>
  <c r="N91" i="61" s="1"/>
  <c r="F90" i="61"/>
  <c r="J90" i="61" s="1"/>
  <c r="M90" i="61" s="1"/>
  <c r="F89" i="61"/>
  <c r="N89" i="61" s="1"/>
  <c r="F88" i="61"/>
  <c r="J88" i="61" s="1"/>
  <c r="M88" i="61" s="1"/>
  <c r="F87" i="61"/>
  <c r="N87" i="61" s="1"/>
  <c r="F86" i="61"/>
  <c r="N86" i="61" s="1"/>
  <c r="F85" i="61"/>
  <c r="F84" i="61"/>
  <c r="F83" i="61"/>
  <c r="F82" i="61"/>
  <c r="F81" i="61"/>
  <c r="J81" i="61" s="1"/>
  <c r="M81" i="61" s="1"/>
  <c r="F80" i="61"/>
  <c r="N80" i="61" s="1"/>
  <c r="L119" i="61"/>
  <c r="F79" i="61"/>
  <c r="J79" i="61" s="1"/>
  <c r="M79" i="61" s="1"/>
  <c r="F78" i="61"/>
  <c r="J78" i="61" s="1"/>
  <c r="M78" i="61" s="1"/>
  <c r="F77" i="61"/>
  <c r="J77" i="61" s="1"/>
  <c r="M77" i="61" s="1"/>
  <c r="F76" i="61"/>
  <c r="J76" i="61" s="1"/>
  <c r="F75" i="61"/>
  <c r="J75" i="61" s="1"/>
  <c r="M75" i="61" s="1"/>
  <c r="F74" i="61"/>
  <c r="N74" i="61" s="1"/>
  <c r="F73" i="61"/>
  <c r="N73" i="61" s="1"/>
  <c r="H72" i="61"/>
  <c r="G72" i="61" s="1"/>
  <c r="F72" i="61"/>
  <c r="H71" i="61"/>
  <c r="F71" i="61"/>
  <c r="G71" i="61" s="1"/>
  <c r="F69" i="61"/>
  <c r="N69" i="61" s="1"/>
  <c r="F68" i="61"/>
  <c r="N68" i="61" s="1"/>
  <c r="F67" i="61"/>
  <c r="N67" i="61" s="1"/>
  <c r="F66" i="61"/>
  <c r="N66" i="61" s="1"/>
  <c r="F65" i="61"/>
  <c r="N65" i="61" s="1"/>
  <c r="F64" i="61"/>
  <c r="J64" i="61" s="1"/>
  <c r="M64" i="61" s="1"/>
  <c r="F63" i="61"/>
  <c r="J63" i="61" s="1"/>
  <c r="M63" i="61" s="1"/>
  <c r="E60" i="61"/>
  <c r="F56" i="61"/>
  <c r="N56" i="61" s="1"/>
  <c r="F55" i="61"/>
  <c r="G55" i="61" s="1"/>
  <c r="I55" i="61" s="1"/>
  <c r="F54" i="61"/>
  <c r="J54" i="61" s="1"/>
  <c r="M54" i="61" s="1"/>
  <c r="F53" i="61"/>
  <c r="N53" i="61" s="1"/>
  <c r="F52" i="61"/>
  <c r="N52" i="61" s="1"/>
  <c r="F51" i="61"/>
  <c r="N51" i="61" s="1"/>
  <c r="F50" i="61"/>
  <c r="N50" i="61" s="1"/>
  <c r="F49" i="61"/>
  <c r="N49" i="61" s="1"/>
  <c r="H48" i="61"/>
  <c r="F48" i="61"/>
  <c r="G48" i="61" s="1"/>
  <c r="H47" i="61"/>
  <c r="G47" i="61" s="1"/>
  <c r="F47" i="61"/>
  <c r="J47" i="61" s="1"/>
  <c r="M47" i="61" s="1"/>
  <c r="H46" i="61"/>
  <c r="F46" i="61"/>
  <c r="G46" i="61" s="1"/>
  <c r="H45" i="61"/>
  <c r="F45" i="61"/>
  <c r="F44" i="61"/>
  <c r="N44" i="61" s="1"/>
  <c r="F43" i="61"/>
  <c r="N43" i="61" s="1"/>
  <c r="F42" i="61"/>
  <c r="J42" i="61" s="1"/>
  <c r="M42" i="61" s="1"/>
  <c r="F41" i="61"/>
  <c r="J41" i="61" s="1"/>
  <c r="M41" i="61" s="1"/>
  <c r="L60" i="61"/>
  <c r="F40" i="61"/>
  <c r="J40" i="61" s="1"/>
  <c r="M40" i="61" s="1"/>
  <c r="F38" i="61"/>
  <c r="N38" i="61" s="1"/>
  <c r="F37" i="61"/>
  <c r="N37" i="61" s="1"/>
  <c r="F36" i="61"/>
  <c r="N36" i="61" s="1"/>
  <c r="F35" i="61"/>
  <c r="N35" i="61" s="1"/>
  <c r="F34" i="61"/>
  <c r="N34" i="61" s="1"/>
  <c r="L31" i="61"/>
  <c r="H31" i="61"/>
  <c r="F28" i="61"/>
  <c r="F27" i="61"/>
  <c r="F26" i="61"/>
  <c r="H23" i="61"/>
  <c r="E23" i="61"/>
  <c r="F20" i="61"/>
  <c r="N20" i="61" s="1"/>
  <c r="L23" i="61"/>
  <c r="F19" i="61"/>
  <c r="G19" i="61" s="1"/>
  <c r="I19" i="61" s="1"/>
  <c r="F18" i="61"/>
  <c r="F17" i="61"/>
  <c r="F16" i="61"/>
  <c r="F15" i="61"/>
  <c r="F14" i="61"/>
  <c r="J14" i="61" s="1"/>
  <c r="F13" i="61"/>
  <c r="J13" i="61" s="1"/>
  <c r="M13" i="61" s="1"/>
  <c r="F12" i="61"/>
  <c r="J12" i="61" s="1"/>
  <c r="M12" i="61" s="1"/>
  <c r="L9" i="61"/>
  <c r="H9" i="61"/>
  <c r="E9" i="61"/>
  <c r="F6" i="61"/>
  <c r="F5" i="61"/>
  <c r="J5" i="61" s="1"/>
  <c r="M5" i="61" s="1"/>
  <c r="F4" i="61"/>
  <c r="G4" i="61" s="1"/>
  <c r="D16" i="57"/>
  <c r="C16" i="57" s="1"/>
  <c r="E11" i="57"/>
  <c r="C11" i="57" s="1"/>
  <c r="D11" i="57"/>
  <c r="D10" i="57"/>
  <c r="C10" i="57" s="1"/>
  <c r="D17" i="57"/>
  <c r="F48" i="11"/>
  <c r="F62" i="11"/>
  <c r="E62" i="11" s="1"/>
  <c r="E56" i="12" s="1"/>
  <c r="E46" i="71"/>
  <c r="E24" i="54"/>
  <c r="D24" i="54"/>
  <c r="A8" i="17"/>
  <c r="A9" i="17" s="1"/>
  <c r="A10" i="17" s="1"/>
  <c r="A11" i="17" s="1"/>
  <c r="A12" i="17" s="1"/>
  <c r="A13" i="17" s="1"/>
  <c r="A14" i="17" s="1"/>
  <c r="I101" i="1" s="1"/>
  <c r="H43" i="26"/>
  <c r="D43" i="26" s="1"/>
  <c r="G12" i="26" s="1"/>
  <c r="H12" i="26" s="1"/>
  <c r="D50" i="26"/>
  <c r="G19" i="26" s="1"/>
  <c r="H19" i="26" s="1"/>
  <c r="D49" i="26"/>
  <c r="G18" i="26" s="1"/>
  <c r="H18" i="26" s="1"/>
  <c r="D48" i="26"/>
  <c r="G17" i="26" s="1"/>
  <c r="H17" i="26" s="1"/>
  <c r="D47" i="26"/>
  <c r="G16" i="26" s="1"/>
  <c r="H16" i="26" s="1"/>
  <c r="D46" i="26"/>
  <c r="G15" i="26" s="1"/>
  <c r="H15" i="26" s="1"/>
  <c r="D45" i="26"/>
  <c r="G14" i="26" s="1"/>
  <c r="H14" i="26" s="1"/>
  <c r="D44" i="26"/>
  <c r="G13" i="26" s="1"/>
  <c r="H13" i="26" s="1"/>
  <c r="D42" i="26"/>
  <c r="G11" i="26" s="1"/>
  <c r="H11" i="26" s="1"/>
  <c r="D41" i="26"/>
  <c r="G10" i="26" s="1"/>
  <c r="H10" i="26" s="1"/>
  <c r="D40" i="26"/>
  <c r="G9" i="26" s="1"/>
  <c r="H9" i="26" s="1"/>
  <c r="D39" i="26"/>
  <c r="G8" i="26" s="1"/>
  <c r="H8" i="26" s="1"/>
  <c r="D38" i="26"/>
  <c r="G7" i="26" s="1"/>
  <c r="H7" i="26" s="1"/>
  <c r="A10" i="57"/>
  <c r="A11" i="57" s="1"/>
  <c r="A12" i="57" s="1"/>
  <c r="A13" i="57" s="1"/>
  <c r="A14" i="57" s="1"/>
  <c r="A15" i="57" s="1"/>
  <c r="A16" i="57" s="1"/>
  <c r="A17" i="57" s="1"/>
  <c r="A18" i="57" s="1"/>
  <c r="A19" i="57" s="1"/>
  <c r="A20" i="57" s="1"/>
  <c r="A21" i="57" s="1"/>
  <c r="A22" i="57" s="1"/>
  <c r="A23" i="57" s="1"/>
  <c r="A24" i="57" s="1"/>
  <c r="A25" i="57" s="1"/>
  <c r="A26" i="57" s="1"/>
  <c r="A27" i="57" s="1"/>
  <c r="A28" i="57" s="1"/>
  <c r="A29" i="57" s="1"/>
  <c r="A30" i="57" s="1"/>
  <c r="A31" i="57" s="1"/>
  <c r="K18" i="57"/>
  <c r="J18" i="57"/>
  <c r="I18" i="57"/>
  <c r="H18" i="57"/>
  <c r="G18" i="57"/>
  <c r="E17" i="57"/>
  <c r="C17" i="57" s="1"/>
  <c r="E15" i="57"/>
  <c r="D15" i="57"/>
  <c r="K12" i="57"/>
  <c r="J12" i="57"/>
  <c r="I12" i="57"/>
  <c r="H12" i="57"/>
  <c r="G12" i="57"/>
  <c r="D12" i="57"/>
  <c r="F11" i="56"/>
  <c r="F10" i="56"/>
  <c r="A9" i="56"/>
  <c r="A10" i="56" s="1"/>
  <c r="C40" i="56"/>
  <c r="C42" i="56" s="1"/>
  <c r="F39" i="56"/>
  <c r="F38" i="56"/>
  <c r="F36" i="56"/>
  <c r="C26" i="56"/>
  <c r="F26" i="56" s="1"/>
  <c r="F25" i="56"/>
  <c r="F24" i="56"/>
  <c r="F23" i="56"/>
  <c r="F22" i="56"/>
  <c r="F21" i="56"/>
  <c r="F20" i="56"/>
  <c r="E17" i="56"/>
  <c r="C12" i="56"/>
  <c r="F12" i="56" s="1"/>
  <c r="K30" i="1"/>
  <c r="K134" i="1"/>
  <c r="J58" i="8" s="1"/>
  <c r="A15" i="32"/>
  <c r="G16" i="32" s="1"/>
  <c r="A7" i="26"/>
  <c r="A8" i="26" s="1"/>
  <c r="A9" i="26" s="1"/>
  <c r="A10" i="26" s="1"/>
  <c r="A27" i="11"/>
  <c r="K100" i="1"/>
  <c r="A7" i="8"/>
  <c r="A8" i="8" s="1"/>
  <c r="A9" i="8" s="1"/>
  <c r="A33" i="8"/>
  <c r="H34" i="8" s="1"/>
  <c r="A34" i="8"/>
  <c r="A38" i="8" s="1"/>
  <c r="E41" i="32"/>
  <c r="E35" i="32"/>
  <c r="K12" i="1"/>
  <c r="K128" i="1"/>
  <c r="J52" i="8" s="1"/>
  <c r="F24" i="26"/>
  <c r="F7" i="42"/>
  <c r="E21" i="32" s="1"/>
  <c r="F27" i="12"/>
  <c r="F56" i="12" s="1"/>
  <c r="F26" i="12"/>
  <c r="F55" i="12" s="1"/>
  <c r="F25" i="12"/>
  <c r="F54" i="12" s="1"/>
  <c r="G58" i="26"/>
  <c r="G37" i="26" s="1"/>
  <c r="D37" i="26" s="1"/>
  <c r="G6" i="26" s="1"/>
  <c r="H6" i="26" s="1"/>
  <c r="J44" i="8"/>
  <c r="F22" i="31"/>
  <c r="E22" i="31"/>
  <c r="D22" i="31"/>
  <c r="E20" i="26"/>
  <c r="J50" i="8"/>
  <c r="E15" i="32"/>
  <c r="F15" i="56"/>
  <c r="J20" i="61"/>
  <c r="M20" i="61" s="1"/>
  <c r="G20" i="61"/>
  <c r="I20" i="61" s="1"/>
  <c r="N27" i="61"/>
  <c r="N26" i="61"/>
  <c r="N31" i="61" s="1"/>
  <c r="J26" i="61"/>
  <c r="M26" i="61" s="1"/>
  <c r="G26" i="61"/>
  <c r="I26" i="61" s="1"/>
  <c r="N28" i="61"/>
  <c r="J28" i="61"/>
  <c r="M28" i="61" s="1"/>
  <c r="G28" i="61"/>
  <c r="I28" i="61" s="1"/>
  <c r="N40" i="61"/>
  <c r="N42" i="61"/>
  <c r="J46" i="61"/>
  <c r="M46" i="61" s="1"/>
  <c r="N46" i="61"/>
  <c r="N54" i="61"/>
  <c r="N75" i="61"/>
  <c r="J80" i="61"/>
  <c r="M80" i="61" s="1"/>
  <c r="G80" i="61"/>
  <c r="I80" i="61" s="1"/>
  <c r="N83" i="61"/>
  <c r="J83" i="61"/>
  <c r="M83" i="61" s="1"/>
  <c r="G83" i="61"/>
  <c r="I83" i="61" s="1"/>
  <c r="G91" i="61"/>
  <c r="I91" i="61" s="1"/>
  <c r="N94" i="61"/>
  <c r="J94" i="61"/>
  <c r="M94" i="61" s="1"/>
  <c r="G94" i="61"/>
  <c r="I94" i="61" s="1"/>
  <c r="N96" i="61"/>
  <c r="J96" i="61"/>
  <c r="M96" i="61" s="1"/>
  <c r="G96" i="61"/>
  <c r="I96" i="61" s="1"/>
  <c r="N98" i="61"/>
  <c r="J98" i="61"/>
  <c r="M98" i="61" s="1"/>
  <c r="G98" i="61"/>
  <c r="I98" i="61" s="1"/>
  <c r="G34" i="61"/>
  <c r="I34" i="61" s="1"/>
  <c r="J34" i="61"/>
  <c r="M34" i="61" s="1"/>
  <c r="G35" i="61"/>
  <c r="I35" i="61" s="1"/>
  <c r="J35" i="61"/>
  <c r="M35" i="61" s="1"/>
  <c r="G36" i="61"/>
  <c r="I36" i="61" s="1"/>
  <c r="J36" i="61"/>
  <c r="M36" i="61" s="1"/>
  <c r="G37" i="61"/>
  <c r="I37" i="61" s="1"/>
  <c r="J37" i="61"/>
  <c r="M37" i="61" s="1"/>
  <c r="G38" i="61"/>
  <c r="I38" i="61" s="1"/>
  <c r="J38" i="61"/>
  <c r="M38" i="61" s="1"/>
  <c r="G40" i="61"/>
  <c r="I40" i="61" s="1"/>
  <c r="G42" i="61"/>
  <c r="I42" i="61" s="1"/>
  <c r="G44" i="61"/>
  <c r="I44" i="61" s="1"/>
  <c r="J44" i="61"/>
  <c r="M44" i="61" s="1"/>
  <c r="G45" i="61"/>
  <c r="J45" i="61"/>
  <c r="M45" i="61" s="1"/>
  <c r="J48" i="61"/>
  <c r="M48" i="61" s="1"/>
  <c r="G49" i="61"/>
  <c r="I49" i="61" s="1"/>
  <c r="J49" i="61"/>
  <c r="M49" i="61" s="1"/>
  <c r="G50" i="61"/>
  <c r="I50" i="61" s="1"/>
  <c r="J50" i="61"/>
  <c r="M50" i="61" s="1"/>
  <c r="G51" i="61"/>
  <c r="I51" i="61" s="1"/>
  <c r="J51" i="61"/>
  <c r="M51" i="61" s="1"/>
  <c r="G52" i="61"/>
  <c r="I52" i="61" s="1"/>
  <c r="J52" i="61"/>
  <c r="M52" i="61" s="1"/>
  <c r="G53" i="61"/>
  <c r="I53" i="61" s="1"/>
  <c r="J53" i="61"/>
  <c r="M53" i="61" s="1"/>
  <c r="G54" i="61"/>
  <c r="I54" i="61" s="1"/>
  <c r="H119" i="61"/>
  <c r="J71" i="61"/>
  <c r="M71" i="61" s="1"/>
  <c r="J72" i="61"/>
  <c r="M72" i="61" s="1"/>
  <c r="G73" i="61"/>
  <c r="I73" i="61" s="1"/>
  <c r="J73" i="61"/>
  <c r="M73" i="61" s="1"/>
  <c r="G74" i="61"/>
  <c r="I74" i="61" s="1"/>
  <c r="J74" i="61"/>
  <c r="M74" i="61" s="1"/>
  <c r="G75" i="61"/>
  <c r="I75" i="61" s="1"/>
  <c r="N82" i="61"/>
  <c r="J82" i="61"/>
  <c r="M82" i="61" s="1"/>
  <c r="G82" i="61"/>
  <c r="I82" i="61" s="1"/>
  <c r="N84" i="61"/>
  <c r="J84" i="61"/>
  <c r="M84" i="61" s="1"/>
  <c r="G84" i="61"/>
  <c r="I84" i="61" s="1"/>
  <c r="J89" i="61"/>
  <c r="M89" i="61" s="1"/>
  <c r="G89" i="61"/>
  <c r="I89" i="61" s="1"/>
  <c r="N93" i="61"/>
  <c r="J93" i="61"/>
  <c r="M93" i="61" s="1"/>
  <c r="G93" i="61"/>
  <c r="I93" i="61" s="1"/>
  <c r="N95" i="61"/>
  <c r="J95" i="61"/>
  <c r="M95" i="61" s="1"/>
  <c r="G95" i="61"/>
  <c r="I95" i="61" s="1"/>
  <c r="N97" i="61"/>
  <c r="J97" i="61"/>
  <c r="M97" i="61" s="1"/>
  <c r="G97" i="61"/>
  <c r="I97" i="61" s="1"/>
  <c r="N102" i="61"/>
  <c r="J128" i="61"/>
  <c r="M128" i="61" s="1"/>
  <c r="N128" i="61"/>
  <c r="N136" i="61"/>
  <c r="J136" i="61"/>
  <c r="M136" i="61" s="1"/>
  <c r="G136" i="61"/>
  <c r="I136" i="61" s="1"/>
  <c r="N138" i="61"/>
  <c r="J138" i="61"/>
  <c r="M138" i="61" s="1"/>
  <c r="G138" i="61"/>
  <c r="I138" i="61" s="1"/>
  <c r="N140" i="61"/>
  <c r="J140" i="61"/>
  <c r="M140" i="61" s="1"/>
  <c r="G140" i="61"/>
  <c r="I140" i="61" s="1"/>
  <c r="J157" i="61"/>
  <c r="G157" i="61"/>
  <c r="J161" i="61"/>
  <c r="M161" i="61" s="1"/>
  <c r="G161" i="61"/>
  <c r="I161" i="61" s="1"/>
  <c r="J164" i="61"/>
  <c r="M164" i="61" s="1"/>
  <c r="G164" i="61"/>
  <c r="I164" i="61" s="1"/>
  <c r="J168" i="61"/>
  <c r="M168" i="61" s="1"/>
  <c r="G168" i="61"/>
  <c r="I168" i="61" s="1"/>
  <c r="J182" i="61"/>
  <c r="M182" i="61" s="1"/>
  <c r="G99" i="61"/>
  <c r="I99" i="61" s="1"/>
  <c r="J99" i="61"/>
  <c r="M99" i="61" s="1"/>
  <c r="G100" i="61"/>
  <c r="I100" i="61" s="1"/>
  <c r="J100" i="61"/>
  <c r="M100" i="61" s="1"/>
  <c r="G101" i="61"/>
  <c r="I101" i="61" s="1"/>
  <c r="J101" i="61"/>
  <c r="M101" i="61" s="1"/>
  <c r="G102" i="61"/>
  <c r="I102" i="61" s="1"/>
  <c r="H122" i="61"/>
  <c r="I122" i="61" s="1"/>
  <c r="J122" i="61"/>
  <c r="G123" i="61"/>
  <c r="I123" i="61" s="1"/>
  <c r="J123" i="61"/>
  <c r="M123" i="61" s="1"/>
  <c r="G124" i="61"/>
  <c r="I124" i="61" s="1"/>
  <c r="J124" i="61"/>
  <c r="M124" i="61" s="1"/>
  <c r="G125" i="61"/>
  <c r="I125" i="61" s="1"/>
  <c r="J125" i="61"/>
  <c r="M125" i="61" s="1"/>
  <c r="G126" i="61"/>
  <c r="I126" i="61" s="1"/>
  <c r="J126" i="61"/>
  <c r="M126" i="61" s="1"/>
  <c r="G127" i="61"/>
  <c r="I127" i="61" s="1"/>
  <c r="J127" i="61"/>
  <c r="M127" i="61" s="1"/>
  <c r="N135" i="61"/>
  <c r="J135" i="61"/>
  <c r="M135" i="61" s="1"/>
  <c r="G135" i="61"/>
  <c r="I135" i="61" s="1"/>
  <c r="N137" i="61"/>
  <c r="J137" i="61"/>
  <c r="M137" i="61" s="1"/>
  <c r="G137" i="61"/>
  <c r="I137" i="61" s="1"/>
  <c r="N139" i="61"/>
  <c r="J139" i="61"/>
  <c r="M139" i="61" s="1"/>
  <c r="G139" i="61"/>
  <c r="I139" i="61" s="1"/>
  <c r="N157" i="61"/>
  <c r="J159" i="61"/>
  <c r="M159" i="61" s="1"/>
  <c r="G159" i="61"/>
  <c r="I159" i="61" s="1"/>
  <c r="N161" i="61"/>
  <c r="N163" i="61"/>
  <c r="J163" i="61"/>
  <c r="M163" i="61" s="1"/>
  <c r="G163" i="61"/>
  <c r="I163" i="61" s="1"/>
  <c r="N164" i="61"/>
  <c r="J166" i="61"/>
  <c r="M166" i="61" s="1"/>
  <c r="G166" i="61"/>
  <c r="I166" i="61" s="1"/>
  <c r="N168" i="61"/>
  <c r="J170" i="61"/>
  <c r="M170" i="61" s="1"/>
  <c r="G170" i="61"/>
  <c r="I170" i="61" s="1"/>
  <c r="J179" i="61"/>
  <c r="M179" i="61" s="1"/>
  <c r="G179" i="61"/>
  <c r="N182" i="61"/>
  <c r="J183" i="61"/>
  <c r="M183" i="61" s="1"/>
  <c r="M122" i="61"/>
  <c r="I157" i="61"/>
  <c r="M157" i="61"/>
  <c r="F47" i="11"/>
  <c r="F61" i="11"/>
  <c r="F41" i="12"/>
  <c r="F40" i="12"/>
  <c r="A9" i="2"/>
  <c r="A10" i="2" s="1"/>
  <c r="A11" i="2" s="1"/>
  <c r="H55" i="8"/>
  <c r="A28" i="11"/>
  <c r="A29" i="11" s="1"/>
  <c r="A30" i="11" s="1"/>
  <c r="A31" i="11" s="1"/>
  <c r="A32" i="11" s="1"/>
  <c r="A33" i="11" s="1"/>
  <c r="A34" i="11" s="1"/>
  <c r="A35" i="11" s="1"/>
  <c r="A36" i="11" s="1"/>
  <c r="A37" i="11" s="1"/>
  <c r="E28" i="56"/>
  <c r="G20" i="2" s="1"/>
  <c r="F24" i="65"/>
  <c r="H24" i="65" s="1"/>
  <c r="J24" i="65" s="1"/>
  <c r="K24" i="65" s="1"/>
  <c r="D117" i="65"/>
  <c r="F117" i="65"/>
  <c r="H117" i="65"/>
  <c r="I108" i="65"/>
  <c r="I112" i="65"/>
  <c r="I116" i="65"/>
  <c r="A25" i="65"/>
  <c r="A26" i="65"/>
  <c r="A27" i="65" s="1"/>
  <c r="A28" i="65" s="1"/>
  <c r="A29" i="65" s="1"/>
  <c r="A30" i="65" s="1"/>
  <c r="A31" i="65" s="1"/>
  <c r="A32" i="65" s="1"/>
  <c r="A33" i="65" s="1"/>
  <c r="A34" i="65" s="1"/>
  <c r="A35" i="65" s="1"/>
  <c r="A36" i="65" s="1"/>
  <c r="A37" i="65" s="1"/>
  <c r="A38" i="65" s="1"/>
  <c r="A39" i="65" s="1"/>
  <c r="A40" i="65" s="1"/>
  <c r="A41" i="65" s="1"/>
  <c r="A42" i="65" s="1"/>
  <c r="A43" i="65" s="1"/>
  <c r="A44" i="65" s="1"/>
  <c r="C17" i="56"/>
  <c r="J91" i="61"/>
  <c r="M91" i="61" s="1"/>
  <c r="N41" i="61"/>
  <c r="N72" i="61"/>
  <c r="G115" i="61"/>
  <c r="I115" i="61" s="1"/>
  <c r="N180" i="61"/>
  <c r="N5" i="61"/>
  <c r="N6" i="61"/>
  <c r="N13" i="61"/>
  <c r="N14" i="61"/>
  <c r="N63" i="61"/>
  <c r="N64" i="61"/>
  <c r="N162" i="61"/>
  <c r="N165" i="61"/>
  <c r="N171" i="61"/>
  <c r="N183" i="61"/>
  <c r="N76" i="61"/>
  <c r="N77" i="61"/>
  <c r="N78" i="61"/>
  <c r="N81" i="61"/>
  <c r="G109" i="61"/>
  <c r="I109" i="61" s="1"/>
  <c r="G113" i="61"/>
  <c r="I113" i="61" s="1"/>
  <c r="J4" i="61"/>
  <c r="N4" i="61"/>
  <c r="N12" i="61"/>
  <c r="J19" i="61"/>
  <c r="M19" i="61" s="1"/>
  <c r="G43" i="61"/>
  <c r="I43" i="61" s="1"/>
  <c r="J43" i="61"/>
  <c r="M43" i="61" s="1"/>
  <c r="N47" i="61"/>
  <c r="J56" i="61"/>
  <c r="M56" i="61" s="1"/>
  <c r="G5" i="61"/>
  <c r="I5" i="61" s="1"/>
  <c r="G12" i="61"/>
  <c r="G13" i="61"/>
  <c r="I13" i="61" s="1"/>
  <c r="G14" i="61"/>
  <c r="I14" i="61" s="1"/>
  <c r="G15" i="61"/>
  <c r="I15" i="61" s="1"/>
  <c r="G16" i="61"/>
  <c r="I16" i="61" s="1"/>
  <c r="G17" i="61"/>
  <c r="I17" i="61" s="1"/>
  <c r="G18" i="61"/>
  <c r="I18" i="61" s="1"/>
  <c r="N19" i="61"/>
  <c r="G41" i="61"/>
  <c r="I41" i="61" s="1"/>
  <c r="J55" i="61"/>
  <c r="M55" i="61" s="1"/>
  <c r="G56" i="61"/>
  <c r="I56" i="61" s="1"/>
  <c r="G63" i="61"/>
  <c r="I63" i="61" s="1"/>
  <c r="G64" i="61"/>
  <c r="I64" i="61" s="1"/>
  <c r="G65" i="61"/>
  <c r="I65" i="61" s="1"/>
  <c r="G66" i="61"/>
  <c r="I66" i="61" s="1"/>
  <c r="G67" i="61"/>
  <c r="I67" i="61" s="1"/>
  <c r="G68" i="61"/>
  <c r="I68" i="61" s="1"/>
  <c r="G69" i="61"/>
  <c r="I69" i="61" s="1"/>
  <c r="N71" i="61"/>
  <c r="G76" i="61"/>
  <c r="I76" i="61" s="1"/>
  <c r="G77" i="61"/>
  <c r="I77" i="61" s="1"/>
  <c r="G78" i="61"/>
  <c r="I78" i="61" s="1"/>
  <c r="N79" i="61"/>
  <c r="G81" i="61"/>
  <c r="I81" i="61" s="1"/>
  <c r="G86" i="61"/>
  <c r="I86" i="61" s="1"/>
  <c r="G87" i="61"/>
  <c r="I87" i="61" s="1"/>
  <c r="N88" i="61"/>
  <c r="N90" i="61"/>
  <c r="N92" i="61"/>
  <c r="N103" i="61"/>
  <c r="N104" i="61"/>
  <c r="N105" i="61"/>
  <c r="N106" i="61"/>
  <c r="N107" i="61"/>
  <c r="J109" i="61"/>
  <c r="M109" i="61" s="1"/>
  <c r="G110" i="61"/>
  <c r="I110" i="61" s="1"/>
  <c r="J111" i="61"/>
  <c r="M111" i="61" s="1"/>
  <c r="G112" i="61"/>
  <c r="I112" i="61" s="1"/>
  <c r="J113" i="61"/>
  <c r="M113" i="61" s="1"/>
  <c r="G114" i="61"/>
  <c r="I114" i="61" s="1"/>
  <c r="J115" i="61"/>
  <c r="M115" i="61" s="1"/>
  <c r="G116" i="61"/>
  <c r="I116" i="61" s="1"/>
  <c r="G79" i="61"/>
  <c r="I79" i="61" s="1"/>
  <c r="G88" i="61"/>
  <c r="I88" i="61" s="1"/>
  <c r="G90" i="61"/>
  <c r="I90" i="61" s="1"/>
  <c r="G92" i="61"/>
  <c r="I92" i="61" s="1"/>
  <c r="G103" i="61"/>
  <c r="I103" i="61" s="1"/>
  <c r="G104" i="61"/>
  <c r="I104" i="61" s="1"/>
  <c r="G105" i="61"/>
  <c r="I105" i="61" s="1"/>
  <c r="G106" i="61"/>
  <c r="I106" i="61" s="1"/>
  <c r="G107" i="61"/>
  <c r="I107" i="61" s="1"/>
  <c r="G108" i="61"/>
  <c r="I108" i="61" s="1"/>
  <c r="J108" i="61"/>
  <c r="M108" i="61" s="1"/>
  <c r="J110" i="61"/>
  <c r="M110" i="61" s="1"/>
  <c r="J112" i="61"/>
  <c r="M112" i="61" s="1"/>
  <c r="J114" i="61"/>
  <c r="M114" i="61" s="1"/>
  <c r="J116" i="61"/>
  <c r="M116" i="61" s="1"/>
  <c r="G129" i="61"/>
  <c r="J129" i="61"/>
  <c r="M129" i="61" s="1"/>
  <c r="G130" i="61"/>
  <c r="I130" i="61" s="1"/>
  <c r="J130" i="61"/>
  <c r="M130" i="61" s="1"/>
  <c r="G131" i="61"/>
  <c r="I131" i="61" s="1"/>
  <c r="J131" i="61"/>
  <c r="M131" i="61" s="1"/>
  <c r="G132" i="61"/>
  <c r="I132" i="61" s="1"/>
  <c r="J132" i="61"/>
  <c r="M132" i="61" s="1"/>
  <c r="G133" i="61"/>
  <c r="I133" i="61" s="1"/>
  <c r="J133" i="61"/>
  <c r="M133" i="61" s="1"/>
  <c r="G134" i="61"/>
  <c r="I134" i="61" s="1"/>
  <c r="J134" i="61"/>
  <c r="M134" i="61" s="1"/>
  <c r="G158" i="61"/>
  <c r="I158" i="61" s="1"/>
  <c r="J158" i="61"/>
  <c r="M158" i="61" s="1"/>
  <c r="G160" i="61"/>
  <c r="I160" i="61" s="1"/>
  <c r="J160" i="61"/>
  <c r="M160" i="61" s="1"/>
  <c r="G169" i="61"/>
  <c r="I169" i="61" s="1"/>
  <c r="J169" i="61"/>
  <c r="M169" i="61" s="1"/>
  <c r="N122" i="61"/>
  <c r="G162" i="61"/>
  <c r="I162" i="61" s="1"/>
  <c r="G165" i="61"/>
  <c r="I165" i="61" s="1"/>
  <c r="G167" i="61"/>
  <c r="I167" i="61" s="1"/>
  <c r="G171" i="61"/>
  <c r="I171" i="61" s="1"/>
  <c r="G180" i="61"/>
  <c r="I180" i="61" s="1"/>
  <c r="I129" i="61"/>
  <c r="M4" i="61"/>
  <c r="C62" i="46"/>
  <c r="E161" i="46"/>
  <c r="I161" i="46" s="1"/>
  <c r="L11" i="46"/>
  <c r="E97" i="46" s="1"/>
  <c r="D119" i="46"/>
  <c r="D125" i="46"/>
  <c r="J47" i="46"/>
  <c r="C133" i="46" s="1"/>
  <c r="D135" i="46"/>
  <c r="D142" i="46"/>
  <c r="D144" i="46"/>
  <c r="J58" i="46"/>
  <c r="C144" i="46" s="1"/>
  <c r="K11" i="46"/>
  <c r="K34" i="46"/>
  <c r="D120" i="46" s="1"/>
  <c r="K36" i="46"/>
  <c r="D122" i="46" s="1"/>
  <c r="K38" i="46"/>
  <c r="K40" i="46"/>
  <c r="K42" i="46"/>
  <c r="D128" i="46" s="1"/>
  <c r="K44" i="46"/>
  <c r="J44" i="46" s="1"/>
  <c r="C130" i="46" s="1"/>
  <c r="K46" i="46"/>
  <c r="K48" i="46"/>
  <c r="D134" i="46" s="1"/>
  <c r="H134" i="46" s="1"/>
  <c r="K50" i="46"/>
  <c r="D136" i="46" s="1"/>
  <c r="H136" i="46" s="1"/>
  <c r="K52" i="46"/>
  <c r="D138" i="46" s="1"/>
  <c r="H138" i="46" s="1"/>
  <c r="K54" i="46"/>
  <c r="D140" i="46" s="1"/>
  <c r="K57" i="46"/>
  <c r="K59" i="46"/>
  <c r="D145" i="46" s="1"/>
  <c r="D157" i="46"/>
  <c r="L71" i="46"/>
  <c r="H64" i="44"/>
  <c r="A10" i="1"/>
  <c r="A11" i="1" s="1"/>
  <c r="A12" i="1" s="1"/>
  <c r="A15" i="1" s="1"/>
  <c r="A16" i="1" s="1"/>
  <c r="A17" i="1" s="1"/>
  <c r="H14" i="8" s="1"/>
  <c r="J66" i="61"/>
  <c r="M66" i="61" s="1"/>
  <c r="J68" i="61"/>
  <c r="M68" i="61" s="1"/>
  <c r="N9" i="61"/>
  <c r="N45" i="61"/>
  <c r="N48" i="61"/>
  <c r="N55" i="61"/>
  <c r="J87" i="61"/>
  <c r="M87" i="61" s="1"/>
  <c r="N167" i="61"/>
  <c r="N174" i="61" s="1"/>
  <c r="J65" i="61"/>
  <c r="M65" i="61" s="1"/>
  <c r="J67" i="61"/>
  <c r="M67" i="61" s="1"/>
  <c r="J69" i="61"/>
  <c r="M69" i="61" s="1"/>
  <c r="J86" i="61"/>
  <c r="M86" i="61" s="1"/>
  <c r="J6" i="61"/>
  <c r="M6" i="61" s="1"/>
  <c r="G6" i="61"/>
  <c r="I6" i="61" s="1"/>
  <c r="G174" i="61"/>
  <c r="N15" i="61"/>
  <c r="J15" i="61"/>
  <c r="M15" i="61" s="1"/>
  <c r="N16" i="61"/>
  <c r="J16" i="61"/>
  <c r="M16" i="61" s="1"/>
  <c r="N17" i="61"/>
  <c r="J17" i="61"/>
  <c r="M17" i="61" s="1"/>
  <c r="N18" i="61"/>
  <c r="J18" i="61"/>
  <c r="M18" i="61" s="1"/>
  <c r="J27" i="61"/>
  <c r="G27" i="61"/>
  <c r="N85" i="61"/>
  <c r="J85" i="61"/>
  <c r="M85" i="61" s="1"/>
  <c r="G85" i="61"/>
  <c r="I85" i="61" s="1"/>
  <c r="N111" i="61"/>
  <c r="N39" i="61"/>
  <c r="J70" i="61"/>
  <c r="M70" i="61" s="1"/>
  <c r="N70" i="61"/>
  <c r="G39" i="61"/>
  <c r="I39" i="61" s="1"/>
  <c r="M27" i="61"/>
  <c r="E10" i="2"/>
  <c r="G65" i="65" l="1"/>
  <c r="K53" i="65"/>
  <c r="K65" i="65" s="1"/>
  <c r="E71" i="65" s="1"/>
  <c r="E72" i="65" s="1"/>
  <c r="K148" i="1" s="1"/>
  <c r="C8" i="9" s="1"/>
  <c r="G23" i="61"/>
  <c r="H20" i="57"/>
  <c r="D26" i="57" s="1"/>
  <c r="C15" i="57"/>
  <c r="C18" i="57" s="1"/>
  <c r="E12" i="57"/>
  <c r="K20" i="57"/>
  <c r="E31" i="57" s="1"/>
  <c r="G143" i="61"/>
  <c r="H143" i="61"/>
  <c r="M31" i="61"/>
  <c r="I12" i="61"/>
  <c r="L191" i="61"/>
  <c r="E194" i="61" s="1"/>
  <c r="E195" i="61" s="1"/>
  <c r="M9" i="61"/>
  <c r="J78" i="46"/>
  <c r="C164" i="46" s="1"/>
  <c r="J75" i="46"/>
  <c r="C161" i="46" s="1"/>
  <c r="J76" i="46"/>
  <c r="C162" i="46" s="1"/>
  <c r="I83" i="46"/>
  <c r="J23" i="46"/>
  <c r="C109" i="46" s="1"/>
  <c r="D121" i="46"/>
  <c r="H121" i="46" s="1"/>
  <c r="G121" i="46" s="1"/>
  <c r="E61" i="11"/>
  <c r="E47" i="11"/>
  <c r="E40" i="12" s="1"/>
  <c r="C28" i="56"/>
  <c r="F28" i="56" s="1"/>
  <c r="I117" i="65"/>
  <c r="E29" i="32"/>
  <c r="G20" i="57"/>
  <c r="C26" i="57" s="1"/>
  <c r="E26" i="57" s="1"/>
  <c r="D18" i="57"/>
  <c r="D20" i="57" s="1"/>
  <c r="H60" i="61"/>
  <c r="N143" i="61"/>
  <c r="G31" i="61"/>
  <c r="J31" i="61"/>
  <c r="E191" i="61"/>
  <c r="I23" i="61"/>
  <c r="J9" i="61"/>
  <c r="J72" i="46"/>
  <c r="C158" i="46" s="1"/>
  <c r="J73" i="46"/>
  <c r="C159" i="46" s="1"/>
  <c r="J77" i="46"/>
  <c r="C163" i="46" s="1"/>
  <c r="J74" i="46"/>
  <c r="C160" i="46" s="1"/>
  <c r="L81" i="46"/>
  <c r="E162" i="46"/>
  <c r="I162" i="46" s="1"/>
  <c r="E158" i="46"/>
  <c r="C81" i="46"/>
  <c r="L62" i="46"/>
  <c r="J43" i="46"/>
  <c r="C129" i="46" s="1"/>
  <c r="J54" i="46"/>
  <c r="C140" i="46" s="1"/>
  <c r="J46" i="46"/>
  <c r="C132" i="46" s="1"/>
  <c r="J38" i="46"/>
  <c r="C124" i="46" s="1"/>
  <c r="J53" i="46"/>
  <c r="C139" i="46" s="1"/>
  <c r="J41" i="46"/>
  <c r="C127" i="46" s="1"/>
  <c r="J33" i="46"/>
  <c r="C119" i="46" s="1"/>
  <c r="J57" i="46"/>
  <c r="C143" i="46" s="1"/>
  <c r="J40" i="46"/>
  <c r="C126" i="46" s="1"/>
  <c r="J56" i="46"/>
  <c r="C142" i="46" s="1"/>
  <c r="J51" i="46"/>
  <c r="C137" i="46" s="1"/>
  <c r="J45" i="46"/>
  <c r="C131" i="46" s="1"/>
  <c r="D123" i="46"/>
  <c r="H123" i="46" s="1"/>
  <c r="G123" i="46" s="1"/>
  <c r="D109" i="46"/>
  <c r="H109" i="46" s="1"/>
  <c r="G109" i="46" s="1"/>
  <c r="J36" i="46"/>
  <c r="C122" i="46" s="1"/>
  <c r="J49" i="46"/>
  <c r="C135" i="46" s="1"/>
  <c r="J39" i="46"/>
  <c r="C125" i="46" s="1"/>
  <c r="F39" i="12"/>
  <c r="F42" i="56"/>
  <c r="F40" i="56"/>
  <c r="G21" i="2"/>
  <c r="F17" i="56"/>
  <c r="H24" i="8"/>
  <c r="I28" i="1"/>
  <c r="E48" i="11"/>
  <c r="E20" i="71"/>
  <c r="E24" i="71" s="1"/>
  <c r="A12" i="2"/>
  <c r="A13" i="2" s="1"/>
  <c r="J143" i="61"/>
  <c r="I27" i="61"/>
  <c r="I31" i="61" s="1"/>
  <c r="I48" i="61"/>
  <c r="I71" i="61"/>
  <c r="N60" i="61"/>
  <c r="J174" i="61"/>
  <c r="H187" i="61"/>
  <c r="A41" i="8"/>
  <c r="A42" i="8" s="1"/>
  <c r="A43" i="8" s="1"/>
  <c r="A44" i="8" s="1"/>
  <c r="A45" i="8" s="1"/>
  <c r="A48" i="8" s="1"/>
  <c r="H56" i="8"/>
  <c r="J20" i="57"/>
  <c r="D27" i="57" s="1"/>
  <c r="I20" i="57"/>
  <c r="C27" i="57" s="1"/>
  <c r="C28" i="57" s="1"/>
  <c r="D126" i="46"/>
  <c r="H126" i="46" s="1"/>
  <c r="G126" i="46" s="1"/>
  <c r="M143" i="61"/>
  <c r="G24" i="26"/>
  <c r="A11" i="26"/>
  <c r="A12" i="26" s="1"/>
  <c r="A13" i="26" s="1"/>
  <c r="A14" i="26" s="1"/>
  <c r="A15" i="26" s="1"/>
  <c r="A16" i="26" s="1"/>
  <c r="A17" i="26" s="1"/>
  <c r="A18" i="26" s="1"/>
  <c r="A19" i="26" s="1"/>
  <c r="A20" i="26" s="1"/>
  <c r="D28" i="57"/>
  <c r="M180" i="61"/>
  <c r="E199" i="61" s="1"/>
  <c r="E200" i="61" s="1"/>
  <c r="J187" i="61"/>
  <c r="G187" i="61"/>
  <c r="J27" i="8"/>
  <c r="G40" i="57"/>
  <c r="B147" i="65"/>
  <c r="G13" i="2"/>
  <c r="G14" i="2" s="1"/>
  <c r="N23" i="61"/>
  <c r="D124" i="46"/>
  <c r="H124" i="46" s="1"/>
  <c r="G124" i="46" s="1"/>
  <c r="C113" i="46"/>
  <c r="L24" i="65"/>
  <c r="J25" i="65" s="1"/>
  <c r="K25" i="65" s="1"/>
  <c r="I143" i="61"/>
  <c r="I179" i="61"/>
  <c r="I187" i="61" s="1"/>
  <c r="C12" i="57"/>
  <c r="E18" i="57"/>
  <c r="E20" i="57" s="1"/>
  <c r="C76" i="26"/>
  <c r="M14" i="61"/>
  <c r="M23" i="61" s="1"/>
  <c r="J23" i="61"/>
  <c r="I46" i="61"/>
  <c r="G60" i="61"/>
  <c r="E197" i="61"/>
  <c r="E198" i="61" s="1"/>
  <c r="M39" i="61"/>
  <c r="M60" i="61" s="1"/>
  <c r="J60" i="61"/>
  <c r="I4" i="61"/>
  <c r="I9" i="61" s="1"/>
  <c r="G9" i="61"/>
  <c r="M76" i="61"/>
  <c r="M119" i="61" s="1"/>
  <c r="J119" i="61"/>
  <c r="I70" i="61"/>
  <c r="G119" i="61"/>
  <c r="I119" i="61"/>
  <c r="N119" i="61"/>
  <c r="N187" i="61"/>
  <c r="D111" i="21"/>
  <c r="D123" i="21" s="1"/>
  <c r="D103" i="21"/>
  <c r="D133" i="21" s="1"/>
  <c r="D136" i="21" s="1"/>
  <c r="E37" i="11"/>
  <c r="K28" i="1" s="1"/>
  <c r="F55" i="17"/>
  <c r="F57" i="17" s="1"/>
  <c r="D51" i="17"/>
  <c r="D14" i="17" s="1"/>
  <c r="K101" i="1" s="1"/>
  <c r="K102" i="1" s="1"/>
  <c r="A35" i="63"/>
  <c r="A36" i="63" s="1"/>
  <c r="A37" i="63" s="1"/>
  <c r="A38" i="63" s="1"/>
  <c r="A39" i="63" s="1"/>
  <c r="A40" i="63" s="1"/>
  <c r="A41" i="63" s="1"/>
  <c r="A42" i="63" s="1"/>
  <c r="A43" i="63" s="1"/>
  <c r="A44" i="63" s="1"/>
  <c r="A45" i="63" s="1"/>
  <c r="A46" i="63" s="1"/>
  <c r="A47" i="63" s="1"/>
  <c r="A48" i="63" s="1"/>
  <c r="A49" i="63" s="1"/>
  <c r="A50" i="63" s="1"/>
  <c r="A51" i="63" s="1"/>
  <c r="A56" i="63" s="1"/>
  <c r="A57" i="63" s="1"/>
  <c r="A58" i="63" s="1"/>
  <c r="A59" i="63" s="1"/>
  <c r="A60" i="63" s="1"/>
  <c r="A61" i="63" s="1"/>
  <c r="A62" i="63" s="1"/>
  <c r="E60" i="11"/>
  <c r="E54" i="12" s="1"/>
  <c r="E68" i="12"/>
  <c r="E112" i="21"/>
  <c r="N92" i="21"/>
  <c r="J111" i="21"/>
  <c r="J103" i="21"/>
  <c r="J133" i="21" s="1"/>
  <c r="J136" i="21" s="1"/>
  <c r="E116" i="21"/>
  <c r="N96" i="21"/>
  <c r="E120" i="21"/>
  <c r="N100" i="21"/>
  <c r="H111" i="21"/>
  <c r="H103" i="21"/>
  <c r="H133" i="21" s="1"/>
  <c r="H136" i="21" s="1"/>
  <c r="L111" i="21"/>
  <c r="L103" i="21"/>
  <c r="L133" i="21" s="1"/>
  <c r="L136" i="21" s="1"/>
  <c r="F111" i="21"/>
  <c r="F103" i="21"/>
  <c r="F133" i="21" s="1"/>
  <c r="F136" i="21" s="1"/>
  <c r="E114" i="21"/>
  <c r="N114" i="21" s="1"/>
  <c r="N94" i="21"/>
  <c r="E118" i="21"/>
  <c r="N98" i="21"/>
  <c r="E122" i="21"/>
  <c r="N102" i="21"/>
  <c r="N91" i="21"/>
  <c r="G103" i="21"/>
  <c r="G133" i="21" s="1"/>
  <c r="G136" i="21" s="1"/>
  <c r="G111" i="21"/>
  <c r="I103" i="21"/>
  <c r="I133" i="21" s="1"/>
  <c r="I136" i="21" s="1"/>
  <c r="I111" i="21"/>
  <c r="K103" i="21"/>
  <c r="K133" i="21" s="1"/>
  <c r="K136" i="21" s="1"/>
  <c r="K111" i="21"/>
  <c r="M103" i="21"/>
  <c r="M133" i="21" s="1"/>
  <c r="M136" i="21" s="1"/>
  <c r="M111" i="21"/>
  <c r="D20" i="71"/>
  <c r="D24" i="71" s="1"/>
  <c r="D40" i="7"/>
  <c r="D130" i="46"/>
  <c r="J52" i="46"/>
  <c r="C138" i="46" s="1"/>
  <c r="J13" i="46"/>
  <c r="C99" i="46" s="1"/>
  <c r="J25" i="46"/>
  <c r="C111" i="46" s="1"/>
  <c r="E85" i="11"/>
  <c r="H20" i="26"/>
  <c r="F23" i="26" s="1"/>
  <c r="F25" i="26" s="1"/>
  <c r="H43" i="44"/>
  <c r="A15" i="17"/>
  <c r="A16" i="17" s="1"/>
  <c r="A17" i="17" s="1"/>
  <c r="A18" i="17" s="1"/>
  <c r="A19" i="17" s="1"/>
  <c r="A20" i="17" s="1"/>
  <c r="A21" i="17" s="1"/>
  <c r="A22" i="17" s="1"/>
  <c r="A23" i="17" s="1"/>
  <c r="A24" i="17" s="1"/>
  <c r="J34" i="46"/>
  <c r="C120" i="46" s="1"/>
  <c r="J42" i="46"/>
  <c r="C128" i="46" s="1"/>
  <c r="D143" i="46"/>
  <c r="H143" i="46" s="1"/>
  <c r="G143" i="46" s="1"/>
  <c r="J11" i="46"/>
  <c r="C97" i="46" s="1"/>
  <c r="J28" i="46"/>
  <c r="C114" i="46" s="1"/>
  <c r="H122" i="46"/>
  <c r="G122" i="46" s="1"/>
  <c r="H140" i="46"/>
  <c r="G140" i="46" s="1"/>
  <c r="H145" i="46"/>
  <c r="G145" i="46" s="1"/>
  <c r="J71" i="46"/>
  <c r="C157" i="46" s="1"/>
  <c r="D97" i="46"/>
  <c r="J48" i="46"/>
  <c r="C134" i="46" s="1"/>
  <c r="H120" i="46"/>
  <c r="G120" i="46" s="1"/>
  <c r="H144" i="46"/>
  <c r="G144" i="46" s="1"/>
  <c r="H142" i="46"/>
  <c r="G142" i="46" s="1"/>
  <c r="H131" i="46"/>
  <c r="G131" i="46" s="1"/>
  <c r="I163" i="46"/>
  <c r="G163" i="46" s="1"/>
  <c r="H111" i="46"/>
  <c r="G111" i="46" s="1"/>
  <c r="H99" i="46"/>
  <c r="D83" i="46"/>
  <c r="C192" i="46" s="1"/>
  <c r="H80" i="46" s="1"/>
  <c r="J31" i="46"/>
  <c r="C117" i="46" s="1"/>
  <c r="G139" i="46"/>
  <c r="J27" i="46"/>
  <c r="J59" i="46"/>
  <c r="C145" i="46" s="1"/>
  <c r="G136" i="46"/>
  <c r="C83" i="46"/>
  <c r="A17" i="7"/>
  <c r="A18" i="7" s="1"/>
  <c r="A19" i="7" s="1"/>
  <c r="A20" i="7" s="1"/>
  <c r="A21" i="7" s="1"/>
  <c r="G20" i="71"/>
  <c r="A20" i="71"/>
  <c r="B191" i="71" s="1"/>
  <c r="E55" i="12"/>
  <c r="E65" i="11"/>
  <c r="E41" i="12"/>
  <c r="E51" i="11"/>
  <c r="D98" i="46"/>
  <c r="J12" i="46"/>
  <c r="C98" i="46" s="1"/>
  <c r="E101" i="46"/>
  <c r="J15" i="46"/>
  <c r="C101" i="46" s="1"/>
  <c r="E102" i="46"/>
  <c r="I102" i="46" s="1"/>
  <c r="G102" i="46" s="1"/>
  <c r="J16" i="46"/>
  <c r="C102" i="46" s="1"/>
  <c r="E103" i="46"/>
  <c r="J17" i="46"/>
  <c r="C103" i="46" s="1"/>
  <c r="E104" i="46"/>
  <c r="I104" i="46" s="1"/>
  <c r="G104" i="46" s="1"/>
  <c r="J18" i="46"/>
  <c r="C104" i="46" s="1"/>
  <c r="E105" i="46"/>
  <c r="J19" i="46"/>
  <c r="C105" i="46" s="1"/>
  <c r="E106" i="46"/>
  <c r="I106" i="46" s="1"/>
  <c r="G106" i="46" s="1"/>
  <c r="J20" i="46"/>
  <c r="C106" i="46" s="1"/>
  <c r="E107" i="46"/>
  <c r="J21" i="46"/>
  <c r="C107" i="46" s="1"/>
  <c r="D112" i="46"/>
  <c r="J26" i="46"/>
  <c r="C112" i="46" s="1"/>
  <c r="D116" i="46"/>
  <c r="J30" i="46"/>
  <c r="C116" i="46" s="1"/>
  <c r="G133" i="46"/>
  <c r="G134" i="46"/>
  <c r="G161" i="46"/>
  <c r="D100" i="46"/>
  <c r="J14" i="46"/>
  <c r="C100" i="46" s="1"/>
  <c r="E108" i="46"/>
  <c r="J22" i="46"/>
  <c r="C108" i="46" s="1"/>
  <c r="D110" i="46"/>
  <c r="J24" i="46"/>
  <c r="C110" i="46" s="1"/>
  <c r="D118" i="46"/>
  <c r="J32" i="46"/>
  <c r="C118" i="46" s="1"/>
  <c r="G137" i="46"/>
  <c r="G138" i="46"/>
  <c r="G162" i="46"/>
  <c r="I18" i="1"/>
  <c r="A18" i="1"/>
  <c r="G77" i="44"/>
  <c r="A31" i="44"/>
  <c r="I174" i="61"/>
  <c r="B8" i="65"/>
  <c r="A45" i="65"/>
  <c r="A46" i="65" s="1"/>
  <c r="A47" i="65" s="1"/>
  <c r="A48" i="65" s="1"/>
  <c r="A49" i="65" s="1"/>
  <c r="A50" i="65" s="1"/>
  <c r="A51" i="65" s="1"/>
  <c r="A52" i="65" s="1"/>
  <c r="A53" i="65" s="1"/>
  <c r="A54" i="65" s="1"/>
  <c r="A55" i="65" s="1"/>
  <c r="A56" i="65" s="1"/>
  <c r="A57" i="65" s="1"/>
  <c r="A58" i="65" s="1"/>
  <c r="A59" i="65" s="1"/>
  <c r="A60" i="65" s="1"/>
  <c r="A61" i="65" s="1"/>
  <c r="A62" i="65" s="1"/>
  <c r="A63" i="65" s="1"/>
  <c r="A64" i="65" s="1"/>
  <c r="B130" i="65" s="1"/>
  <c r="A71" i="46"/>
  <c r="A72" i="46" s="1"/>
  <c r="A73" i="46" s="1"/>
  <c r="A74" i="46" s="1"/>
  <c r="A75" i="46" s="1"/>
  <c r="A76" i="46" s="1"/>
  <c r="A77" i="46" s="1"/>
  <c r="A78" i="46" s="1"/>
  <c r="A79" i="46" s="1"/>
  <c r="A80" i="46" s="1"/>
  <c r="A81" i="46" s="1"/>
  <c r="E85" i="46"/>
  <c r="M174" i="61"/>
  <c r="A46" i="11"/>
  <c r="H39" i="12" s="1"/>
  <c r="A49" i="8"/>
  <c r="A50" i="8" s="1"/>
  <c r="A51" i="8" s="1"/>
  <c r="A52" i="8" s="1"/>
  <c r="A53" i="8" s="1"/>
  <c r="A54" i="8" s="1"/>
  <c r="A12" i="8"/>
  <c r="A11" i="56"/>
  <c r="A12" i="56" s="1"/>
  <c r="D132" i="46"/>
  <c r="J50" i="46"/>
  <c r="C136" i="46" s="1"/>
  <c r="E157" i="46"/>
  <c r="E141" i="71"/>
  <c r="B5" i="65"/>
  <c r="A22" i="7"/>
  <c r="A23" i="7" s="1"/>
  <c r="A24" i="7" s="1"/>
  <c r="A25" i="7" s="1"/>
  <c r="E140" i="71"/>
  <c r="E68" i="8"/>
  <c r="A23" i="22"/>
  <c r="A16" i="32"/>
  <c r="A20" i="32" s="1"/>
  <c r="A27" i="12"/>
  <c r="D47" i="71"/>
  <c r="E47" i="71"/>
  <c r="E54" i="71"/>
  <c r="D54" i="71"/>
  <c r="A6" i="31"/>
  <c r="A7" i="31" s="1"/>
  <c r="A8" i="31" s="1"/>
  <c r="B39" i="31" s="1"/>
  <c r="C20" i="57" l="1"/>
  <c r="I60" i="61"/>
  <c r="I191" i="61" s="1"/>
  <c r="H191" i="61"/>
  <c r="L83" i="46"/>
  <c r="E31" i="71"/>
  <c r="F117" i="46"/>
  <c r="I117" i="46" s="1"/>
  <c r="F118" i="46"/>
  <c r="I118" i="46" s="1"/>
  <c r="F119" i="46"/>
  <c r="I119" i="46" s="1"/>
  <c r="F116" i="46"/>
  <c r="I116" i="46" s="1"/>
  <c r="H117" i="46"/>
  <c r="G117" i="46" s="1"/>
  <c r="E27" i="57"/>
  <c r="I42" i="79"/>
  <c r="I43" i="79" s="1"/>
  <c r="I26" i="79"/>
  <c r="I27" i="79" s="1"/>
  <c r="G42" i="79"/>
  <c r="G43" i="79" s="1"/>
  <c r="G26" i="79"/>
  <c r="G27" i="79" s="1"/>
  <c r="I33" i="79"/>
  <c r="I34" i="79" s="1"/>
  <c r="G33" i="79"/>
  <c r="G34" i="79" s="1"/>
  <c r="M187" i="61"/>
  <c r="M191" i="61" s="1"/>
  <c r="N191" i="61"/>
  <c r="H119" i="46"/>
  <c r="G119" i="46" s="1"/>
  <c r="A23" i="26"/>
  <c r="G23" i="26"/>
  <c r="D31" i="71"/>
  <c r="G99" i="46"/>
  <c r="F112" i="71"/>
  <c r="G41" i="44"/>
  <c r="E25" i="7"/>
  <c r="E13" i="2"/>
  <c r="E14" i="2"/>
  <c r="A14" i="2"/>
  <c r="E201" i="61"/>
  <c r="E203" i="61" s="1"/>
  <c r="E28" i="57"/>
  <c r="E33" i="57" s="1"/>
  <c r="E40" i="57" s="1"/>
  <c r="E148" i="46"/>
  <c r="J191" i="61"/>
  <c r="G191" i="61"/>
  <c r="D33" i="71"/>
  <c r="E33" i="71"/>
  <c r="D23" i="7"/>
  <c r="E42" i="57"/>
  <c r="E113" i="21"/>
  <c r="N93" i="21"/>
  <c r="F123" i="21"/>
  <c r="F147" i="21" s="1"/>
  <c r="H123" i="21"/>
  <c r="H144" i="21" s="1"/>
  <c r="J123" i="21"/>
  <c r="J150" i="21" s="1"/>
  <c r="M123" i="21"/>
  <c r="M155" i="21" s="1"/>
  <c r="K123" i="21"/>
  <c r="K149" i="21" s="1"/>
  <c r="I123" i="21"/>
  <c r="I155" i="21" s="1"/>
  <c r="G123" i="21"/>
  <c r="G152" i="21" s="1"/>
  <c r="N111" i="21"/>
  <c r="N122" i="21"/>
  <c r="N118" i="21"/>
  <c r="L123" i="21"/>
  <c r="L146" i="21" s="1"/>
  <c r="N120" i="21"/>
  <c r="N116" i="21"/>
  <c r="N112" i="21"/>
  <c r="H56" i="44"/>
  <c r="H57" i="44" s="1"/>
  <c r="G16" i="12"/>
  <c r="J57" i="8"/>
  <c r="J43" i="8"/>
  <c r="C191" i="46"/>
  <c r="H61" i="46" s="1"/>
  <c r="K61" i="46" s="1"/>
  <c r="K80" i="46"/>
  <c r="H81" i="46"/>
  <c r="G80" i="46"/>
  <c r="G81" i="46" s="1"/>
  <c r="H116" i="46"/>
  <c r="H112" i="46"/>
  <c r="G112" i="46" s="1"/>
  <c r="I107" i="46"/>
  <c r="G107" i="46" s="1"/>
  <c r="I105" i="46"/>
  <c r="G105" i="46" s="1"/>
  <c r="I103" i="46"/>
  <c r="G103" i="46" s="1"/>
  <c r="I101" i="46"/>
  <c r="G101" i="46" s="1"/>
  <c r="H98" i="46"/>
  <c r="G98" i="46" s="1"/>
  <c r="H132" i="46"/>
  <c r="H118" i="46"/>
  <c r="H110" i="46"/>
  <c r="G110" i="46" s="1"/>
  <c r="I108" i="46"/>
  <c r="G108" i="46" s="1"/>
  <c r="H100" i="46"/>
  <c r="G100" i="46" s="1"/>
  <c r="G37" i="11"/>
  <c r="F20" i="71"/>
  <c r="E111" i="71" s="1"/>
  <c r="A24" i="71"/>
  <c r="F111" i="71"/>
  <c r="F31" i="71"/>
  <c r="F24" i="71"/>
  <c r="A9" i="31"/>
  <c r="H22" i="31"/>
  <c r="A28" i="12"/>
  <c r="A29" i="12" s="1"/>
  <c r="A39" i="12" s="1"/>
  <c r="A40" i="12" s="1"/>
  <c r="A41" i="12" s="1"/>
  <c r="A42" i="12" s="1"/>
  <c r="A43" i="12" s="1"/>
  <c r="A44" i="12" s="1"/>
  <c r="E83" i="7"/>
  <c r="E47" i="7"/>
  <c r="A26" i="7"/>
  <c r="A27" i="7" s="1"/>
  <c r="A28" i="7" s="1"/>
  <c r="A29" i="7" s="1"/>
  <c r="A30" i="7" s="1"/>
  <c r="A31" i="7" s="1"/>
  <c r="A32" i="7" s="1"/>
  <c r="A33" i="7" s="1"/>
  <c r="A34" i="7" s="1"/>
  <c r="A35" i="7" s="1"/>
  <c r="A36" i="7" s="1"/>
  <c r="A25" i="17"/>
  <c r="E167" i="46"/>
  <c r="E170" i="46" s="1"/>
  <c r="D12" i="56"/>
  <c r="A55" i="8"/>
  <c r="A56" i="8" s="1"/>
  <c r="A57" i="8" s="1"/>
  <c r="A58" i="8" s="1"/>
  <c r="A82" i="46"/>
  <c r="A83" i="46" s="1"/>
  <c r="D191" i="46" s="1"/>
  <c r="E86" i="46"/>
  <c r="F37" i="11"/>
  <c r="J24" i="8" s="1"/>
  <c r="F91" i="12" s="1"/>
  <c r="A21" i="32"/>
  <c r="A22" i="32" s="1"/>
  <c r="A28" i="32" s="1"/>
  <c r="A24" i="22"/>
  <c r="G27" i="22" s="1"/>
  <c r="A13" i="56"/>
  <c r="A14" i="56" s="1"/>
  <c r="A15" i="56" s="1"/>
  <c r="A16" i="56" s="1"/>
  <c r="A17" i="56" s="1"/>
  <c r="A13" i="8"/>
  <c r="A14" i="8" s="1"/>
  <c r="A15" i="8" s="1"/>
  <c r="A47" i="11"/>
  <c r="H40" i="12" s="1"/>
  <c r="L25" i="65"/>
  <c r="B9" i="65"/>
  <c r="A65" i="65"/>
  <c r="A66" i="65" s="1"/>
  <c r="A67" i="65" s="1"/>
  <c r="A32" i="44"/>
  <c r="G55" i="44"/>
  <c r="A24" i="26"/>
  <c r="A25" i="26" s="1"/>
  <c r="A21" i="1"/>
  <c r="G118" i="46" l="1"/>
  <c r="G116" i="46"/>
  <c r="E43" i="57"/>
  <c r="E204" i="61"/>
  <c r="E207" i="61" s="1"/>
  <c r="K130" i="1" s="1"/>
  <c r="J54" i="8" s="1"/>
  <c r="M147" i="21"/>
  <c r="I151" i="21"/>
  <c r="F150" i="21"/>
  <c r="F145" i="21"/>
  <c r="K154" i="21"/>
  <c r="F151" i="21"/>
  <c r="G146" i="21"/>
  <c r="J152" i="21"/>
  <c r="J154" i="21"/>
  <c r="G149" i="21"/>
  <c r="H154" i="21"/>
  <c r="A68" i="65"/>
  <c r="A69" i="65" s="1"/>
  <c r="A70" i="65" s="1"/>
  <c r="A71" i="65" s="1"/>
  <c r="F72" i="65" s="1"/>
  <c r="B129" i="65"/>
  <c r="J207" i="46"/>
  <c r="F125" i="46" s="1"/>
  <c r="L29" i="28"/>
  <c r="K65" i="1" s="1"/>
  <c r="K83" i="1" s="1"/>
  <c r="E15" i="2"/>
  <c r="A15" i="2"/>
  <c r="G73" i="44" s="1"/>
  <c r="G132" i="46"/>
  <c r="E103" i="21"/>
  <c r="E133" i="21" s="1"/>
  <c r="E136" i="21" s="1"/>
  <c r="C29" i="57"/>
  <c r="C31" i="57" s="1"/>
  <c r="C33" i="57" s="1"/>
  <c r="C40" i="57" s="1"/>
  <c r="C43" i="57" s="1"/>
  <c r="D29" i="57"/>
  <c r="D31" i="57" s="1"/>
  <c r="D33" i="57" s="1"/>
  <c r="D40" i="57" s="1"/>
  <c r="D43" i="57" s="1"/>
  <c r="M152" i="21"/>
  <c r="A59" i="8"/>
  <c r="H59" i="8"/>
  <c r="H15" i="8"/>
  <c r="H62" i="46"/>
  <c r="H83" i="46" s="1"/>
  <c r="L154" i="21"/>
  <c r="K155" i="21"/>
  <c r="K146" i="21"/>
  <c r="H146" i="21"/>
  <c r="A26" i="26"/>
  <c r="A27" i="26" s="1"/>
  <c r="G25" i="26"/>
  <c r="L150" i="21"/>
  <c r="I152" i="21"/>
  <c r="M151" i="21"/>
  <c r="J146" i="21"/>
  <c r="F152" i="21"/>
  <c r="H152" i="21"/>
  <c r="F154" i="21"/>
  <c r="K151" i="21"/>
  <c r="G153" i="21"/>
  <c r="F155" i="21"/>
  <c r="K150" i="21"/>
  <c r="G150" i="21"/>
  <c r="H150" i="21"/>
  <c r="F148" i="21"/>
  <c r="F149" i="21"/>
  <c r="L144" i="21"/>
  <c r="L13" i="21" s="1"/>
  <c r="F153" i="21"/>
  <c r="I147" i="21"/>
  <c r="K144" i="21"/>
  <c r="K13" i="21" s="1"/>
  <c r="M144" i="21"/>
  <c r="M13" i="21" s="1"/>
  <c r="F144" i="21"/>
  <c r="F13" i="21" s="1"/>
  <c r="L152" i="21"/>
  <c r="J144" i="21"/>
  <c r="M146" i="21"/>
  <c r="M154" i="21"/>
  <c r="K153" i="21"/>
  <c r="I150" i="21"/>
  <c r="G147" i="21"/>
  <c r="G155" i="21"/>
  <c r="H155" i="21"/>
  <c r="H145" i="21"/>
  <c r="H149" i="21"/>
  <c r="H153" i="21"/>
  <c r="H147" i="21"/>
  <c r="H151" i="21"/>
  <c r="M149" i="21"/>
  <c r="K148" i="21"/>
  <c r="I145" i="21"/>
  <c r="I153" i="21"/>
  <c r="G154" i="21"/>
  <c r="E117" i="21"/>
  <c r="N97" i="21"/>
  <c r="E121" i="21"/>
  <c r="N101" i="21"/>
  <c r="G145" i="21"/>
  <c r="K145" i="21"/>
  <c r="L145" i="21"/>
  <c r="L149" i="21"/>
  <c r="L153" i="21"/>
  <c r="L147" i="21"/>
  <c r="L151" i="21"/>
  <c r="L155" i="21"/>
  <c r="G144" i="21"/>
  <c r="I144" i="21"/>
  <c r="E115" i="21"/>
  <c r="N95" i="21"/>
  <c r="E119" i="21"/>
  <c r="N99" i="21"/>
  <c r="L148" i="21"/>
  <c r="J148" i="21"/>
  <c r="J147" i="21"/>
  <c r="J151" i="21"/>
  <c r="J155" i="21"/>
  <c r="J145" i="21"/>
  <c r="J149" i="21"/>
  <c r="J153" i="21"/>
  <c r="M150" i="21"/>
  <c r="K147" i="21"/>
  <c r="I146" i="21"/>
  <c r="I154" i="21"/>
  <c r="G151" i="21"/>
  <c r="H13" i="21"/>
  <c r="M145" i="21"/>
  <c r="M153" i="21"/>
  <c r="K152" i="21"/>
  <c r="I149" i="21"/>
  <c r="G148" i="21"/>
  <c r="N113" i="21"/>
  <c r="I148" i="21"/>
  <c r="M148" i="21"/>
  <c r="H148" i="21"/>
  <c r="F146" i="21"/>
  <c r="H59" i="44"/>
  <c r="H78" i="44" s="1"/>
  <c r="H65" i="44"/>
  <c r="H66" i="44" s="1"/>
  <c r="H79" i="44" s="1"/>
  <c r="J61" i="46"/>
  <c r="C147" i="46" s="1"/>
  <c r="C148" i="46" s="1"/>
  <c r="D147" i="46"/>
  <c r="D148" i="46" s="1"/>
  <c r="K62" i="46"/>
  <c r="G61" i="46"/>
  <c r="G62" i="46" s="1"/>
  <c r="G83" i="46" s="1"/>
  <c r="D166" i="46"/>
  <c r="J80" i="46"/>
  <c r="J81" i="46" s="1"/>
  <c r="K81" i="46"/>
  <c r="D192" i="46"/>
  <c r="A25" i="71"/>
  <c r="A26" i="71" s="1"/>
  <c r="A28" i="26"/>
  <c r="A33" i="44"/>
  <c r="B48" i="44" s="1"/>
  <c r="G64" i="44"/>
  <c r="A72" i="65"/>
  <c r="I148" i="1" s="1"/>
  <c r="A18" i="8"/>
  <c r="D17" i="56"/>
  <c r="G22" i="32"/>
  <c r="A84" i="46"/>
  <c r="A85" i="46" s="1"/>
  <c r="A86" i="46" s="1"/>
  <c r="A87" i="46" s="1"/>
  <c r="A37" i="7"/>
  <c r="A38" i="7" s="1"/>
  <c r="A39" i="7" s="1"/>
  <c r="A40" i="7" s="1"/>
  <c r="A41" i="7" s="1"/>
  <c r="A42" i="7" s="1"/>
  <c r="A43" i="7" s="1"/>
  <c r="A44" i="7" s="1"/>
  <c r="A45" i="7" s="1"/>
  <c r="A46" i="7" s="1"/>
  <c r="A54" i="12"/>
  <c r="B40" i="31"/>
  <c r="B35" i="31"/>
  <c r="A10" i="31"/>
  <c r="A22" i="1"/>
  <c r="A23" i="1" s="1"/>
  <c r="A24" i="1" s="1"/>
  <c r="J26" i="65"/>
  <c r="A48" i="11"/>
  <c r="H41" i="12" s="1"/>
  <c r="A18" i="56"/>
  <c r="A19" i="56" s="1"/>
  <c r="A20" i="56" s="1"/>
  <c r="A26" i="22"/>
  <c r="I15" i="1" s="1"/>
  <c r="G26" i="22"/>
  <c r="A29" i="32"/>
  <c r="A30" i="32" s="1"/>
  <c r="A34" i="32" s="1"/>
  <c r="A61" i="8"/>
  <c r="A63" i="8" s="1"/>
  <c r="A26" i="17"/>
  <c r="A27" i="17" s="1"/>
  <c r="A28" i="17" s="1"/>
  <c r="A29" i="17" s="1"/>
  <c r="C45" i="57" l="1"/>
  <c r="B9" i="31" s="1"/>
  <c r="D45" i="57"/>
  <c r="B10" i="31" s="1"/>
  <c r="N133" i="21"/>
  <c r="H156" i="21"/>
  <c r="M14" i="21"/>
  <c r="M15" i="21" s="1"/>
  <c r="M16" i="21" s="1"/>
  <c r="M17" i="21" s="1"/>
  <c r="M18" i="21" s="1"/>
  <c r="M19" i="21" s="1"/>
  <c r="M20" i="21" s="1"/>
  <c r="M21" i="21" s="1"/>
  <c r="M22" i="21" s="1"/>
  <c r="M23" i="21" s="1"/>
  <c r="K63" i="1"/>
  <c r="K75" i="1" s="1"/>
  <c r="F156" i="21"/>
  <c r="L14" i="21"/>
  <c r="L15" i="21" s="1"/>
  <c r="L16" i="21" s="1"/>
  <c r="L17" i="21" s="1"/>
  <c r="F135" i="46"/>
  <c r="I135" i="46" s="1"/>
  <c r="A47" i="7"/>
  <c r="A48" i="7" s="1"/>
  <c r="G26" i="26"/>
  <c r="G50" i="22"/>
  <c r="F28" i="54"/>
  <c r="G59" i="21"/>
  <c r="G62" i="4"/>
  <c r="G54" i="22"/>
  <c r="G24" i="22"/>
  <c r="G52" i="21"/>
  <c r="G57" i="4"/>
  <c r="I55" i="1"/>
  <c r="A16" i="2"/>
  <c r="A17" i="2" s="1"/>
  <c r="A18" i="2" s="1"/>
  <c r="A19" i="2" s="1"/>
  <c r="A20" i="2" s="1"/>
  <c r="A21" i="2" s="1"/>
  <c r="A22" i="2" s="1"/>
  <c r="K83" i="46"/>
  <c r="G30" i="32"/>
  <c r="G45" i="57"/>
  <c r="G43" i="57"/>
  <c r="G27" i="26"/>
  <c r="A55" i="12"/>
  <c r="A56" i="12" s="1"/>
  <c r="A57" i="12" s="1"/>
  <c r="A58" i="12" s="1"/>
  <c r="A59" i="12" s="1"/>
  <c r="K156" i="21"/>
  <c r="N119" i="21"/>
  <c r="N115" i="21"/>
  <c r="E123" i="21"/>
  <c r="E147" i="21" s="1"/>
  <c r="G156" i="21"/>
  <c r="G13" i="21"/>
  <c r="G14" i="21" s="1"/>
  <c r="G15" i="21" s="1"/>
  <c r="G16" i="21" s="1"/>
  <c r="G17" i="21" s="1"/>
  <c r="G18" i="21" s="1"/>
  <c r="G19" i="21" s="1"/>
  <c r="G20" i="21" s="1"/>
  <c r="G21" i="21" s="1"/>
  <c r="G22" i="21" s="1"/>
  <c r="G23" i="21" s="1"/>
  <c r="K14" i="21"/>
  <c r="K15" i="21" s="1"/>
  <c r="K16" i="21" s="1"/>
  <c r="K17" i="21" s="1"/>
  <c r="K18" i="21" s="1"/>
  <c r="K19" i="21" s="1"/>
  <c r="K20" i="21" s="1"/>
  <c r="K21" i="21" s="1"/>
  <c r="K22" i="21" s="1"/>
  <c r="K23" i="21" s="1"/>
  <c r="N136" i="21"/>
  <c r="N103" i="21"/>
  <c r="M156" i="21"/>
  <c r="I13" i="21"/>
  <c r="I156" i="21"/>
  <c r="F14" i="21"/>
  <c r="F15" i="21" s="1"/>
  <c r="F16" i="21" s="1"/>
  <c r="F17" i="21" s="1"/>
  <c r="F18" i="21" s="1"/>
  <c r="F19" i="21" s="1"/>
  <c r="F20" i="21" s="1"/>
  <c r="F21" i="21" s="1"/>
  <c r="F22" i="21" s="1"/>
  <c r="F23" i="21" s="1"/>
  <c r="N121" i="21"/>
  <c r="N117" i="21"/>
  <c r="H14" i="21"/>
  <c r="H15" i="21" s="1"/>
  <c r="H16" i="21" s="1"/>
  <c r="H17" i="21" s="1"/>
  <c r="H18" i="21" s="1"/>
  <c r="H19" i="21" s="1"/>
  <c r="H20" i="21" s="1"/>
  <c r="H21" i="21" s="1"/>
  <c r="H22" i="21" s="1"/>
  <c r="H23" i="21" s="1"/>
  <c r="J13" i="21"/>
  <c r="J14" i="21" s="1"/>
  <c r="J15" i="21" s="1"/>
  <c r="J16" i="21" s="1"/>
  <c r="J17" i="21" s="1"/>
  <c r="J18" i="21" s="1"/>
  <c r="J19" i="21" s="1"/>
  <c r="J20" i="21" s="1"/>
  <c r="J21" i="21" s="1"/>
  <c r="J22" i="21" s="1"/>
  <c r="J23" i="21" s="1"/>
  <c r="J25" i="21" s="1"/>
  <c r="J156" i="21"/>
  <c r="L156" i="21"/>
  <c r="B185" i="71"/>
  <c r="B188" i="71"/>
  <c r="J62" i="46"/>
  <c r="J83" i="46" s="1"/>
  <c r="F26" i="71"/>
  <c r="D167" i="46"/>
  <c r="D170" i="46" s="1"/>
  <c r="H166" i="46"/>
  <c r="G166" i="46" s="1"/>
  <c r="C166" i="46"/>
  <c r="C167" i="46" s="1"/>
  <c r="C170" i="46" s="1"/>
  <c r="A49" i="7"/>
  <c r="A50" i="7" s="1"/>
  <c r="A51" i="7" s="1"/>
  <c r="A52" i="7" s="1"/>
  <c r="A53" i="7" s="1"/>
  <c r="A54" i="7" s="1"/>
  <c r="A55" i="7" s="1"/>
  <c r="F64" i="71"/>
  <c r="A31" i="71"/>
  <c r="A32" i="71" s="1"/>
  <c r="A33" i="71" s="1"/>
  <c r="A34" i="71" s="1"/>
  <c r="F65" i="71" s="1"/>
  <c r="A27" i="22"/>
  <c r="H12" i="8" s="1"/>
  <c r="A26" i="1"/>
  <c r="A28" i="1" s="1"/>
  <c r="A30" i="1" s="1"/>
  <c r="A32" i="1" s="1"/>
  <c r="A34" i="1" s="1"/>
  <c r="I115" i="1" s="1"/>
  <c r="A30" i="17"/>
  <c r="A67" i="8"/>
  <c r="G67" i="8"/>
  <c r="H63" i="8"/>
  <c r="A35" i="32"/>
  <c r="A36" i="32" s="1"/>
  <c r="A40" i="32" s="1"/>
  <c r="A21" i="56"/>
  <c r="A22" i="56" s="1"/>
  <c r="A23" i="56" s="1"/>
  <c r="A24" i="56" s="1"/>
  <c r="A25" i="56" s="1"/>
  <c r="A26" i="56" s="1"/>
  <c r="A49" i="11"/>
  <c r="A50" i="11" s="1"/>
  <c r="A51" i="11" s="1"/>
  <c r="A60" i="11" s="1"/>
  <c r="K26" i="65"/>
  <c r="L26" i="65" s="1"/>
  <c r="I24" i="1"/>
  <c r="B41" i="31"/>
  <c r="B36" i="31"/>
  <c r="A18" i="31"/>
  <c r="E40" i="7"/>
  <c r="A97" i="46"/>
  <c r="A98" i="46" s="1"/>
  <c r="A99" i="46" s="1"/>
  <c r="A100" i="46" s="1"/>
  <c r="A101" i="46" s="1"/>
  <c r="A102" i="46" s="1"/>
  <c r="A103" i="46" s="1"/>
  <c r="A104" i="46" s="1"/>
  <c r="A105" i="46" s="1"/>
  <c r="A106" i="46" s="1"/>
  <c r="A107" i="46" s="1"/>
  <c r="A108" i="46" s="1"/>
  <c r="A109" i="46" s="1"/>
  <c r="A110" i="46" s="1"/>
  <c r="A111" i="46" s="1"/>
  <c r="A112" i="46" s="1"/>
  <c r="A113" i="46" s="1"/>
  <c r="A114" i="46" s="1"/>
  <c r="A115" i="46" s="1"/>
  <c r="A116" i="46" s="1"/>
  <c r="A117" i="46" s="1"/>
  <c r="A118" i="46" s="1"/>
  <c r="A119" i="46" s="1"/>
  <c r="A120" i="46" s="1"/>
  <c r="A121" i="46" s="1"/>
  <c r="A122" i="46" s="1"/>
  <c r="A123" i="46" s="1"/>
  <c r="A124" i="46" s="1"/>
  <c r="A125" i="46" s="1"/>
  <c r="A126" i="46" s="1"/>
  <c r="A127" i="46" s="1"/>
  <c r="A128" i="46" s="1"/>
  <c r="A129" i="46" s="1"/>
  <c r="A130" i="46" s="1"/>
  <c r="A131" i="46" s="1"/>
  <c r="A132" i="46" s="1"/>
  <c r="A133" i="46" s="1"/>
  <c r="A134" i="46" s="1"/>
  <c r="A135" i="46" s="1"/>
  <c r="A136" i="46" s="1"/>
  <c r="A137" i="46" s="1"/>
  <c r="A138" i="46" s="1"/>
  <c r="A139" i="46" s="1"/>
  <c r="A140" i="46" s="1"/>
  <c r="A141" i="46" s="1"/>
  <c r="A142" i="46" s="1"/>
  <c r="A143" i="46" s="1"/>
  <c r="A144" i="46" s="1"/>
  <c r="A145" i="46" s="1"/>
  <c r="A146" i="46" s="1"/>
  <c r="A147" i="46" s="1"/>
  <c r="A148" i="46" s="1"/>
  <c r="A149" i="46" s="1"/>
  <c r="A19" i="8"/>
  <c r="A20" i="8" s="1"/>
  <c r="A21" i="8" s="1"/>
  <c r="A73" i="65"/>
  <c r="A74" i="65" s="1"/>
  <c r="A75" i="65" s="1"/>
  <c r="A76" i="65" s="1"/>
  <c r="A77" i="65" s="1"/>
  <c r="A78" i="65" s="1"/>
  <c r="A79" i="65" s="1"/>
  <c r="A80" i="65" s="1"/>
  <c r="A81" i="65" s="1"/>
  <c r="A82" i="65" s="1"/>
  <c r="A34" i="44"/>
  <c r="G80" i="44"/>
  <c r="A29" i="26"/>
  <c r="G29" i="26"/>
  <c r="H135" i="46" l="1"/>
  <c r="J202" i="46" s="1"/>
  <c r="H54" i="12"/>
  <c r="F68" i="12"/>
  <c r="E154" i="21"/>
  <c r="E153" i="21"/>
  <c r="N153" i="21" s="1"/>
  <c r="E48" i="7"/>
  <c r="E23" i="2"/>
  <c r="A23" i="2"/>
  <c r="G135" i="46"/>
  <c r="E155" i="21"/>
  <c r="N155" i="21" s="1"/>
  <c r="L18" i="21"/>
  <c r="L19" i="21" s="1"/>
  <c r="L20" i="21" s="1"/>
  <c r="L21" i="21" s="1"/>
  <c r="L22" i="21" s="1"/>
  <c r="L23" i="21" s="1"/>
  <c r="L25" i="21" s="1"/>
  <c r="E149" i="21"/>
  <c r="N149" i="21" s="1"/>
  <c r="E151" i="21"/>
  <c r="N151" i="21" s="1"/>
  <c r="E144" i="21"/>
  <c r="E13" i="21" s="1"/>
  <c r="B109" i="12"/>
  <c r="A68" i="12"/>
  <c r="E146" i="21"/>
  <c r="E145" i="21"/>
  <c r="N145" i="21" s="1"/>
  <c r="E150" i="21"/>
  <c r="N150" i="21" s="1"/>
  <c r="K80" i="1"/>
  <c r="K79" i="1"/>
  <c r="K89" i="1" s="1"/>
  <c r="E95" i="8" s="1"/>
  <c r="K78" i="1"/>
  <c r="K88" i="1" s="1"/>
  <c r="E94" i="8" s="1"/>
  <c r="N123" i="21"/>
  <c r="F25" i="21"/>
  <c r="N147" i="21"/>
  <c r="G25" i="21"/>
  <c r="K25" i="21"/>
  <c r="E148" i="21"/>
  <c r="E152" i="21"/>
  <c r="H25" i="21"/>
  <c r="N154" i="21"/>
  <c r="I14" i="21"/>
  <c r="I15" i="21" s="1"/>
  <c r="I16" i="21" s="1"/>
  <c r="I17" i="21" s="1"/>
  <c r="I18" i="21" s="1"/>
  <c r="I19" i="21" s="1"/>
  <c r="I20" i="21" s="1"/>
  <c r="I21" i="21" s="1"/>
  <c r="I22" i="21" s="1"/>
  <c r="I23" i="21" s="1"/>
  <c r="M25" i="21"/>
  <c r="A19" i="31"/>
  <c r="A20" i="31" s="1"/>
  <c r="A22" i="31" s="1"/>
  <c r="A56" i="7"/>
  <c r="A57" i="7" s="1"/>
  <c r="A58" i="7" s="1"/>
  <c r="A59" i="7" s="1"/>
  <c r="A60" i="7" s="1"/>
  <c r="A61" i="7" s="1"/>
  <c r="E55" i="7" s="1"/>
  <c r="B189" i="71"/>
  <c r="B186" i="71"/>
  <c r="A35" i="71"/>
  <c r="A36" i="71" s="1"/>
  <c r="A37" i="71" s="1"/>
  <c r="J27" i="65"/>
  <c r="A83" i="65"/>
  <c r="A84" i="65" s="1"/>
  <c r="A85" i="65" s="1"/>
  <c r="A86" i="65" s="1"/>
  <c r="A87" i="65" s="1"/>
  <c r="A88" i="65" s="1"/>
  <c r="A89" i="65" s="1"/>
  <c r="A90" i="65" s="1"/>
  <c r="A91" i="65" s="1"/>
  <c r="A92" i="65" s="1"/>
  <c r="A93" i="65" s="1"/>
  <c r="A94" i="65" s="1"/>
  <c r="A95" i="65" s="1"/>
  <c r="A96" i="65" s="1"/>
  <c r="A97" i="65" s="1"/>
  <c r="A98" i="65" s="1"/>
  <c r="A99" i="65" s="1"/>
  <c r="A100" i="65" s="1"/>
  <c r="A101" i="65" s="1"/>
  <c r="A102" i="65" s="1"/>
  <c r="A103" i="65" s="1"/>
  <c r="A104" i="65" s="1"/>
  <c r="A105" i="65" s="1"/>
  <c r="A23" i="8"/>
  <c r="H29" i="8"/>
  <c r="A30" i="26"/>
  <c r="I125" i="1" s="1"/>
  <c r="G30" i="26"/>
  <c r="H21" i="8"/>
  <c r="D26" i="56"/>
  <c r="G36" i="32"/>
  <c r="A68" i="8"/>
  <c r="A31" i="17"/>
  <c r="A39" i="1"/>
  <c r="A34" i="22"/>
  <c r="A41" i="44"/>
  <c r="A42" i="44" s="1"/>
  <c r="A157" i="46"/>
  <c r="A158" i="46" s="1"/>
  <c r="A159" i="46" s="1"/>
  <c r="A160" i="46" s="1"/>
  <c r="A161" i="46" s="1"/>
  <c r="A162" i="46" s="1"/>
  <c r="A163" i="46" s="1"/>
  <c r="A164" i="46" s="1"/>
  <c r="A165" i="46" s="1"/>
  <c r="A166" i="46" s="1"/>
  <c r="A167" i="46" s="1"/>
  <c r="A168" i="46" s="1"/>
  <c r="A169" i="46" s="1"/>
  <c r="A170" i="46" s="1"/>
  <c r="A24" i="31"/>
  <c r="A27" i="31" s="1"/>
  <c r="A61" i="11"/>
  <c r="A27" i="56"/>
  <c r="A28" i="56" s="1"/>
  <c r="D28" i="56"/>
  <c r="A41" i="32"/>
  <c r="A42" i="32" s="1"/>
  <c r="J205" i="46" l="1"/>
  <c r="F127" i="46" s="1"/>
  <c r="H55" i="12"/>
  <c r="F69" i="12"/>
  <c r="F93" i="12"/>
  <c r="E96" i="8"/>
  <c r="E102" i="8" s="1"/>
  <c r="J42" i="8" s="1"/>
  <c r="E14" i="21"/>
  <c r="N14" i="21" s="1"/>
  <c r="N144" i="21"/>
  <c r="A35" i="22"/>
  <c r="A36" i="22" s="1"/>
  <c r="A37" i="22" s="1"/>
  <c r="A38" i="22" s="1"/>
  <c r="A39" i="22" s="1"/>
  <c r="A40" i="22" s="1"/>
  <c r="A41" i="22" s="1"/>
  <c r="A42" i="22" s="1"/>
  <c r="A43" i="22" s="1"/>
  <c r="A44" i="22" s="1"/>
  <c r="A45" i="22" s="1"/>
  <c r="A46" i="22" s="1"/>
  <c r="G49" i="22" s="1"/>
  <c r="A24" i="2"/>
  <c r="E7" i="2"/>
  <c r="K90" i="1"/>
  <c r="K91" i="1" s="1"/>
  <c r="H127" i="46"/>
  <c r="I127" i="46"/>
  <c r="I125" i="46"/>
  <c r="H125" i="46"/>
  <c r="A69" i="8"/>
  <c r="G42" i="32"/>
  <c r="A34" i="56"/>
  <c r="A35" i="56" s="1"/>
  <c r="A36" i="56" s="1"/>
  <c r="B146" i="65"/>
  <c r="A106" i="65"/>
  <c r="A107" i="65" s="1"/>
  <c r="A108" i="65" s="1"/>
  <c r="A109" i="65" s="1"/>
  <c r="A110" i="65" s="1"/>
  <c r="A111" i="65" s="1"/>
  <c r="A112" i="65" s="1"/>
  <c r="A113" i="65" s="1"/>
  <c r="A114" i="65" s="1"/>
  <c r="A115" i="65" s="1"/>
  <c r="A116" i="65" s="1"/>
  <c r="A117" i="65" s="1"/>
  <c r="A118" i="65" s="1"/>
  <c r="A119" i="65" s="1"/>
  <c r="E63" i="7"/>
  <c r="A69" i="12"/>
  <c r="A70" i="12" s="1"/>
  <c r="A71" i="12" s="1"/>
  <c r="A81" i="12" s="1"/>
  <c r="A82" i="12" s="1"/>
  <c r="A83" i="12" s="1"/>
  <c r="A84" i="12" s="1"/>
  <c r="A85" i="12" s="1"/>
  <c r="A86" i="12" s="1"/>
  <c r="N152" i="21"/>
  <c r="N148" i="21"/>
  <c r="N146" i="21"/>
  <c r="E156" i="21"/>
  <c r="N13" i="21"/>
  <c r="I25" i="21"/>
  <c r="B38" i="31"/>
  <c r="H27" i="31"/>
  <c r="D21" i="7"/>
  <c r="G15" i="12"/>
  <c r="G17" i="12" s="1"/>
  <c r="K81" i="1"/>
  <c r="A62" i="7"/>
  <c r="A63" i="7" s="1"/>
  <c r="E59" i="7"/>
  <c r="A38" i="71"/>
  <c r="A41" i="71" s="1"/>
  <c r="A46" i="71" s="1"/>
  <c r="A47" i="71" s="1"/>
  <c r="A48" i="71" s="1"/>
  <c r="A37" i="56"/>
  <c r="A38" i="56" s="1"/>
  <c r="A171" i="46"/>
  <c r="B97" i="44"/>
  <c r="A43" i="44"/>
  <c r="A37" i="26"/>
  <c r="G77" i="26" s="1"/>
  <c r="A62" i="11"/>
  <c r="B171" i="46"/>
  <c r="B98" i="44"/>
  <c r="A40" i="1"/>
  <c r="A41" i="1" s="1"/>
  <c r="A32" i="17"/>
  <c r="G69" i="8"/>
  <c r="A24" i="8"/>
  <c r="G91" i="12" s="1"/>
  <c r="K27" i="65"/>
  <c r="L27" i="65" s="1"/>
  <c r="E15" i="21" l="1"/>
  <c r="E16" i="21" s="1"/>
  <c r="H56" i="12"/>
  <c r="F70" i="12"/>
  <c r="E97" i="8"/>
  <c r="J33" i="8" s="1"/>
  <c r="E64" i="7"/>
  <c r="E69" i="7"/>
  <c r="E25" i="2"/>
  <c r="A25" i="2"/>
  <c r="G127" i="46"/>
  <c r="G125" i="46"/>
  <c r="A70" i="8"/>
  <c r="A71" i="8" s="1"/>
  <c r="A72" i="8" s="1"/>
  <c r="H14" i="65" s="1"/>
  <c r="A25" i="8"/>
  <c r="G53" i="22"/>
  <c r="A64" i="7"/>
  <c r="A65" i="7" s="1"/>
  <c r="B150" i="65"/>
  <c r="B110" i="12"/>
  <c r="A90" i="12"/>
  <c r="N156" i="21"/>
  <c r="E83" i="12"/>
  <c r="F83" i="12" s="1"/>
  <c r="E82" i="12"/>
  <c r="F82" i="12" s="1"/>
  <c r="E81" i="12"/>
  <c r="F81" i="12" s="1"/>
  <c r="K93" i="1"/>
  <c r="D32" i="71" s="1"/>
  <c r="D34" i="71" s="1"/>
  <c r="D25" i="71"/>
  <c r="D26" i="71" s="1"/>
  <c r="E25" i="71"/>
  <c r="E26" i="71" s="1"/>
  <c r="I41" i="1"/>
  <c r="D51" i="7"/>
  <c r="G39" i="12"/>
  <c r="G40" i="12"/>
  <c r="G41" i="12"/>
  <c r="D41" i="71"/>
  <c r="G55" i="12"/>
  <c r="G56" i="12"/>
  <c r="G54" i="12"/>
  <c r="A53" i="71"/>
  <c r="A54" i="71" s="1"/>
  <c r="A55" i="71" s="1"/>
  <c r="F66" i="71"/>
  <c r="J28" i="65"/>
  <c r="K28" i="65" s="1"/>
  <c r="A33" i="17"/>
  <c r="A34" i="17" s="1"/>
  <c r="A35" i="17" s="1"/>
  <c r="A36" i="17" s="1"/>
  <c r="A37" i="17" s="1"/>
  <c r="A38" i="17" s="1"/>
  <c r="A39" i="17" s="1"/>
  <c r="A40" i="17" s="1"/>
  <c r="A41" i="17" s="1"/>
  <c r="A42" i="17" s="1"/>
  <c r="A43" i="17" s="1"/>
  <c r="A44" i="17" s="1"/>
  <c r="A45" i="17" s="1"/>
  <c r="A46" i="17" s="1"/>
  <c r="A47" i="17" s="1"/>
  <c r="A48" i="17" s="1"/>
  <c r="A49" i="17" s="1"/>
  <c r="A50" i="17" s="1"/>
  <c r="A51" i="17" s="1"/>
  <c r="G44" i="44"/>
  <c r="A44" i="44"/>
  <c r="A43" i="1"/>
  <c r="A44" i="1" s="1"/>
  <c r="A49" i="22"/>
  <c r="A63" i="11"/>
  <c r="A64" i="11" s="1"/>
  <c r="A65" i="11" s="1"/>
  <c r="A72" i="11" s="1"/>
  <c r="A73" i="11" s="1"/>
  <c r="A74" i="11" s="1"/>
  <c r="A75" i="11" s="1"/>
  <c r="A76" i="11" s="1"/>
  <c r="A77" i="11" s="1"/>
  <c r="A78" i="11" s="1"/>
  <c r="A79" i="11" s="1"/>
  <c r="A80" i="11" s="1"/>
  <c r="A81" i="11" s="1"/>
  <c r="A82" i="11" s="1"/>
  <c r="A83" i="11" s="1"/>
  <c r="A84" i="11" s="1"/>
  <c r="A38" i="26"/>
  <c r="A39" i="26" s="1"/>
  <c r="A40" i="26" s="1"/>
  <c r="A41" i="26" s="1"/>
  <c r="A42" i="26" s="1"/>
  <c r="A43" i="26" s="1"/>
  <c r="C78" i="26" s="1"/>
  <c r="A39" i="56"/>
  <c r="A40" i="56" s="1"/>
  <c r="N15" i="21" l="1"/>
  <c r="A26" i="2"/>
  <c r="A27" i="2" s="1"/>
  <c r="A28" i="2" s="1"/>
  <c r="G72" i="8"/>
  <c r="G71" i="8"/>
  <c r="E65" i="7"/>
  <c r="D40" i="56"/>
  <c r="A66" i="7"/>
  <c r="A67" i="7" s="1"/>
  <c r="A68" i="7" s="1"/>
  <c r="A69" i="7" s="1"/>
  <c r="A70" i="7" s="1"/>
  <c r="A50" i="22"/>
  <c r="A51" i="22" s="1"/>
  <c r="H13" i="8" s="1"/>
  <c r="F86" i="12"/>
  <c r="A91" i="12"/>
  <c r="A92" i="12" s="1"/>
  <c r="H46" i="11"/>
  <c r="H47" i="11"/>
  <c r="H48" i="11"/>
  <c r="A52" i="17"/>
  <c r="A53" i="17" s="1"/>
  <c r="A54" i="17" s="1"/>
  <c r="A55" i="17" s="1"/>
  <c r="E14" i="17"/>
  <c r="D22" i="7"/>
  <c r="D25" i="7" s="1"/>
  <c r="E112" i="71" s="1"/>
  <c r="E113" i="71" s="1"/>
  <c r="E32" i="71"/>
  <c r="E34" i="71" s="1"/>
  <c r="E95" i="71" s="1"/>
  <c r="N16" i="21"/>
  <c r="E17" i="21"/>
  <c r="D48" i="71"/>
  <c r="E55" i="71"/>
  <c r="E48" i="71"/>
  <c r="D55" i="71"/>
  <c r="D55" i="7"/>
  <c r="D59" i="7"/>
  <c r="E83" i="71"/>
  <c r="E77" i="71"/>
  <c r="E82" i="71"/>
  <c r="D65" i="71"/>
  <c r="E84" i="71"/>
  <c r="E85" i="71"/>
  <c r="E81" i="71"/>
  <c r="E79" i="71"/>
  <c r="E80" i="71"/>
  <c r="E78" i="71"/>
  <c r="D101" i="71"/>
  <c r="D96" i="71"/>
  <c r="E64" i="71"/>
  <c r="D94" i="71"/>
  <c r="D95" i="71"/>
  <c r="D98" i="71"/>
  <c r="D97" i="71"/>
  <c r="D99" i="71"/>
  <c r="D100" i="71"/>
  <c r="D102" i="71"/>
  <c r="G59" i="12"/>
  <c r="J61" i="8" s="1"/>
  <c r="G44" i="12"/>
  <c r="K135" i="1" s="1"/>
  <c r="D81" i="71"/>
  <c r="D82" i="71"/>
  <c r="D83" i="71"/>
  <c r="D80" i="71"/>
  <c r="D64" i="71"/>
  <c r="D85" i="71"/>
  <c r="D77" i="71"/>
  <c r="D78" i="71"/>
  <c r="D79" i="71"/>
  <c r="D84" i="71"/>
  <c r="A56" i="71"/>
  <c r="A57" i="71" s="1"/>
  <c r="A64" i="71" s="1"/>
  <c r="F67" i="71"/>
  <c r="A41" i="56"/>
  <c r="A42" i="56" s="1"/>
  <c r="D42" i="56"/>
  <c r="A85" i="11"/>
  <c r="G86" i="44"/>
  <c r="A55" i="44"/>
  <c r="A44" i="26"/>
  <c r="A53" i="22"/>
  <c r="A45" i="1"/>
  <c r="E46" i="17"/>
  <c r="L28" i="65"/>
  <c r="E101" i="71" l="1"/>
  <c r="G101" i="71" s="1"/>
  <c r="H101" i="71" s="1"/>
  <c r="E97" i="71"/>
  <c r="G97" i="71" s="1"/>
  <c r="H97" i="71" s="1"/>
  <c r="E99" i="71"/>
  <c r="G99" i="71" s="1"/>
  <c r="H99" i="71" s="1"/>
  <c r="E94" i="71"/>
  <c r="E96" i="71"/>
  <c r="G96" i="71" s="1"/>
  <c r="H96" i="71" s="1"/>
  <c r="E100" i="71"/>
  <c r="G100" i="71" s="1"/>
  <c r="H100" i="71" s="1"/>
  <c r="E102" i="71"/>
  <c r="G102" i="71" s="1"/>
  <c r="H102" i="71" s="1"/>
  <c r="E65" i="71"/>
  <c r="E98" i="71"/>
  <c r="G98" i="71" s="1"/>
  <c r="H98" i="71" s="1"/>
  <c r="E28" i="2"/>
  <c r="A29" i="2"/>
  <c r="A30" i="2" s="1"/>
  <c r="A31" i="2" s="1"/>
  <c r="A32" i="2" s="1"/>
  <c r="A33" i="2" s="1"/>
  <c r="I40" i="1"/>
  <c r="G28" i="26"/>
  <c r="C57" i="17"/>
  <c r="A56" i="17"/>
  <c r="A57" i="17" s="1"/>
  <c r="A58" i="17" s="1"/>
  <c r="D47" i="7"/>
  <c r="D48" i="7" s="1"/>
  <c r="D83" i="7"/>
  <c r="D84" i="7" s="1"/>
  <c r="G92" i="12"/>
  <c r="A71" i="7"/>
  <c r="A72" i="7" s="1"/>
  <c r="A73" i="7" s="1"/>
  <c r="A74" i="7" s="1"/>
  <c r="A75" i="7" s="1"/>
  <c r="A76" i="7" s="1"/>
  <c r="A77" i="7" s="1"/>
  <c r="A78" i="7" s="1"/>
  <c r="A79" i="7" s="1"/>
  <c r="A80" i="7" s="1"/>
  <c r="A81" i="7" s="1"/>
  <c r="A82" i="7" s="1"/>
  <c r="A83" i="7" s="1"/>
  <c r="A84" i="7" s="1"/>
  <c r="A85" i="7" s="1"/>
  <c r="A86" i="7" s="1"/>
  <c r="E71" i="7"/>
  <c r="H41" i="44"/>
  <c r="H44" i="44" s="1"/>
  <c r="H86" i="44" s="1"/>
  <c r="A45" i="26"/>
  <c r="A46" i="26" s="1"/>
  <c r="A47" i="26" s="1"/>
  <c r="A48" i="26" s="1"/>
  <c r="A49" i="26" s="1"/>
  <c r="A50" i="26" s="1"/>
  <c r="C72" i="26"/>
  <c r="A54" i="22"/>
  <c r="A55" i="22" s="1"/>
  <c r="I16" i="1" s="1"/>
  <c r="G51" i="22"/>
  <c r="A93" i="12"/>
  <c r="A94" i="12" s="1"/>
  <c r="A94" i="11"/>
  <c r="H61" i="11"/>
  <c r="H60" i="11"/>
  <c r="H62" i="11"/>
  <c r="A95" i="11"/>
  <c r="A96" i="11" s="1"/>
  <c r="A97" i="11" s="1"/>
  <c r="A98" i="11" s="1"/>
  <c r="A99" i="11" s="1"/>
  <c r="A100" i="11" s="1"/>
  <c r="A101" i="11" s="1"/>
  <c r="A102" i="11" s="1"/>
  <c r="A103" i="11" s="1"/>
  <c r="A104" i="11" s="1"/>
  <c r="A105" i="11" s="1"/>
  <c r="A106" i="11" s="1"/>
  <c r="A107" i="11" s="1"/>
  <c r="A117" i="11" s="1"/>
  <c r="N17" i="21"/>
  <c r="E18" i="21"/>
  <c r="D176" i="71"/>
  <c r="D158" i="71"/>
  <c r="D159" i="71"/>
  <c r="D177" i="71"/>
  <c r="D172" i="71"/>
  <c r="D154" i="71"/>
  <c r="D174" i="71"/>
  <c r="D156" i="71"/>
  <c r="D153" i="71"/>
  <c r="D171" i="71"/>
  <c r="D157" i="71"/>
  <c r="D175" i="71"/>
  <c r="D155" i="71"/>
  <c r="D173" i="71"/>
  <c r="D120" i="71"/>
  <c r="E169" i="71" s="1"/>
  <c r="E138" i="71"/>
  <c r="G84" i="71"/>
  <c r="H84" i="71" s="1"/>
  <c r="G85" i="71"/>
  <c r="H85" i="71" s="1"/>
  <c r="G80" i="71"/>
  <c r="H80" i="71" s="1"/>
  <c r="G82" i="71"/>
  <c r="H82" i="71" s="1"/>
  <c r="G79" i="71"/>
  <c r="H79" i="71" s="1"/>
  <c r="G83" i="71"/>
  <c r="H83" i="71" s="1"/>
  <c r="G81" i="71"/>
  <c r="H81" i="71" s="1"/>
  <c r="E114" i="71"/>
  <c r="E115" i="71" s="1"/>
  <c r="A65" i="71"/>
  <c r="D105" i="71"/>
  <c r="E88" i="71"/>
  <c r="F78" i="71"/>
  <c r="D170" i="71" s="1"/>
  <c r="D67" i="71"/>
  <c r="F95" i="71"/>
  <c r="E67" i="71"/>
  <c r="D88" i="71"/>
  <c r="F94" i="71"/>
  <c r="E66" i="71"/>
  <c r="F77" i="71"/>
  <c r="G77" i="71" s="1"/>
  <c r="D66" i="71"/>
  <c r="D127" i="71"/>
  <c r="D124" i="71"/>
  <c r="D123" i="71"/>
  <c r="D126" i="71"/>
  <c r="D128" i="71"/>
  <c r="D121" i="71"/>
  <c r="D125" i="71"/>
  <c r="D122" i="71"/>
  <c r="J29" i="65"/>
  <c r="E47" i="17"/>
  <c r="A56" i="44"/>
  <c r="A57" i="44" s="1"/>
  <c r="G59" i="44" s="1"/>
  <c r="A46" i="1"/>
  <c r="A47" i="1" s="1"/>
  <c r="A48" i="1" s="1"/>
  <c r="A118" i="11" l="1"/>
  <c r="A119" i="11" s="1"/>
  <c r="A120" i="11" s="1"/>
  <c r="A121" i="11" s="1"/>
  <c r="A122" i="11" s="1"/>
  <c r="A123" i="11" s="1"/>
  <c r="A124" i="11" s="1"/>
  <c r="A125" i="11" s="1"/>
  <c r="A126" i="11" s="1"/>
  <c r="A127" i="11" s="1"/>
  <c r="A128" i="11" s="1"/>
  <c r="A129" i="11" s="1"/>
  <c r="F69" i="11"/>
  <c r="B174" i="4"/>
  <c r="D63" i="7"/>
  <c r="D64" i="7" s="1"/>
  <c r="E105" i="71"/>
  <c r="G94" i="71"/>
  <c r="H94" i="71" s="1"/>
  <c r="A87" i="7"/>
  <c r="A88" i="7" s="1"/>
  <c r="A89" i="7" s="1"/>
  <c r="E88" i="7"/>
  <c r="E89" i="7"/>
  <c r="A34" i="2"/>
  <c r="A35" i="2" s="1"/>
  <c r="A36" i="2" s="1"/>
  <c r="C58" i="17"/>
  <c r="I53" i="1"/>
  <c r="G55" i="22"/>
  <c r="A98" i="12"/>
  <c r="G94" i="12"/>
  <c r="A137" i="11"/>
  <c r="E137" i="71"/>
  <c r="N18" i="21"/>
  <c r="E19" i="21"/>
  <c r="E153" i="71"/>
  <c r="F153" i="71" s="1"/>
  <c r="G153" i="71" s="1"/>
  <c r="E171" i="71"/>
  <c r="F171" i="71" s="1"/>
  <c r="G171" i="71" s="1"/>
  <c r="E152" i="71"/>
  <c r="E170" i="71"/>
  <c r="F170" i="71" s="1"/>
  <c r="E157" i="71"/>
  <c r="F157" i="71" s="1"/>
  <c r="G157" i="71" s="1"/>
  <c r="E175" i="71"/>
  <c r="F175" i="71" s="1"/>
  <c r="G175" i="71" s="1"/>
  <c r="E155" i="71"/>
  <c r="F155" i="71" s="1"/>
  <c r="G155" i="71" s="1"/>
  <c r="E173" i="71"/>
  <c r="F173" i="71" s="1"/>
  <c r="G173" i="71" s="1"/>
  <c r="A66" i="71"/>
  <c r="D151" i="71"/>
  <c r="D152" i="71"/>
  <c r="E156" i="71"/>
  <c r="F156" i="71" s="1"/>
  <c r="E174" i="71"/>
  <c r="F174" i="71" s="1"/>
  <c r="G174" i="71" s="1"/>
  <c r="E159" i="71"/>
  <c r="F159" i="71" s="1"/>
  <c r="G159" i="71" s="1"/>
  <c r="E177" i="71"/>
  <c r="F177" i="71" s="1"/>
  <c r="G177" i="71" s="1"/>
  <c r="E154" i="71"/>
  <c r="F154" i="71" s="1"/>
  <c r="E172" i="71"/>
  <c r="F172" i="71" s="1"/>
  <c r="G172" i="71" s="1"/>
  <c r="E158" i="71"/>
  <c r="E176" i="71"/>
  <c r="F176" i="71" s="1"/>
  <c r="G176" i="71" s="1"/>
  <c r="E128" i="71"/>
  <c r="E126" i="71"/>
  <c r="E124" i="71"/>
  <c r="E122" i="71"/>
  <c r="E120" i="71"/>
  <c r="E127" i="71"/>
  <c r="E125" i="71"/>
  <c r="E123" i="71"/>
  <c r="E121" i="71"/>
  <c r="D169" i="71"/>
  <c r="G95" i="71"/>
  <c r="H77" i="71"/>
  <c r="G78" i="71"/>
  <c r="G88" i="71" s="1"/>
  <c r="E79" i="7"/>
  <c r="E68" i="71"/>
  <c r="E69" i="71" s="1"/>
  <c r="D68" i="71"/>
  <c r="D69" i="71" s="1"/>
  <c r="F88" i="71"/>
  <c r="F105" i="71"/>
  <c r="E151" i="71"/>
  <c r="D131" i="71"/>
  <c r="I44" i="1"/>
  <c r="A58" i="44"/>
  <c r="A59" i="44" s="1"/>
  <c r="G65" i="44"/>
  <c r="A49" i="1"/>
  <c r="A50" i="1" s="1"/>
  <c r="A51" i="1" s="1"/>
  <c r="A52" i="1" s="1"/>
  <c r="C55" i="17" s="1"/>
  <c r="E48" i="17"/>
  <c r="K29" i="65"/>
  <c r="L29" i="65" s="1"/>
  <c r="A138" i="11" l="1"/>
  <c r="A139" i="11" s="1"/>
  <c r="A140" i="11" s="1"/>
  <c r="A141" i="11" s="1"/>
  <c r="A142" i="11" s="1"/>
  <c r="A143" i="11" s="1"/>
  <c r="A144" i="11" s="1"/>
  <c r="A145" i="11" s="1"/>
  <c r="A146" i="11" s="1"/>
  <c r="A147" i="11" s="1"/>
  <c r="A148" i="11" s="1"/>
  <c r="A149" i="11" s="1"/>
  <c r="A157" i="11" s="1"/>
  <c r="H69" i="11"/>
  <c r="D69" i="7"/>
  <c r="G105" i="71"/>
  <c r="D65" i="7"/>
  <c r="A90" i="7"/>
  <c r="A91" i="7" s="1"/>
  <c r="I147" i="1" s="1"/>
  <c r="G89" i="44"/>
  <c r="E35" i="2"/>
  <c r="E36" i="2"/>
  <c r="A37" i="2"/>
  <c r="A38" i="2" s="1"/>
  <c r="A39" i="2" s="1"/>
  <c r="J100" i="46"/>
  <c r="J101" i="46"/>
  <c r="J99" i="46"/>
  <c r="A99" i="12"/>
  <c r="A100" i="12" s="1"/>
  <c r="A101" i="12" s="1"/>
  <c r="A53" i="1"/>
  <c r="A54" i="1" s="1"/>
  <c r="I52" i="1"/>
  <c r="E139" i="71"/>
  <c r="E143" i="71" s="1"/>
  <c r="N19" i="21"/>
  <c r="E20" i="21"/>
  <c r="E131" i="71"/>
  <c r="F158" i="71"/>
  <c r="G158" i="71" s="1"/>
  <c r="G154" i="71"/>
  <c r="G156" i="71"/>
  <c r="F151" i="71"/>
  <c r="G170" i="71"/>
  <c r="F169" i="71"/>
  <c r="F180" i="71" s="1"/>
  <c r="D180" i="71"/>
  <c r="F152" i="71"/>
  <c r="G152" i="71" s="1"/>
  <c r="E180" i="71"/>
  <c r="A67" i="71"/>
  <c r="H78" i="71"/>
  <c r="H88" i="71" s="1"/>
  <c r="H95" i="71"/>
  <c r="H105" i="71" s="1"/>
  <c r="E162" i="71"/>
  <c r="E91" i="7"/>
  <c r="E80" i="7"/>
  <c r="J30" i="65"/>
  <c r="K30" i="65" s="1"/>
  <c r="E86" i="7"/>
  <c r="E49" i="17"/>
  <c r="E84" i="7"/>
  <c r="G78" i="44"/>
  <c r="A64" i="44"/>
  <c r="A158" i="11" l="1"/>
  <c r="A159" i="11" s="1"/>
  <c r="A160" i="11" s="1"/>
  <c r="A161" i="11" s="1"/>
  <c r="A162" i="11" s="1"/>
  <c r="A163" i="11" s="1"/>
  <c r="A164" i="11" s="1"/>
  <c r="A165" i="11" s="1"/>
  <c r="A166" i="11" s="1"/>
  <c r="A167" i="11" s="1"/>
  <c r="A168" i="11" s="1"/>
  <c r="A169" i="11" s="1"/>
  <c r="A176" i="11" s="1"/>
  <c r="A177" i="11" s="1"/>
  <c r="A178" i="11" s="1"/>
  <c r="A179" i="11" s="1"/>
  <c r="A180" i="11" s="1"/>
  <c r="A181" i="11" s="1"/>
  <c r="A182" i="11" s="1"/>
  <c r="A183" i="11" s="1"/>
  <c r="A184" i="11" s="1"/>
  <c r="A185" i="11" s="1"/>
  <c r="A186" i="11" s="1"/>
  <c r="A187" i="11" s="1"/>
  <c r="A188" i="11" s="1"/>
  <c r="A195" i="11" s="1"/>
  <c r="A196" i="11" s="1"/>
  <c r="A197" i="11" s="1"/>
  <c r="A198" i="11" s="1"/>
  <c r="A199" i="11" s="1"/>
  <c r="A200" i="11" s="1"/>
  <c r="A201" i="11" s="1"/>
  <c r="A202" i="11" s="1"/>
  <c r="A203" i="11" s="1"/>
  <c r="A204" i="11" s="1"/>
  <c r="A205" i="11" s="1"/>
  <c r="A206" i="11" s="1"/>
  <c r="A207" i="11" s="1"/>
  <c r="A214" i="11" s="1"/>
  <c r="A215" i="11" s="1"/>
  <c r="A216" i="11" s="1"/>
  <c r="A217" i="11" s="1"/>
  <c r="A218" i="11" s="1"/>
  <c r="A219" i="11" s="1"/>
  <c r="A220" i="11" s="1"/>
  <c r="A221" i="11" s="1"/>
  <c r="A222" i="11" s="1"/>
  <c r="A223" i="11" s="1"/>
  <c r="A224" i="11" s="1"/>
  <c r="A225" i="11" s="1"/>
  <c r="A226" i="11" s="1"/>
  <c r="A233" i="11" s="1"/>
  <c r="A234" i="11" s="1"/>
  <c r="A235" i="11" s="1"/>
  <c r="A236" i="11" s="1"/>
  <c r="A237" i="11" s="1"/>
  <c r="A238" i="11" s="1"/>
  <c r="A239" i="11" s="1"/>
  <c r="A240" i="11" s="1"/>
  <c r="A241" i="11" s="1"/>
  <c r="A242" i="11" s="1"/>
  <c r="A243" i="11" s="1"/>
  <c r="A244" i="11" s="1"/>
  <c r="A245" i="11" s="1"/>
  <c r="A252" i="11" s="1"/>
  <c r="A253" i="11" s="1"/>
  <c r="A254" i="11" s="1"/>
  <c r="A255" i="11" s="1"/>
  <c r="A256" i="11" s="1"/>
  <c r="A257" i="11" s="1"/>
  <c r="A258" i="11" s="1"/>
  <c r="A259" i="11" s="1"/>
  <c r="A260" i="11" s="1"/>
  <c r="A261" i="11" s="1"/>
  <c r="A262" i="11" s="1"/>
  <c r="A263" i="11" s="1"/>
  <c r="A264" i="11" s="1"/>
  <c r="A271" i="11" s="1"/>
  <c r="A272" i="11" s="1"/>
  <c r="A273" i="11" s="1"/>
  <c r="A274" i="11" s="1"/>
  <c r="A275" i="11" s="1"/>
  <c r="A276" i="11" s="1"/>
  <c r="A277" i="11" s="1"/>
  <c r="A278" i="11" s="1"/>
  <c r="A279" i="11" s="1"/>
  <c r="A280" i="11" s="1"/>
  <c r="A281" i="11" s="1"/>
  <c r="A282" i="11" s="1"/>
  <c r="A283" i="11" s="1"/>
  <c r="A290" i="11" s="1"/>
  <c r="A291" i="11" s="1"/>
  <c r="A292" i="11" s="1"/>
  <c r="A293" i="11" s="1"/>
  <c r="A294" i="11" s="1"/>
  <c r="A295" i="11" s="1"/>
  <c r="A296" i="11" s="1"/>
  <c r="A297" i="11" s="1"/>
  <c r="A298" i="11" s="1"/>
  <c r="A299" i="11" s="1"/>
  <c r="A300" i="11" s="1"/>
  <c r="A301" i="11" s="1"/>
  <c r="A302" i="11" s="1"/>
  <c r="A307" i="11" s="1"/>
  <c r="A308" i="11" s="1"/>
  <c r="G169" i="71"/>
  <c r="G180" i="71" s="1"/>
  <c r="A40" i="2"/>
  <c r="A41" i="2" s="1"/>
  <c r="A42" i="2" s="1"/>
  <c r="I54" i="1"/>
  <c r="G101" i="12"/>
  <c r="A55" i="1"/>
  <c r="A56" i="1" s="1"/>
  <c r="A58" i="1" s="1"/>
  <c r="E142" i="71"/>
  <c r="E144" i="71" s="1"/>
  <c r="N20" i="21"/>
  <c r="E21" i="21"/>
  <c r="F137" i="71"/>
  <c r="A68" i="71"/>
  <c r="G151" i="71"/>
  <c r="F162" i="71"/>
  <c r="D162" i="71"/>
  <c r="A65" i="44"/>
  <c r="A66" i="44" s="1"/>
  <c r="L30" i="65"/>
  <c r="G69" i="11" l="1"/>
  <c r="G25" i="12"/>
  <c r="A309" i="11"/>
  <c r="A312" i="11" s="1"/>
  <c r="A313" i="11" s="1"/>
  <c r="G66" i="44"/>
  <c r="I58" i="1"/>
  <c r="E41" i="2"/>
  <c r="E42" i="2"/>
  <c r="A43" i="2"/>
  <c r="A44" i="2" s="1"/>
  <c r="A45" i="2" s="1"/>
  <c r="J105" i="46"/>
  <c r="I56" i="1"/>
  <c r="E145" i="71"/>
  <c r="D19" i="31" s="1"/>
  <c r="N21" i="21"/>
  <c r="E22" i="21"/>
  <c r="A69" i="71"/>
  <c r="A77" i="71" s="1"/>
  <c r="F69" i="71"/>
  <c r="G162" i="71"/>
  <c r="J31" i="65"/>
  <c r="K31" i="65" s="1"/>
  <c r="E51" i="17"/>
  <c r="A78" i="44"/>
  <c r="A79" i="44" s="1"/>
  <c r="A80" i="44" s="1"/>
  <c r="A81" i="44" s="1"/>
  <c r="A82" i="44" s="1"/>
  <c r="G79" i="44"/>
  <c r="I129" i="1"/>
  <c r="A63" i="1"/>
  <c r="G26" i="12" l="1"/>
  <c r="A314" i="11"/>
  <c r="A317" i="11" s="1"/>
  <c r="A318" i="11" s="1"/>
  <c r="A46" i="2"/>
  <c r="A47" i="2" s="1"/>
  <c r="A48" i="2" s="1"/>
  <c r="E19" i="31"/>
  <c r="N22" i="21"/>
  <c r="E23" i="21"/>
  <c r="A78" i="71"/>
  <c r="A79" i="71" s="1"/>
  <c r="A80" i="71" s="1"/>
  <c r="A81" i="71" s="1"/>
  <c r="A82" i="71" s="1"/>
  <c r="A83" i="71" s="1"/>
  <c r="A84" i="71" s="1"/>
  <c r="A85" i="71" s="1"/>
  <c r="A86" i="71" s="1"/>
  <c r="A87" i="71" s="1"/>
  <c r="I88" i="71" s="1"/>
  <c r="A86" i="44"/>
  <c r="G87" i="44"/>
  <c r="A64" i="1"/>
  <c r="L31" i="65"/>
  <c r="G27" i="12" l="1"/>
  <c r="A319" i="11"/>
  <c r="A320" i="11" s="1"/>
  <c r="A323" i="11" s="1"/>
  <c r="A324" i="11" s="1"/>
  <c r="A325" i="11" s="1"/>
  <c r="A326" i="11" s="1"/>
  <c r="A327" i="11" s="1"/>
  <c r="A330" i="11" s="1"/>
  <c r="A331" i="11" s="1"/>
  <c r="A332" i="11" s="1"/>
  <c r="A335" i="11" s="1"/>
  <c r="A336" i="11" s="1"/>
  <c r="A337" i="11" s="1"/>
  <c r="A340" i="11" s="1"/>
  <c r="A341" i="11" s="1"/>
  <c r="A342" i="11" s="1"/>
  <c r="A345" i="11" s="1"/>
  <c r="A346" i="11" s="1"/>
  <c r="A347" i="11" s="1"/>
  <c r="A350" i="11" s="1"/>
  <c r="A351" i="11" s="1"/>
  <c r="A352" i="11" s="1"/>
  <c r="A355" i="11" s="1"/>
  <c r="A356" i="11" s="1"/>
  <c r="A357" i="11" s="1"/>
  <c r="A360" i="11" s="1"/>
  <c r="A361" i="11" s="1"/>
  <c r="A362" i="11" s="1"/>
  <c r="A365" i="11" s="1"/>
  <c r="A366" i="11" s="1"/>
  <c r="A367" i="11" s="1"/>
  <c r="E47" i="2"/>
  <c r="E48" i="2"/>
  <c r="A49" i="2"/>
  <c r="A50" i="2" s="1"/>
  <c r="A51" i="2" s="1"/>
  <c r="J106" i="46"/>
  <c r="A87" i="44"/>
  <c r="A88" i="44" s="1"/>
  <c r="A89" i="44" s="1"/>
  <c r="A90" i="44" s="1"/>
  <c r="A91" i="44" s="1"/>
  <c r="A92" i="44" s="1"/>
  <c r="I156" i="1" s="1"/>
  <c r="N23" i="21"/>
  <c r="N25" i="21" s="1"/>
  <c r="J18" i="8" s="1"/>
  <c r="E25" i="21"/>
  <c r="A88" i="71"/>
  <c r="A94" i="71" s="1"/>
  <c r="B192" i="71"/>
  <c r="A65" i="1"/>
  <c r="J32" i="65"/>
  <c r="K32" i="65" s="1"/>
  <c r="G90" i="44" l="1"/>
  <c r="A52" i="2"/>
  <c r="A53" i="2" s="1"/>
  <c r="A54" i="2" s="1"/>
  <c r="B100" i="44"/>
  <c r="A95" i="71"/>
  <c r="A96" i="71" s="1"/>
  <c r="A97" i="71" s="1"/>
  <c r="A98" i="71" s="1"/>
  <c r="A99" i="71" s="1"/>
  <c r="A100" i="71" s="1"/>
  <c r="A101" i="71" s="1"/>
  <c r="A102" i="71" s="1"/>
  <c r="A103" i="71" s="1"/>
  <c r="A104" i="71" s="1"/>
  <c r="A105" i="71" s="1"/>
  <c r="A111" i="71" s="1"/>
  <c r="G92" i="44"/>
  <c r="L32" i="65"/>
  <c r="A68" i="1"/>
  <c r="I83" i="1"/>
  <c r="E54" i="2" l="1"/>
  <c r="E53" i="2"/>
  <c r="A55" i="2"/>
  <c r="A56" i="2" s="1"/>
  <c r="A57" i="2" s="1"/>
  <c r="J139" i="46"/>
  <c r="J108" i="46"/>
  <c r="J140" i="46"/>
  <c r="J138" i="46"/>
  <c r="I105" i="71"/>
  <c r="A112" i="71"/>
  <c r="A113" i="71" s="1"/>
  <c r="J33" i="65"/>
  <c r="A69" i="1"/>
  <c r="A70" i="1" s="1"/>
  <c r="A58" i="2" l="1"/>
  <c r="A59" i="2" s="1"/>
  <c r="A60" i="2" s="1"/>
  <c r="F113" i="71"/>
  <c r="A114" i="71"/>
  <c r="A115" i="71" s="1"/>
  <c r="A120" i="71" s="1"/>
  <c r="F138" i="71"/>
  <c r="A73" i="1"/>
  <c r="I75" i="1" s="1"/>
  <c r="I84" i="1"/>
  <c r="K33" i="65"/>
  <c r="L33" i="65" s="1"/>
  <c r="E59" i="2" l="1"/>
  <c r="E60" i="2"/>
  <c r="A61" i="2"/>
  <c r="J143" i="46"/>
  <c r="J109" i="46"/>
  <c r="F115" i="71"/>
  <c r="A121" i="71"/>
  <c r="A122" i="71" s="1"/>
  <c r="A123" i="71" s="1"/>
  <c r="A124" i="71" s="1"/>
  <c r="A125" i="71" s="1"/>
  <c r="A126" i="71" s="1"/>
  <c r="A127" i="71" s="1"/>
  <c r="A128" i="71" s="1"/>
  <c r="A129" i="71" s="1"/>
  <c r="A130" i="71" s="1"/>
  <c r="A131" i="71" s="1"/>
  <c r="A137" i="71" s="1"/>
  <c r="J34" i="65"/>
  <c r="K34" i="65" s="1"/>
  <c r="A75" i="1"/>
  <c r="I80" i="1" s="1"/>
  <c r="A138" i="71" l="1"/>
  <c r="A139" i="71" s="1"/>
  <c r="F131" i="71"/>
  <c r="B193" i="71"/>
  <c r="A78" i="1"/>
  <c r="I78" i="1"/>
  <c r="I79" i="1"/>
  <c r="L34" i="65"/>
  <c r="F139" i="71" l="1"/>
  <c r="A140" i="71"/>
  <c r="A141" i="71" s="1"/>
  <c r="A142" i="71" s="1"/>
  <c r="A143" i="71" s="1"/>
  <c r="A144" i="71" s="1"/>
  <c r="A145" i="71" s="1"/>
  <c r="J35" i="65"/>
  <c r="A79" i="1"/>
  <c r="I88" i="1"/>
  <c r="A151" i="71" l="1"/>
  <c r="A152" i="71" s="1"/>
  <c r="A153" i="71" s="1"/>
  <c r="A154" i="71" s="1"/>
  <c r="A155" i="71" s="1"/>
  <c r="A156" i="71" s="1"/>
  <c r="A157" i="71" s="1"/>
  <c r="A158" i="71" s="1"/>
  <c r="A159" i="71" s="1"/>
  <c r="A160" i="71" s="1"/>
  <c r="A161" i="71" s="1"/>
  <c r="A162" i="71" s="1"/>
  <c r="A169" i="71" s="1"/>
  <c r="A170" i="71" s="1"/>
  <c r="A171" i="71" s="1"/>
  <c r="A172" i="71" s="1"/>
  <c r="A173" i="71" s="1"/>
  <c r="A174" i="71" s="1"/>
  <c r="A175" i="71" s="1"/>
  <c r="A176" i="71" s="1"/>
  <c r="A177" i="71" s="1"/>
  <c r="A178" i="71" s="1"/>
  <c r="A179" i="71" s="1"/>
  <c r="A180" i="71" s="1"/>
  <c r="F142" i="71"/>
  <c r="F145" i="71"/>
  <c r="F144" i="71"/>
  <c r="F143" i="71"/>
  <c r="A80" i="1"/>
  <c r="I89" i="1"/>
  <c r="K35" i="65"/>
  <c r="L35" i="65" s="1"/>
  <c r="G93" i="12" l="1"/>
  <c r="I15" i="12"/>
  <c r="J36" i="65"/>
  <c r="K36" i="65" s="1"/>
  <c r="A83" i="1"/>
  <c r="A84" i="1" s="1"/>
  <c r="A85" i="1" s="1"/>
  <c r="G100" i="12" s="1"/>
  <c r="I81" i="1"/>
  <c r="I90" i="1" l="1"/>
  <c r="E65" i="2"/>
  <c r="E66" i="2"/>
  <c r="A88" i="1"/>
  <c r="E21" i="7" s="1"/>
  <c r="A89" i="1"/>
  <c r="L36" i="65"/>
  <c r="J121" i="46" l="1"/>
  <c r="J37" i="65"/>
  <c r="A90" i="1"/>
  <c r="I93" i="1" s="1"/>
  <c r="E71" i="2" l="1"/>
  <c r="I91" i="1"/>
  <c r="A91" i="1"/>
  <c r="K37" i="65"/>
  <c r="L37" i="65" s="1"/>
  <c r="F25" i="71" l="1"/>
  <c r="E72" i="2"/>
  <c r="J122" i="46"/>
  <c r="J38" i="65"/>
  <c r="K38" i="65" s="1"/>
  <c r="A93" i="1"/>
  <c r="I95" i="1"/>
  <c r="F32" i="71" l="1"/>
  <c r="E22" i="7"/>
  <c r="I116" i="1"/>
  <c r="E77" i="2"/>
  <c r="A95" i="1"/>
  <c r="L38" i="65"/>
  <c r="E78" i="2" l="1"/>
  <c r="J132" i="46"/>
  <c r="J39" i="65"/>
  <c r="K39" i="65" s="1"/>
  <c r="A100" i="1"/>
  <c r="I131" i="1"/>
  <c r="A101" i="1" l="1"/>
  <c r="A102" i="1" s="1"/>
  <c r="L39" i="65"/>
  <c r="F33" i="71" l="1"/>
  <c r="I16" i="12"/>
  <c r="H43" i="8"/>
  <c r="E23" i="7"/>
  <c r="G56" i="44"/>
  <c r="I117" i="1"/>
  <c r="E84" i="2"/>
  <c r="E83" i="2"/>
  <c r="J133" i="46"/>
  <c r="I102" i="1"/>
  <c r="J40" i="65"/>
  <c r="K40" i="65" s="1"/>
  <c r="A105" i="1"/>
  <c r="E89" i="2" l="1"/>
  <c r="A106" i="1"/>
  <c r="A107" i="1" s="1"/>
  <c r="L40" i="65"/>
  <c r="H44" i="8" l="1"/>
  <c r="I118" i="1"/>
  <c r="E90" i="2"/>
  <c r="J134" i="46"/>
  <c r="A110" i="1"/>
  <c r="A112" i="1" s="1"/>
  <c r="H45" i="8" s="1"/>
  <c r="J41" i="65"/>
  <c r="I132" i="1" l="1"/>
  <c r="A124" i="1"/>
  <c r="A125" i="1" s="1"/>
  <c r="H49" i="8" s="1"/>
  <c r="I110" i="1"/>
  <c r="K41" i="65"/>
  <c r="L41" i="65" s="1"/>
  <c r="H48" i="8" l="1"/>
  <c r="E96" i="2"/>
  <c r="E95" i="2"/>
  <c r="J136" i="46"/>
  <c r="J42" i="65"/>
  <c r="K42" i="65" s="1"/>
  <c r="A126" i="1"/>
  <c r="H50" i="8" s="1"/>
  <c r="E101" i="2" l="1"/>
  <c r="A127" i="1"/>
  <c r="H51" i="8" s="1"/>
  <c r="L42" i="65"/>
  <c r="E102" i="2" l="1"/>
  <c r="J141" i="46"/>
  <c r="J43" i="65"/>
  <c r="A128" i="1"/>
  <c r="H52" i="8" s="1"/>
  <c r="A129" i="1" l="1"/>
  <c r="H53" i="8" s="1"/>
  <c r="K43" i="65"/>
  <c r="L43" i="65" s="1"/>
  <c r="E108" i="2" l="1"/>
  <c r="E107" i="2"/>
  <c r="J145" i="46"/>
  <c r="J44" i="65"/>
  <c r="K44" i="65" s="1"/>
  <c r="A130" i="1"/>
  <c r="H54" i="8" s="1"/>
  <c r="A131" i="1" l="1"/>
  <c r="A132" i="1" s="1"/>
  <c r="A133" i="1" s="1"/>
  <c r="H57" i="8" s="1"/>
  <c r="L44" i="65"/>
  <c r="F53" i="65" s="1"/>
  <c r="E113" i="2" l="1"/>
  <c r="E114" i="2"/>
  <c r="J161" i="46"/>
  <c r="H53" i="65"/>
  <c r="I53" i="65" s="1"/>
  <c r="A134" i="1"/>
  <c r="A135" i="1" l="1"/>
  <c r="H58" i="8"/>
  <c r="A136" i="1"/>
  <c r="I136" i="1"/>
  <c r="A138" i="1"/>
  <c r="A139" i="1" s="1"/>
  <c r="G88" i="44" s="1"/>
  <c r="J53" i="65"/>
  <c r="F54" i="65" s="1"/>
  <c r="I138" i="1" l="1"/>
  <c r="E70" i="7"/>
  <c r="I139" i="1"/>
  <c r="E120" i="2"/>
  <c r="E119" i="2"/>
  <c r="J162" i="46"/>
  <c r="A141" i="1"/>
  <c r="I146" i="1" s="1"/>
  <c r="I141" i="1"/>
  <c r="H54" i="65"/>
  <c r="I54" i="65" s="1"/>
  <c r="A146" i="1" l="1"/>
  <c r="A147" i="1" s="1"/>
  <c r="A148" i="1" s="1"/>
  <c r="A149" i="1" s="1"/>
  <c r="A150" i="1" s="1"/>
  <c r="A152" i="1" s="1"/>
  <c r="E3" i="53" s="1"/>
  <c r="J163" i="46"/>
  <c r="J54" i="65"/>
  <c r="F55" i="65" s="1"/>
  <c r="E125" i="2" l="1"/>
  <c r="E126" i="2"/>
  <c r="A155" i="1"/>
  <c r="I155" i="1"/>
  <c r="I152" i="1"/>
  <c r="H55" i="65"/>
  <c r="A156" i="1" l="1"/>
  <c r="A157" i="1" s="1"/>
  <c r="G4" i="31" s="1"/>
  <c r="I55" i="65"/>
  <c r="J55" i="65" s="1"/>
  <c r="F56" i="65" s="1"/>
  <c r="I157" i="1" l="1"/>
  <c r="H56" i="65"/>
  <c r="I56" i="65" s="1"/>
  <c r="J56" i="65" l="1"/>
  <c r="F57" i="65" s="1"/>
  <c r="H57" i="65" l="1"/>
  <c r="I57" i="65" l="1"/>
  <c r="J57" i="65" s="1"/>
  <c r="F58" i="65" s="1"/>
  <c r="H58" i="65" l="1"/>
  <c r="I58" i="65" s="1"/>
  <c r="J58" i="65" l="1"/>
  <c r="F59" i="65" s="1"/>
  <c r="H59" i="65" l="1"/>
  <c r="I59" i="65" l="1"/>
  <c r="J59" i="65" s="1"/>
  <c r="F60" i="65" s="1"/>
  <c r="H60" i="65" l="1"/>
  <c r="I60" i="65" s="1"/>
  <c r="J60" i="65" l="1"/>
  <c r="F61" i="65" s="1"/>
  <c r="H61" i="65" l="1"/>
  <c r="I61" i="65" l="1"/>
  <c r="J61" i="65" s="1"/>
  <c r="F62" i="65" s="1"/>
  <c r="H62" i="65" l="1"/>
  <c r="I62" i="65" s="1"/>
  <c r="J62" i="65" l="1"/>
  <c r="F63" i="65" s="1"/>
  <c r="H63" i="65" l="1"/>
  <c r="I63" i="65" l="1"/>
  <c r="J63" i="65" s="1"/>
  <c r="F64" i="65" s="1"/>
  <c r="H64" i="65" l="1"/>
  <c r="I64" i="65" s="1"/>
  <c r="J64" i="65" l="1"/>
  <c r="K53" i="1"/>
  <c r="K54" i="1" s="1"/>
  <c r="F58" i="17"/>
  <c r="F115" i="46"/>
  <c r="I115" i="46" s="1"/>
  <c r="F129" i="46"/>
  <c r="I129" i="46" s="1"/>
  <c r="F130" i="46"/>
  <c r="I130" i="46" s="1"/>
  <c r="F128" i="46"/>
  <c r="I128" i="46" s="1"/>
  <c r="F114" i="46"/>
  <c r="I114" i="46" s="1"/>
  <c r="F97" i="46"/>
  <c r="I97" i="46" s="1"/>
  <c r="H114" i="46" l="1"/>
  <c r="G114" i="46" s="1"/>
  <c r="H97" i="46"/>
  <c r="G97" i="46" s="1"/>
  <c r="H129" i="46"/>
  <c r="G129" i="46" s="1"/>
  <c r="I148" i="46"/>
  <c r="K149" i="46" s="1"/>
  <c r="H128" i="46"/>
  <c r="G128" i="46" s="1"/>
  <c r="H130" i="46"/>
  <c r="G130" i="46" s="1"/>
  <c r="H115" i="46"/>
  <c r="G115" i="46" s="1"/>
  <c r="C196" i="46" l="1"/>
  <c r="H147" i="46" s="1"/>
  <c r="G147" i="46" s="1"/>
  <c r="G148" i="46" s="1"/>
  <c r="H148" i="46" l="1"/>
  <c r="K148" i="46" l="1"/>
  <c r="F160" i="46"/>
  <c r="I160" i="46" s="1"/>
  <c r="F159" i="46"/>
  <c r="I159" i="46" s="1"/>
  <c r="F158" i="46"/>
  <c r="I158" i="46" s="1"/>
  <c r="F164" i="46"/>
  <c r="I164" i="46" s="1"/>
  <c r="F157" i="46"/>
  <c r="I157" i="46" s="1"/>
  <c r="I167" i="46" s="1"/>
  <c r="I170" i="46" s="1"/>
  <c r="H160" i="46" l="1"/>
  <c r="G160" i="46" s="1"/>
  <c r="H157" i="46"/>
  <c r="G157" i="46" s="1"/>
  <c r="H164" i="46"/>
  <c r="G164" i="46" s="1"/>
  <c r="H158" i="46"/>
  <c r="G158" i="46" s="1"/>
  <c r="H159" i="46"/>
  <c r="G159" i="46" s="1"/>
  <c r="G167" i="46" l="1"/>
  <c r="H167" i="46"/>
  <c r="H170" i="46" s="1"/>
  <c r="G170" i="46" l="1"/>
  <c r="K124" i="1" s="1"/>
  <c r="G7" i="2"/>
  <c r="G15" i="2" s="1"/>
  <c r="H86" i="64" s="1"/>
  <c r="H87" i="64" s="1"/>
  <c r="F94" i="64" s="1"/>
  <c r="F95" i="64" s="1"/>
  <c r="K127" i="1" s="1"/>
  <c r="H73" i="44" l="1"/>
  <c r="G35" i="79"/>
  <c r="G36" i="79" s="1"/>
  <c r="I28" i="79"/>
  <c r="I29" i="79" s="1"/>
  <c r="I17" i="79" s="1"/>
  <c r="G44" i="79"/>
  <c r="G45" i="79" s="1"/>
  <c r="I44" i="79"/>
  <c r="I45" i="79" s="1"/>
  <c r="I19" i="79" s="1"/>
  <c r="I35" i="79"/>
  <c r="I36" i="79" s="1"/>
  <c r="I18" i="79" s="1"/>
  <c r="G28" i="79"/>
  <c r="G29" i="79" s="1"/>
  <c r="H296" i="15"/>
  <c r="H297" i="15" s="1"/>
  <c r="H144" i="15"/>
  <c r="H145" i="15" s="1"/>
  <c r="H179" i="15"/>
  <c r="H180" i="15" s="1"/>
  <c r="G25" i="2"/>
  <c r="F50" i="22"/>
  <c r="F51" i="22" s="1"/>
  <c r="J13" i="8" s="1"/>
  <c r="F62" i="4"/>
  <c r="F63" i="4" s="1"/>
  <c r="K10" i="1" s="1"/>
  <c r="D28" i="54"/>
  <c r="D29" i="54" s="1"/>
  <c r="D38" i="54" s="1"/>
  <c r="F26" i="26"/>
  <c r="F27" i="26" s="1"/>
  <c r="F54" i="22"/>
  <c r="F55" i="22" s="1"/>
  <c r="K16" i="1" s="1"/>
  <c r="F59" i="21"/>
  <c r="F60" i="21" s="1"/>
  <c r="K23" i="1" s="1"/>
  <c r="K24" i="1" s="1"/>
  <c r="K55" i="1"/>
  <c r="K56" i="1" s="1"/>
  <c r="F24" i="22"/>
  <c r="F52" i="21"/>
  <c r="F53" i="21" s="1"/>
  <c r="J20" i="8" s="1"/>
  <c r="J21" i="8" s="1"/>
  <c r="E28" i="54"/>
  <c r="E29" i="54" s="1"/>
  <c r="E38" i="54" s="1"/>
  <c r="K11" i="1" s="1"/>
  <c r="F57" i="4"/>
  <c r="F58" i="4" s="1"/>
  <c r="J7" i="8" s="1"/>
  <c r="G23" i="2"/>
  <c r="J51" i="8"/>
  <c r="J48" i="8"/>
  <c r="I20" i="79" l="1"/>
  <c r="K9" i="79" s="1"/>
  <c r="K31" i="1" s="1"/>
  <c r="G19" i="79"/>
  <c r="K19" i="79" s="1"/>
  <c r="K45" i="79"/>
  <c r="K29" i="79"/>
  <c r="G17" i="79"/>
  <c r="K36" i="79"/>
  <c r="G18" i="79"/>
  <c r="K18" i="79" s="1"/>
  <c r="H74" i="44"/>
  <c r="H81" i="44" s="1"/>
  <c r="H82" i="44" s="1"/>
  <c r="H87" i="44" s="1"/>
  <c r="H91" i="44" s="1"/>
  <c r="G28" i="2"/>
  <c r="F27" i="22"/>
  <c r="J12" i="8" s="1"/>
  <c r="F26" i="22"/>
  <c r="K15" i="1" s="1"/>
  <c r="D41" i="54"/>
  <c r="J8" i="8" s="1"/>
  <c r="K17" i="79" l="1"/>
  <c r="K20" i="79" s="1"/>
  <c r="K10" i="79" s="1"/>
  <c r="J26" i="8" s="1"/>
  <c r="G20" i="79"/>
  <c r="G311" i="15"/>
  <c r="G312" i="15" s="1"/>
  <c r="G179" i="15"/>
  <c r="G180" i="15" s="1"/>
  <c r="D180" i="15" s="1"/>
  <c r="D11" i="15" s="1"/>
  <c r="G296" i="15"/>
  <c r="G297" i="15" s="1"/>
  <c r="D297" i="15" s="1"/>
  <c r="D12" i="15" s="1"/>
  <c r="G144" i="15"/>
  <c r="G145" i="15" s="1"/>
  <c r="D145" i="15" s="1"/>
  <c r="D10" i="15" s="1"/>
  <c r="K40" i="1"/>
  <c r="K41" i="1" s="1"/>
  <c r="K58" i="1" s="1"/>
  <c r="K129" i="1" s="1"/>
  <c r="J53" i="8" s="1"/>
  <c r="F28" i="26"/>
  <c r="F29" i="26" s="1"/>
  <c r="F30" i="26" s="1"/>
  <c r="K125" i="1" s="1"/>
  <c r="D13" i="15" l="1"/>
  <c r="D14" i="15" s="1"/>
  <c r="D24" i="15" s="1"/>
  <c r="J23" i="8" s="1"/>
  <c r="E312" i="15"/>
  <c r="D312" i="15" s="1"/>
  <c r="D72" i="7"/>
  <c r="K17" i="1"/>
  <c r="J14" i="8" s="1"/>
  <c r="J15" i="8" s="1"/>
  <c r="J49" i="8"/>
  <c r="K18" i="1" l="1"/>
  <c r="J29" i="8"/>
  <c r="J41" i="8" s="1"/>
  <c r="K26" i="1"/>
  <c r="K34" i="1" l="1"/>
  <c r="K110" i="1" s="1"/>
  <c r="K132" i="1" s="1"/>
  <c r="J38" i="8"/>
  <c r="J56" i="8" s="1"/>
  <c r="J34" i="8"/>
  <c r="J55" i="8" s="1"/>
  <c r="F90" i="12"/>
  <c r="F92" i="12" s="1"/>
  <c r="F94" i="12" s="1"/>
  <c r="F98" i="12" s="1"/>
  <c r="F101" i="12" s="1"/>
  <c r="K95" i="1" l="1"/>
  <c r="K131" i="1" s="1"/>
  <c r="K136" i="1" s="1"/>
  <c r="D70" i="7" s="1"/>
  <c r="D71" i="7" s="1"/>
  <c r="J59" i="8"/>
  <c r="J63" i="8" s="1"/>
  <c r="E67" i="8" s="1"/>
  <c r="E69" i="8" s="1"/>
  <c r="K139" i="1" l="1"/>
  <c r="H88" i="44" s="1"/>
  <c r="K138" i="1"/>
  <c r="E71" i="8"/>
  <c r="E72" i="8" s="1"/>
  <c r="E14" i="65" s="1"/>
  <c r="D73" i="7"/>
  <c r="K141" i="1" l="1"/>
  <c r="C6" i="9" s="1"/>
  <c r="D79" i="7"/>
  <c r="K146" i="1" l="1"/>
  <c r="D80" i="7"/>
  <c r="D86" i="7" l="1"/>
  <c r="D88" i="7" l="1"/>
  <c r="D89" i="7"/>
  <c r="D91" i="7" l="1"/>
  <c r="K147" i="1" s="1"/>
  <c r="H89" i="44"/>
  <c r="H90" i="44" s="1"/>
  <c r="H92" i="44" s="1"/>
  <c r="K156" i="1" s="1"/>
  <c r="C7" i="9" l="1"/>
  <c r="C10" i="9" s="1"/>
  <c r="K152" i="1"/>
  <c r="D3" i="53" l="1"/>
  <c r="K155" i="1"/>
  <c r="K157" i="1" s="1"/>
  <c r="B4" i="31" s="1"/>
  <c r="D18" i="31" s="1"/>
  <c r="F18" i="31" l="1"/>
  <c r="F20" i="31" s="1"/>
  <c r="D20" i="31"/>
  <c r="E18" i="31"/>
  <c r="E20" i="31" s="1"/>
  <c r="D27" i="53"/>
  <c r="D28" i="53"/>
  <c r="D20" i="53"/>
  <c r="D21" i="53"/>
  <c r="D26" i="53"/>
  <c r="D17" i="53"/>
  <c r="D23" i="53"/>
  <c r="D25" i="53"/>
  <c r="D18" i="53"/>
  <c r="D22" i="53"/>
  <c r="D29" i="53"/>
  <c r="D24" i="53"/>
  <c r="D19" i="53"/>
  <c r="C73" i="53" l="1"/>
  <c r="I24" i="53"/>
  <c r="D216" i="53"/>
  <c r="C49" i="53"/>
  <c r="C70" i="53"/>
  <c r="D212" i="53"/>
  <c r="I21" i="53"/>
  <c r="C69" i="53"/>
  <c r="D211" i="53"/>
  <c r="I20" i="53"/>
  <c r="C71" i="53"/>
  <c r="I22" i="53"/>
  <c r="D214" i="53"/>
  <c r="C47" i="53"/>
  <c r="G47" i="53" s="1"/>
  <c r="I25" i="53"/>
  <c r="D219" i="53"/>
  <c r="C76" i="53"/>
  <c r="C68" i="53"/>
  <c r="D68" i="53" s="1"/>
  <c r="D210" i="53"/>
  <c r="H19" i="53"/>
  <c r="G68" i="53" s="1"/>
  <c r="H210" i="53" s="1"/>
  <c r="C238" i="53" s="1"/>
  <c r="F238" i="53" s="1"/>
  <c r="D221" i="53"/>
  <c r="I27" i="53"/>
  <c r="C78" i="53"/>
  <c r="I23" i="53"/>
  <c r="C72" i="53"/>
  <c r="D215" i="53"/>
  <c r="C48" i="53"/>
  <c r="G48" i="53" s="1"/>
  <c r="I26" i="53"/>
  <c r="C77" i="53"/>
  <c r="D220" i="53"/>
  <c r="C80" i="53"/>
  <c r="D80" i="53" s="1"/>
  <c r="H29" i="53"/>
  <c r="G80" i="53" s="1"/>
  <c r="H224" i="53" s="1"/>
  <c r="C252" i="53" s="1"/>
  <c r="F252" i="53" s="1"/>
  <c r="D224" i="53"/>
  <c r="I28" i="53"/>
  <c r="C79" i="53"/>
  <c r="D222" i="53"/>
  <c r="C67" i="53"/>
  <c r="D67" i="53" s="1"/>
  <c r="H18" i="53"/>
  <c r="G67" i="53" s="1"/>
  <c r="H209" i="53" s="1"/>
  <c r="C237" i="53" s="1"/>
  <c r="F237" i="53" s="1"/>
  <c r="D209" i="53"/>
  <c r="H17" i="53"/>
  <c r="G66" i="53" s="1"/>
  <c r="H207" i="53" s="1"/>
  <c r="C235" i="53" s="1"/>
  <c r="C66" i="53"/>
  <c r="D207" i="53"/>
  <c r="D36" i="53"/>
  <c r="F235" i="53" l="1"/>
  <c r="C254" i="53"/>
  <c r="F47" i="53"/>
  <c r="D71" i="53" s="1"/>
  <c r="H71" i="53" s="1"/>
  <c r="I214" i="53" s="1"/>
  <c r="D242" i="53" s="1"/>
  <c r="I47" i="53"/>
  <c r="I71" i="53" s="1"/>
  <c r="J214" i="53" s="1"/>
  <c r="E242" i="53" s="1"/>
  <c r="E71" i="53"/>
  <c r="G49" i="53"/>
  <c r="E73" i="53" s="1"/>
  <c r="C50" i="53"/>
  <c r="F48" i="53"/>
  <c r="D72" i="53" s="1"/>
  <c r="H72" i="53" s="1"/>
  <c r="I215" i="53" s="1"/>
  <c r="D243" i="53" s="1"/>
  <c r="E72" i="53"/>
  <c r="I48" i="53"/>
  <c r="I72" i="53" s="1"/>
  <c r="J215" i="53" s="1"/>
  <c r="E243" i="53" s="1"/>
  <c r="D226" i="53"/>
  <c r="D66" i="53"/>
  <c r="C89" i="53"/>
  <c r="F242" i="53" l="1"/>
  <c r="I78" i="53"/>
  <c r="K78" i="53" s="1"/>
  <c r="F243" i="53"/>
  <c r="I77" i="53"/>
  <c r="I76" i="53"/>
  <c r="I70" i="53"/>
  <c r="I79" i="53"/>
  <c r="F49" i="53"/>
  <c r="D73" i="53" s="1"/>
  <c r="I69" i="53"/>
  <c r="C51" i="53"/>
  <c r="G50" i="53"/>
  <c r="J221" i="53" l="1"/>
  <c r="E249" i="53" s="1"/>
  <c r="E78" i="53"/>
  <c r="D78" i="53" s="1"/>
  <c r="H78" i="53" s="1"/>
  <c r="I221" i="53" s="1"/>
  <c r="D249" i="53" s="1"/>
  <c r="J212" i="53"/>
  <c r="E240" i="53" s="1"/>
  <c r="E70" i="53"/>
  <c r="D70" i="53" s="1"/>
  <c r="H70" i="53" s="1"/>
  <c r="I212" i="53" s="1"/>
  <c r="D240" i="53" s="1"/>
  <c r="E76" i="53"/>
  <c r="D76" i="53" s="1"/>
  <c r="H76" i="53" s="1"/>
  <c r="K76" i="53"/>
  <c r="J219" i="53"/>
  <c r="E247" i="53" s="1"/>
  <c r="E79" i="53"/>
  <c r="D79" i="53" s="1"/>
  <c r="H79" i="53" s="1"/>
  <c r="I222" i="53" s="1"/>
  <c r="D250" i="53" s="1"/>
  <c r="J222" i="53"/>
  <c r="E250" i="53" s="1"/>
  <c r="E69" i="53"/>
  <c r="J211" i="53"/>
  <c r="E239" i="53" s="1"/>
  <c r="J220" i="53"/>
  <c r="E248" i="53" s="1"/>
  <c r="E77" i="53"/>
  <c r="D77" i="53" s="1"/>
  <c r="H77" i="53" s="1"/>
  <c r="I220" i="53" s="1"/>
  <c r="D248" i="53" s="1"/>
  <c r="F50" i="53"/>
  <c r="D74" i="53" s="1"/>
  <c r="H74" i="53" s="1"/>
  <c r="I216" i="53" s="1"/>
  <c r="D244" i="53" s="1"/>
  <c r="E74" i="53"/>
  <c r="I50" i="53"/>
  <c r="I74" i="53" s="1"/>
  <c r="J216" i="53" s="1"/>
  <c r="E244" i="53" s="1"/>
  <c r="G51" i="53"/>
  <c r="F51" i="53" s="1"/>
  <c r="D75" i="53" s="1"/>
  <c r="H75" i="53" s="1"/>
  <c r="I217" i="53" s="1"/>
  <c r="D245" i="53" s="1"/>
  <c r="F249" i="53" l="1"/>
  <c r="J78" i="53"/>
  <c r="F240" i="53"/>
  <c r="F250" i="53"/>
  <c r="F248" i="53"/>
  <c r="F244" i="53"/>
  <c r="J76" i="53"/>
  <c r="I219" i="53"/>
  <c r="D247" i="53" s="1"/>
  <c r="F247" i="53" s="1"/>
  <c r="D69" i="53"/>
  <c r="E89" i="53"/>
  <c r="I51" i="53"/>
  <c r="I75" i="53" s="1"/>
  <c r="J217" i="53" s="1"/>
  <c r="E245" i="53" s="1"/>
  <c r="E254" i="53" s="1"/>
  <c r="B8" i="31" s="1"/>
  <c r="E75" i="53"/>
  <c r="E24" i="31" l="1"/>
  <c r="E27" i="31" s="1"/>
  <c r="D24" i="31"/>
  <c r="D27" i="31" s="1"/>
  <c r="F24" i="31"/>
  <c r="F27" i="31" s="1"/>
  <c r="H69" i="53"/>
  <c r="I211" i="53" s="1"/>
  <c r="D239" i="53" s="1"/>
  <c r="D89" i="53"/>
  <c r="F245" i="53"/>
  <c r="F239" i="53" l="1"/>
  <c r="F254" i="53" s="1"/>
  <c r="D254" i="53"/>
  <c r="E20" i="32"/>
  <c r="E22" i="32" s="1"/>
  <c r="E40" i="32"/>
  <c r="E42" i="32" s="1"/>
  <c r="E14" i="32"/>
  <c r="E16" i="32" s="1"/>
  <c r="E34" i="32"/>
  <c r="E36" i="32" s="1"/>
  <c r="E28" i="32"/>
  <c r="E30" i="32" s="1"/>
</calcChain>
</file>

<file path=xl/comments1.xml><?xml version="1.0" encoding="utf-8"?>
<comments xmlns="http://schemas.openxmlformats.org/spreadsheetml/2006/main">
  <authors>
    <author>Standard Configuration</author>
  </authors>
  <commentList>
    <comment ref="C137" authorId="0">
      <text>
        <r>
          <rPr>
            <b/>
            <sz val="9"/>
            <color indexed="81"/>
            <rFont val="Tahoma"/>
            <family val="2"/>
          </rPr>
          <t xml:space="preserve">TO7 Update: </t>
        </r>
        <r>
          <rPr>
            <sz val="9"/>
            <color indexed="81"/>
            <rFont val="Tahoma"/>
            <family val="2"/>
          </rPr>
          <t>Added</t>
        </r>
        <r>
          <rPr>
            <b/>
            <sz val="9"/>
            <color indexed="81"/>
            <rFont val="Tahoma"/>
            <family val="2"/>
          </rPr>
          <t xml:space="preserve"> </t>
        </r>
        <r>
          <rPr>
            <sz val="9"/>
            <color indexed="81"/>
            <rFont val="Tahoma"/>
            <family val="2"/>
          </rPr>
          <t xml:space="preserve"> lines 314 and 315
</t>
        </r>
      </text>
    </comment>
    <comment ref="C277" authorId="0">
      <text>
        <r>
          <rPr>
            <b/>
            <sz val="9"/>
            <color indexed="81"/>
            <rFont val="Tahoma"/>
            <family val="2"/>
          </rPr>
          <t xml:space="preserve">TO7 Update: </t>
        </r>
        <r>
          <rPr>
            <sz val="9"/>
            <color indexed="81"/>
            <rFont val="Tahoma"/>
            <family val="2"/>
          </rPr>
          <t xml:space="preserve">Several of the descriptions have changed
</t>
        </r>
      </text>
    </comment>
  </commentList>
</comments>
</file>

<file path=xl/sharedStrings.xml><?xml version="1.0" encoding="utf-8"?>
<sst xmlns="http://schemas.openxmlformats.org/spreadsheetml/2006/main" count="7229" uniqueCount="3226">
  <si>
    <t>True-Up</t>
  </si>
  <si>
    <t>CWIP</t>
  </si>
  <si>
    <t>Balances</t>
  </si>
  <si>
    <t>In Service</t>
  </si>
  <si>
    <t>Total:</t>
  </si>
  <si>
    <t>Income Taxes</t>
  </si>
  <si>
    <t>Calculation of Components of Working Capital</t>
  </si>
  <si>
    <t xml:space="preserve">Prepayments is an allocated portion of Total Prepayments based </t>
  </si>
  <si>
    <t>Incentive</t>
  </si>
  <si>
    <t>ROE Adder</t>
  </si>
  <si>
    <t>13-Month Avg.</t>
  </si>
  <si>
    <t>Revenue Credits</t>
  </si>
  <si>
    <t>FERC</t>
  </si>
  <si>
    <t>Rate</t>
  </si>
  <si>
    <t>HV</t>
  </si>
  <si>
    <t>LV</t>
  </si>
  <si>
    <t>FICA</t>
  </si>
  <si>
    <t>Inputs are shaded yellow</t>
  </si>
  <si>
    <t>Forecast Period</t>
  </si>
  <si>
    <t>Monthly</t>
  </si>
  <si>
    <t>Retail</t>
  </si>
  <si>
    <t>Revenues</t>
  </si>
  <si>
    <t>in Revenue</t>
  </si>
  <si>
    <t>Interest</t>
  </si>
  <si>
    <t>Calculation of Components of Cost of Capital Rate</t>
  </si>
  <si>
    <t>Cost of Preferred Stock</t>
  </si>
  <si>
    <t>Debt</t>
  </si>
  <si>
    <t>Preferred Stock</t>
  </si>
  <si>
    <t>Equity</t>
  </si>
  <si>
    <t>True Up Adjustment</t>
  </si>
  <si>
    <t>Excess (-) or</t>
  </si>
  <si>
    <t>Shortfall (+)</t>
  </si>
  <si>
    <t>True Up Adjustment:</t>
  </si>
  <si>
    <t>SCE Records</t>
  </si>
  <si>
    <t>FF1 207.104g</t>
  </si>
  <si>
    <t>Apportionment</t>
  </si>
  <si>
    <t>Factor</t>
  </si>
  <si>
    <t>California</t>
  </si>
  <si>
    <t>New Mexico</t>
  </si>
  <si>
    <t>Arizona</t>
  </si>
  <si>
    <t>D.C.</t>
  </si>
  <si>
    <t>State</t>
  </si>
  <si>
    <t>Statutory</t>
  </si>
  <si>
    <t>1) Federal Income Tax rate</t>
  </si>
  <si>
    <t>Federal</t>
  </si>
  <si>
    <t>2) Composite State Income Tax Rate</t>
  </si>
  <si>
    <t>Fed Ins Cont Amt -- Current</t>
  </si>
  <si>
    <t>FICA/OASDI Emp Incntv.</t>
  </si>
  <si>
    <t>FICA/HIT Emp Incntv.</t>
  </si>
  <si>
    <t>Long-Term Debt Cost Percentage</t>
  </si>
  <si>
    <t>Preferred Stock Amount -- Account 204</t>
  </si>
  <si>
    <t>Cost of Preferred Stock -- Account 437</t>
  </si>
  <si>
    <t>Preferred Stock Cost Percentage</t>
  </si>
  <si>
    <t>Common Stock Equity Amount</t>
  </si>
  <si>
    <t>Less Preferred Stock Amount -- Account 204</t>
  </si>
  <si>
    <t>Total Capital</t>
  </si>
  <si>
    <t>Preferred Stock Amount</t>
  </si>
  <si>
    <t>Capital Percentages</t>
  </si>
  <si>
    <t>Common Stock Capital Percentage</t>
  </si>
  <si>
    <t>Weighted Cost of Long Term Debt</t>
  </si>
  <si>
    <t>Weighted Cost of Preferred Stock</t>
  </si>
  <si>
    <t>Weighted Cost of Common Stock</t>
  </si>
  <si>
    <t>Cost of Capital Rate</t>
  </si>
  <si>
    <t>Return on Capital: Rate Base times Cost of Capital Rate</t>
  </si>
  <si>
    <t>Network Upgrade Credits</t>
  </si>
  <si>
    <t>Network Upgrade Interest Expense</t>
  </si>
  <si>
    <t>Transmission Plant Allocation Factor</t>
  </si>
  <si>
    <t>Total General Plant</t>
  </si>
  <si>
    <t>Total Electric Miscellaneous Intangible Plant</t>
  </si>
  <si>
    <t>Electric Miscellaneous Intangible Plant</t>
  </si>
  <si>
    <t>Property Taxes</t>
  </si>
  <si>
    <t>Total Electric Payroll Tax Expense</t>
  </si>
  <si>
    <t>PRIOR YEAR TRANSMISSION REVENUE REQUIREMENT</t>
  </si>
  <si>
    <t>Prior Year</t>
  </si>
  <si>
    <t>Jan</t>
  </si>
  <si>
    <t>Feb</t>
  </si>
  <si>
    <t>Mar</t>
  </si>
  <si>
    <t>Apr</t>
  </si>
  <si>
    <t>Jun</t>
  </si>
  <si>
    <t>Jul</t>
  </si>
  <si>
    <t>Aug</t>
  </si>
  <si>
    <t>Sep</t>
  </si>
  <si>
    <t>Oct</t>
  </si>
  <si>
    <t>Nov</t>
  </si>
  <si>
    <t>Dec</t>
  </si>
  <si>
    <t>HV/LV</t>
  </si>
  <si>
    <t>---</t>
  </si>
  <si>
    <t>Revenue</t>
  </si>
  <si>
    <t>Prior Year Incentive Adder =</t>
  </si>
  <si>
    <t>Other Taxes</t>
  </si>
  <si>
    <t xml:space="preserve"> = LV Allocation Factor</t>
  </si>
  <si>
    <t xml:space="preserve"> = HV Allocation Factor</t>
  </si>
  <si>
    <t>SCE Retail Standby Rate Revenue</t>
  </si>
  <si>
    <t>TRR Values</t>
  </si>
  <si>
    <t>Average BOY/EOY Value:</t>
  </si>
  <si>
    <t>Beginning of year ("BOY") amount</t>
  </si>
  <si>
    <t>b) Return on Capital</t>
  </si>
  <si>
    <t>c) Income Taxes</t>
  </si>
  <si>
    <t>Return on Capital</t>
  </si>
  <si>
    <t xml:space="preserve">Enter positive </t>
  </si>
  <si>
    <t>Miscellaneous General Expense</t>
  </si>
  <si>
    <t>End of Year ("EOY") amount</t>
  </si>
  <si>
    <t>Working Capital</t>
  </si>
  <si>
    <t>Materials and Supplies</t>
  </si>
  <si>
    <t>Prepayments</t>
  </si>
  <si>
    <t>Transmission Wages and Salaries Allocation Factor</t>
  </si>
  <si>
    <t>Transmission Plant Allocation Factor:</t>
  </si>
  <si>
    <t>Prior Year TRR</t>
  </si>
  <si>
    <t>True-Up Adjustment</t>
  </si>
  <si>
    <t>Subtotal:</t>
  </si>
  <si>
    <t>Calculation of Accumulated Deferred Income Taxes</t>
  </si>
  <si>
    <t>Account</t>
  </si>
  <si>
    <t>Description</t>
  </si>
  <si>
    <t>O&amp;M Expense</t>
  </si>
  <si>
    <t>A&amp;G Salaries</t>
  </si>
  <si>
    <t>Office Supplies and Expenses</t>
  </si>
  <si>
    <t>A&amp;G Expenses Transferred</t>
  </si>
  <si>
    <t>Outside Services Employed</t>
  </si>
  <si>
    <t>Property Insurance</t>
  </si>
  <si>
    <t>Injuries and Damages</t>
  </si>
  <si>
    <t>Employee Pensions and Benefits</t>
  </si>
  <si>
    <t>Franchise Requirements</t>
  </si>
  <si>
    <t>Regulatory Commission Expenses</t>
  </si>
  <si>
    <t>Duplicate Charges</t>
  </si>
  <si>
    <t>General Advertising Expense</t>
  </si>
  <si>
    <t>Rents</t>
  </si>
  <si>
    <t>Maintenance of General Plant</t>
  </si>
  <si>
    <t>Acct.</t>
  </si>
  <si>
    <t>Excluded</t>
  </si>
  <si>
    <t>FF1 323.181b</t>
  </si>
  <si>
    <t>FF1 323.182b</t>
  </si>
  <si>
    <t>FF1 323.183b</t>
  </si>
  <si>
    <t>FF1 323.184b</t>
  </si>
  <si>
    <t>FF1 323.185b</t>
  </si>
  <si>
    <t>FF1 323.186b</t>
  </si>
  <si>
    <t>FF1 323.187b</t>
  </si>
  <si>
    <t>FF1 323.188b</t>
  </si>
  <si>
    <t>FF1 323.189b</t>
  </si>
  <si>
    <t>FF1 323.190b</t>
  </si>
  <si>
    <t>FF1 323.191b</t>
  </si>
  <si>
    <t>FF1 323.192b</t>
  </si>
  <si>
    <t>FF1 323.193b</t>
  </si>
  <si>
    <t>FF1 323.196b</t>
  </si>
  <si>
    <t>Total A&amp;G Expenses:</t>
  </si>
  <si>
    <t>Transmission Wages and Salaries Allocation Factor:</t>
  </si>
  <si>
    <t xml:space="preserve"> = Wholesale Base TRR</t>
  </si>
  <si>
    <t xml:space="preserve"> = Total Wholesale TRBAA</t>
  </si>
  <si>
    <t xml:space="preserve"> = HV Wholesale TRBAA</t>
  </si>
  <si>
    <t xml:space="preserve"> = LV Wholesale TRBAA</t>
  </si>
  <si>
    <t xml:space="preserve"> = Total Standby Transmission Revenues</t>
  </si>
  <si>
    <t>TOTAL</t>
  </si>
  <si>
    <t>Wholesale TRBAA:</t>
  </si>
  <si>
    <t>SCE's wholesale rates are as follows:</t>
  </si>
  <si>
    <t>1) Low Voltage Access Charge</t>
  </si>
  <si>
    <t>2) Low Voltage Wheeling Access Charge</t>
  </si>
  <si>
    <t>3) High Voltage Utility-Specific Rate</t>
  </si>
  <si>
    <t>4) HV Existing Contracts Access Charge</t>
  </si>
  <si>
    <t>5) LV Existing Contracts Access Charge</t>
  </si>
  <si>
    <t>Calculation of Low Voltage Access Charge:</t>
  </si>
  <si>
    <t>per kWh</t>
  </si>
  <si>
    <t>Calculation of Low Voltage Wheeling Access Charge:</t>
  </si>
  <si>
    <t>Calculation of High Voltage Utility Specific Rate:</t>
  </si>
  <si>
    <t>(used by ISO in billing of ISO TAC)</t>
  </si>
  <si>
    <t>SCE HV TRR =</t>
  </si>
  <si>
    <t>Calculation of High Voltage Existing Contracts Access Charge:</t>
  </si>
  <si>
    <t>MW</t>
  </si>
  <si>
    <t>Calculation of Low Voltage Existing Contracts Access Charge:</t>
  </si>
  <si>
    <t>Wholesale Base TRR:</t>
  </si>
  <si>
    <t>Determination of Incentive Adders Components of the TRR</t>
  </si>
  <si>
    <t>Negative amount</t>
  </si>
  <si>
    <t>Rate Base Item</t>
  </si>
  <si>
    <t>Method</t>
  </si>
  <si>
    <t>Calculation</t>
  </si>
  <si>
    <t>BOY/EOY Avg.</t>
  </si>
  <si>
    <t>EOY Value:</t>
  </si>
  <si>
    <t>Domestic</t>
  </si>
  <si>
    <t>GS-1</t>
  </si>
  <si>
    <t>TC-1</t>
  </si>
  <si>
    <t>GS-2</t>
  </si>
  <si>
    <t>TOU-GS-3</t>
  </si>
  <si>
    <t>PA-1</t>
  </si>
  <si>
    <t>PA-2</t>
  </si>
  <si>
    <t>TOU-AG</t>
  </si>
  <si>
    <t>Transmission Plant Held for Future Use</t>
  </si>
  <si>
    <t>2) Calculation of Prepayments</t>
  </si>
  <si>
    <t>Adjustment</t>
  </si>
  <si>
    <t>1) Calculation of Materials and Supplies</t>
  </si>
  <si>
    <t>FF1 111.57d</t>
  </si>
  <si>
    <t>FF1 111.57c</t>
  </si>
  <si>
    <t>Prepayments:</t>
  </si>
  <si>
    <t>Accumulated Depreciation Reserve</t>
  </si>
  <si>
    <t>Accumulated Deferred Income Taxes</t>
  </si>
  <si>
    <t>General Plant</t>
  </si>
  <si>
    <t>Accumulated Depreciation Reserve Balances</t>
  </si>
  <si>
    <t>Southern California Edison Company</t>
  </si>
  <si>
    <t>Formula Transmission Rate</t>
  </si>
  <si>
    <t>Notes</t>
  </si>
  <si>
    <t xml:space="preserve">FERC Form 1 Reference </t>
  </si>
  <si>
    <t>or Instruction</t>
  </si>
  <si>
    <t>Value</t>
  </si>
  <si>
    <t>Cash Working Capital</t>
  </si>
  <si>
    <t>Rate Base</t>
  </si>
  <si>
    <t>TRR Component</t>
  </si>
  <si>
    <t>Amount</t>
  </si>
  <si>
    <t>RATE BASE</t>
  </si>
  <si>
    <t>RETURN AND CAPITALIZATION CALCULATIONS</t>
  </si>
  <si>
    <t>INCOME TAXES</t>
  </si>
  <si>
    <t>Source</t>
  </si>
  <si>
    <t>December</t>
  </si>
  <si>
    <t>January</t>
  </si>
  <si>
    <t>February</t>
  </si>
  <si>
    <t>April</t>
  </si>
  <si>
    <t>May</t>
  </si>
  <si>
    <t xml:space="preserve">June </t>
  </si>
  <si>
    <t>July</t>
  </si>
  <si>
    <t>August</t>
  </si>
  <si>
    <t>September</t>
  </si>
  <si>
    <t xml:space="preserve">October </t>
  </si>
  <si>
    <t>November</t>
  </si>
  <si>
    <t>October</t>
  </si>
  <si>
    <t>Month</t>
  </si>
  <si>
    <t>Year</t>
  </si>
  <si>
    <t>Data</t>
  </si>
  <si>
    <t>March</t>
  </si>
  <si>
    <t>Total</t>
  </si>
  <si>
    <t>Totals:</t>
  </si>
  <si>
    <t>Forecast</t>
  </si>
  <si>
    <t>Period</t>
  </si>
  <si>
    <t>Transmission Wages and Salary Allocation Factor</t>
  </si>
  <si>
    <t>ADIT</t>
  </si>
  <si>
    <t>Calculation of Allocation Factors</t>
  </si>
  <si>
    <t xml:space="preserve">1) The Prior Year TRR component is the TRR associated with the Prior Year (most recent calendar year).  </t>
  </si>
  <si>
    <t>Cumulative</t>
  </si>
  <si>
    <t>Reference</t>
  </si>
  <si>
    <t>Bonds -- Account 221</t>
  </si>
  <si>
    <t>Less Reacquired Bonds -- Account 222</t>
  </si>
  <si>
    <t>Other Long Term Debt -- Account 224</t>
  </si>
  <si>
    <t>Long Term Debt Amount</t>
  </si>
  <si>
    <t>Amortization of Debt Discount and Expense -- Account 428</t>
  </si>
  <si>
    <t>Interest on Long-Term Debt -- Account 427</t>
  </si>
  <si>
    <t>Amortization of Loss on Reacquired Debt -- Account 428.1</t>
  </si>
  <si>
    <t>Enter negative</t>
  </si>
  <si>
    <t>Less Amort. of Gain on Reacquired Debt -- Account 429.1</t>
  </si>
  <si>
    <t>Total Proprietary Capital</t>
  </si>
  <si>
    <t>See Note 2</t>
  </si>
  <si>
    <t>See Note 1</t>
  </si>
  <si>
    <t>SCE Return on Equity</t>
  </si>
  <si>
    <t>Federal Income Tax Rate</t>
  </si>
  <si>
    <t>Used for Tax calculation</t>
  </si>
  <si>
    <t>Where:</t>
  </si>
  <si>
    <t>RB = Rate Base</t>
  </si>
  <si>
    <t>CTR = Composite Tax Rate</t>
  </si>
  <si>
    <t>CO = Credits and Other</t>
  </si>
  <si>
    <t>Annual Cost of Capital Components</t>
  </si>
  <si>
    <t>CWIP:</t>
  </si>
  <si>
    <t>Yes</t>
  </si>
  <si>
    <t>ROE adder:</t>
  </si>
  <si>
    <t>No</t>
  </si>
  <si>
    <t>Tehachapi</t>
  </si>
  <si>
    <t>Project</t>
  </si>
  <si>
    <t>1) Rancho Vista</t>
  </si>
  <si>
    <t>2) Tehachapi</t>
  </si>
  <si>
    <t>End-of-Year</t>
  </si>
  <si>
    <t>13-Month</t>
  </si>
  <si>
    <t>Average</t>
  </si>
  <si>
    <t>Notes:</t>
  </si>
  <si>
    <t>Franchise Fee Expense:</t>
  </si>
  <si>
    <t>From</t>
  </si>
  <si>
    <t>To</t>
  </si>
  <si>
    <t>FF Factor</t>
  </si>
  <si>
    <t>U Factor</t>
  </si>
  <si>
    <t>Note:</t>
  </si>
  <si>
    <t>Total Wages and Salaries</t>
  </si>
  <si>
    <t>Less Total A&amp;G Wages and Salaries</t>
  </si>
  <si>
    <t>Transmission W&amp;S Allocation Factor:</t>
  </si>
  <si>
    <t>CWIP Plant</t>
  </si>
  <si>
    <t>b) EOY calculation</t>
  </si>
  <si>
    <t>Total Prepayments</t>
  </si>
  <si>
    <t>Working Capital amounts</t>
  </si>
  <si>
    <t>Plant Balances For Incentive Projects Receiving either ROE Incentives ("Transmission Incentive Plant")</t>
  </si>
  <si>
    <t>or CWIP ("CWIP Plant")</t>
  </si>
  <si>
    <t>Input data is shaded yellow</t>
  </si>
  <si>
    <t>A) Summary of Incentive Project plant balances receiving ROE incentives</t>
  </si>
  <si>
    <t>("Transmission Incentive Plant") and/or CWIP ("CWIP Plant") and calculation</t>
  </si>
  <si>
    <t>Portion</t>
  </si>
  <si>
    <t>Depreciation Expense</t>
  </si>
  <si>
    <t>OTHER TAXES</t>
  </si>
  <si>
    <t>Payroll Taxes Expense</t>
  </si>
  <si>
    <t>Cost of Long Term Debt</t>
  </si>
  <si>
    <t>Long Term Debt Cost Percentage</t>
  </si>
  <si>
    <t>Long Term Debt Capital Percentage</t>
  </si>
  <si>
    <t>Preferred Stock Capital Percentage</t>
  </si>
  <si>
    <t>Composite Tax Rate</t>
  </si>
  <si>
    <t>State Income Tax Rate</t>
  </si>
  <si>
    <t>Calculation of Cost of Capital Rate</t>
  </si>
  <si>
    <t>Calculation of Credits and Other:</t>
  </si>
  <si>
    <t>Credits and Other</t>
  </si>
  <si>
    <t>Income Taxes:</t>
  </si>
  <si>
    <t>Component of Prior Year TRR:</t>
  </si>
  <si>
    <t>A&amp;G Expense</t>
  </si>
  <si>
    <t>Prior Year Incentive Adder</t>
  </si>
  <si>
    <t>TOTAL BASE TRANSMISSION REVENUE REQUIREMENT</t>
  </si>
  <si>
    <t>For Retail Purposes</t>
  </si>
  <si>
    <t>Calculation of Long Term Debt Amount</t>
  </si>
  <si>
    <t>Calculation of Cost of Long-Term Debt</t>
  </si>
  <si>
    <t>Calculation of Common Stock Equity Amount</t>
  </si>
  <si>
    <t>Less Amortization of Premium on Debt -- Account 429</t>
  </si>
  <si>
    <t>Forecast Plant Additions:</t>
  </si>
  <si>
    <t>AFCR:</t>
  </si>
  <si>
    <t>1) Calculation of Incremental Return on Equity Factor</t>
  </si>
  <si>
    <t>2) Determination of multiplicative factors for use in calculating Incentive Adders:</t>
  </si>
  <si>
    <t>3) Calculation of Prior Year Incentive Adder (EOY)</t>
  </si>
  <si>
    <t>Multiplicative</t>
  </si>
  <si>
    <t>Adder</t>
  </si>
  <si>
    <t>Working Capital Amounts</t>
  </si>
  <si>
    <t>Accumulated Depreciation Reserve Amounts</t>
  </si>
  <si>
    <t>True Up</t>
  </si>
  <si>
    <t>Calculation of Administrative and General Expense</t>
  </si>
  <si>
    <t>Income Tax Rate =</t>
  </si>
  <si>
    <t>Composite State</t>
  </si>
  <si>
    <t>See Note 3</t>
  </si>
  <si>
    <t>MWh</t>
  </si>
  <si>
    <t>FF1 354.28b</t>
  </si>
  <si>
    <t>FF1 354.27b</t>
  </si>
  <si>
    <t>Uncollectibles Expense</t>
  </si>
  <si>
    <t>Franchise Fees Expense</t>
  </si>
  <si>
    <t>Difference</t>
  </si>
  <si>
    <t>(1/(1-CTR))</t>
  </si>
  <si>
    <t>Composite Tax Rate ("CTR")</t>
  </si>
  <si>
    <t>for apportionment factors and state tax rates.</t>
  </si>
  <si>
    <t xml:space="preserve">Determination of amount of Abandoned Plant and Abandoned Plant Amortization Expense </t>
  </si>
  <si>
    <t>Abandoned Plant Amortization Expense</t>
  </si>
  <si>
    <t>Less Account  924:</t>
  </si>
  <si>
    <t>Property Insurance portion of A&amp;G:</t>
  </si>
  <si>
    <t>Administrative and General Expenses:</t>
  </si>
  <si>
    <t>The Incremental Return on Equity Factor is the incremental Prior Year TRR expressed per 100 basis points of</t>
  </si>
  <si>
    <t>Incremental</t>
  </si>
  <si>
    <t>of balances needed to determine the following:</t>
  </si>
  <si>
    <t>TIP Net Plant</t>
  </si>
  <si>
    <t>EOY</t>
  </si>
  <si>
    <t xml:space="preserve">Multiplicative factors are used to calculate the Incentive Adders on an Transmission Incentive Project specific basis.  </t>
  </si>
  <si>
    <t>Cells shaded yellow are input cells</t>
  </si>
  <si>
    <t>Wages and Salaries AF:</t>
  </si>
  <si>
    <t>General and Intangible Plant is an allocated portion of Total G&amp;I Plant based on the Trans. W&amp;S Allocation Factor</t>
  </si>
  <si>
    <t>General + Intangible Plant:</t>
  </si>
  <si>
    <t>Distribution</t>
  </si>
  <si>
    <t>Transmission</t>
  </si>
  <si>
    <t>G + I Depreciation Reserve</t>
  </si>
  <si>
    <t>General + Intangible Plant Depreciation Reserve</t>
  </si>
  <si>
    <t>Transmission Wages and Salaries AF:</t>
  </si>
  <si>
    <t>Upon Commission approval of recovery of abandoned plant costs for a specific project or projects, SCE will</t>
  </si>
  <si>
    <t>Abandoned Plant Amortization Expense:</t>
  </si>
  <si>
    <t>Abandoned Plant</t>
  </si>
  <si>
    <t>Abandoned Plant (EOY):</t>
  </si>
  <si>
    <t>Abandoned Plant (BOY/EOY Average):</t>
  </si>
  <si>
    <t>Initially Abandoned Plant Amortization Expense and Abandoned Plant are both zero.</t>
  </si>
  <si>
    <t>complete this worksheet in accordance with that Order.</t>
  </si>
  <si>
    <t>General Plant + Electric Miscellaneous Intangible Plant</t>
  </si>
  <si>
    <t>Incremental Forecast Period TRR</t>
  </si>
  <si>
    <t xml:space="preserve">Line </t>
  </si>
  <si>
    <t>1) Transmission Plant - ISO</t>
  </si>
  <si>
    <t>2) Distribution Plant - ISO</t>
  </si>
  <si>
    <t>Average value:</t>
  </si>
  <si>
    <t>Expense</t>
  </si>
  <si>
    <t>Forecast Gross Load:</t>
  </si>
  <si>
    <t>Sum of above</t>
  </si>
  <si>
    <t>per kW</t>
  </si>
  <si>
    <t>1) Transmission Depreciation Reserve - ISO</t>
  </si>
  <si>
    <t xml:space="preserve"> </t>
  </si>
  <si>
    <t>Line</t>
  </si>
  <si>
    <t>Income Tax Adjustment to the TRR:</t>
  </si>
  <si>
    <t>Wholesale South Georgia</t>
  </si>
  <si>
    <t>ISO Transmission Wages and Salaries</t>
  </si>
  <si>
    <t>Transmission Plant - ISO</t>
  </si>
  <si>
    <t>Distribution Plant - ISO</t>
  </si>
  <si>
    <t>SCE Retail Sales at ISO Grid level:</t>
  </si>
  <si>
    <t>Pump Load forecast:</t>
  </si>
  <si>
    <t>Line 1 + Line 2</t>
  </si>
  <si>
    <t>1) Tehachapi</t>
  </si>
  <si>
    <t>2) Devers-Colorado River</t>
  </si>
  <si>
    <t>3) Eldorado-Ivanpah</t>
  </si>
  <si>
    <t>1) Forecast Plant Additions * AFCR</t>
  </si>
  <si>
    <t>2) Forecast Period Incremental CWIP * AFCR for CWIP</t>
  </si>
  <si>
    <t>Devers to</t>
  </si>
  <si>
    <t>Colorado River</t>
  </si>
  <si>
    <t>Ivanpah</t>
  </si>
  <si>
    <t>Eldorado</t>
  </si>
  <si>
    <t>Col 2</t>
  </si>
  <si>
    <t>Col 3</t>
  </si>
  <si>
    <t>Col 4</t>
  </si>
  <si>
    <t>Col 5</t>
  </si>
  <si>
    <t>Col 6</t>
  </si>
  <si>
    <t>Col 7</t>
  </si>
  <si>
    <t>Yellow shaded cells are Input Data</t>
  </si>
  <si>
    <t>2) Calculation of IFP TRR</t>
  </si>
  <si>
    <t>AFCR * Forecast Plant Additions:</t>
  </si>
  <si>
    <t>AFCRCWIP:</t>
  </si>
  <si>
    <t>AFCRCWIP * FP Incremental CWIP:</t>
  </si>
  <si>
    <t>Forecast Period Incremental CWIP:</t>
  </si>
  <si>
    <t>Incremental Forecast Period TRR:</t>
  </si>
  <si>
    <t xml:space="preserve">Transmission Incentive Project plant balances and CWIP Plant may affect the following: </t>
  </si>
  <si>
    <t>Other</t>
  </si>
  <si>
    <t>Gains and Losses on Transmission Plant Held for Future Use -- Land</t>
  </si>
  <si>
    <t>Col 1</t>
  </si>
  <si>
    <t>Note 1</t>
  </si>
  <si>
    <t>Note 2</t>
  </si>
  <si>
    <t>Depreciation Expense for Distribution Plant - ISO</t>
  </si>
  <si>
    <t>Other Regulatory Assets/Liabilities</t>
  </si>
  <si>
    <t>where:</t>
  </si>
  <si>
    <t>CSCP = Common Stock Capital Percentage</t>
  </si>
  <si>
    <t>Above formula</t>
  </si>
  <si>
    <t>FF1 117.62c</t>
  </si>
  <si>
    <t>FF1 117.63c</t>
  </si>
  <si>
    <t>FF1 117.64c</t>
  </si>
  <si>
    <t>FF1 117.65c</t>
  </si>
  <si>
    <t>FF1 117.66c</t>
  </si>
  <si>
    <t>FF1 118.29c</t>
  </si>
  <si>
    <t>Calculation of Composite State Income Tax Rate for the Prior Year:</t>
  </si>
  <si>
    <t xml:space="preserve">The Final True Up Adjustment begins on the month after the last True Up Adjustment and extends through the termination date of </t>
  </si>
  <si>
    <t>this formula transmission rate.</t>
  </si>
  <si>
    <t>The Final True Up Adjustment shall be calculated as above, with interest to the termination date of the Formula Transmission Rate.</t>
  </si>
  <si>
    <t>Calculation of SCE Retail Transmission Rates</t>
  </si>
  <si>
    <t>Abandoned</t>
  </si>
  <si>
    <t>Plant</t>
  </si>
  <si>
    <t>Amort.</t>
  </si>
  <si>
    <t xml:space="preserve">Abandoned Plant Amortization Expense for each project represents the annual amortization of abandoned costs </t>
  </si>
  <si>
    <t>that the Order approves as an annual expense.</t>
  </si>
  <si>
    <t>Abandoned Plant for each project represents the amount of costs that the Order approves for inclusion in Rate Base.</t>
  </si>
  <si>
    <t xml:space="preserve">Amount for </t>
  </si>
  <si>
    <t>Instructions:</t>
  </si>
  <si>
    <t>1) Upon Commission approval of recovery of abandoned plant costs for a project:</t>
  </si>
  <si>
    <t>Abandoned Plant (BOY):</t>
  </si>
  <si>
    <t>BOY</t>
  </si>
  <si>
    <t>c) Sum project-specific amounts for each project and enter in lines 1, 2, and 3 for the Prior Year at issue.</t>
  </si>
  <si>
    <t>2) Add additional projects if necessary in same format.</t>
  </si>
  <si>
    <t>Abandoned Plant Amortization Expense amounts in Accordance with the Order.</t>
  </si>
  <si>
    <t>If table can not be filled out completely, fill out at least through the Prior Year at issue.</t>
  </si>
  <si>
    <t>Sum of projects below for PY.</t>
  </si>
  <si>
    <t>intended to be placed under the Operational Control of the ISO, plus an allocated amount of any General</t>
  </si>
  <si>
    <t>FF1 page 214</t>
  </si>
  <si>
    <t>End of Year Balance</t>
  </si>
  <si>
    <t>Beginning of Year Balance</t>
  </si>
  <si>
    <t>General Plant Held for Future Use</t>
  </si>
  <si>
    <t>Electric Plant Held for Future Use, with the allocation factor being the Transmission Wages and Salaries AF.</t>
  </si>
  <si>
    <t>1) For any Electric Plant Held for Future Use intended to be placed under the Operational Control of the ISO,</t>
  </si>
  <si>
    <t>Operational Control of the ISO.</t>
  </si>
  <si>
    <t>Plant intended to be placed under the Operational Control of the ISO:</t>
  </si>
  <si>
    <t>All other Electric Plant Held for Future Use not intended to be placed under the Operational Control of the ISO:</t>
  </si>
  <si>
    <t>of Plant</t>
  </si>
  <si>
    <t>Type</t>
  </si>
  <si>
    <t>Portion for Transmission PHFU:</t>
  </si>
  <si>
    <t>Transmission PHFU:</t>
  </si>
  <si>
    <t>Total Electric PHFU</t>
  </si>
  <si>
    <t>Average of BOY and EOY</t>
  </si>
  <si>
    <t>1) Input most recent available Apportionment Factors.</t>
  </si>
  <si>
    <t>Prior</t>
  </si>
  <si>
    <t>Tax Rate ("STR")</t>
  </si>
  <si>
    <t>Income Tax</t>
  </si>
  <si>
    <t>Rate ("CSITR")</t>
  </si>
  <si>
    <t>for the applicable Prior Year</t>
  </si>
  <si>
    <t>Calculation of Income Tax Rates</t>
  </si>
  <si>
    <t>Rate ("FITR")</t>
  </si>
  <si>
    <t>Factors ("AFs")</t>
  </si>
  <si>
    <t>The IFP TRR is equal to the sum of:</t>
  </si>
  <si>
    <t>approval received subsequent to an SCE Section 205 filing requesting such treatment.</t>
  </si>
  <si>
    <t xml:space="preserve">SCE shall include a non-zero amount of Other Regulatory Assets/Liabilities only with Commission </t>
  </si>
  <si>
    <t>Other Regulatory Assets/Liabilities (EOY):</t>
  </si>
  <si>
    <t>Description of Issue</t>
  </si>
  <si>
    <t>Resulting in Other Regulatory</t>
  </si>
  <si>
    <t>Asset/Liability</t>
  </si>
  <si>
    <t>Issue #1</t>
  </si>
  <si>
    <t>Issue #2</t>
  </si>
  <si>
    <t>Issue #3</t>
  </si>
  <si>
    <t>Other Reg</t>
  </si>
  <si>
    <t>Regulatory</t>
  </si>
  <si>
    <t>costs through this formula transmission rate:</t>
  </si>
  <si>
    <t>2) Add additional lines as necessary for additional issues.</t>
  </si>
  <si>
    <t>Total Substation</t>
  </si>
  <si>
    <t>Land</t>
  </si>
  <si>
    <t>Total Substation and Land</t>
  </si>
  <si>
    <t>Lines</t>
  </si>
  <si>
    <t>Total Lines</t>
  </si>
  <si>
    <t>Substation</t>
  </si>
  <si>
    <t>Land:</t>
  </si>
  <si>
    <t>Structures:</t>
  </si>
  <si>
    <t>Total Structures</t>
  </si>
  <si>
    <t>Transmission Plant Study</t>
  </si>
  <si>
    <t>ISO</t>
  </si>
  <si>
    <t>ISO %</t>
  </si>
  <si>
    <t>of Total</t>
  </si>
  <si>
    <t>B) Plant Classified as Distribution in  FERC Form 1:</t>
  </si>
  <si>
    <t>Total Transmission</t>
  </si>
  <si>
    <t>Data Source</t>
  </si>
  <si>
    <t>FF1 207.49g</t>
  </si>
  <si>
    <t>FF1 207.50g</t>
  </si>
  <si>
    <t>FF1 207.48g</t>
  </si>
  <si>
    <t>FF1 207.51g</t>
  </si>
  <si>
    <t>FF1 207.52g</t>
  </si>
  <si>
    <t>FF1 207.53g</t>
  </si>
  <si>
    <t>FF1 207.54g</t>
  </si>
  <si>
    <t>FF1 207.55g</t>
  </si>
  <si>
    <t>FF1 207.56g</t>
  </si>
  <si>
    <t>FF1 207.60g</t>
  </si>
  <si>
    <t>FF1 207.61g</t>
  </si>
  <si>
    <t>FF1 207.62g</t>
  </si>
  <si>
    <t>1) Total transmission does not include account 359.1 "Asset Retirement Costs for Transmission Plant"</t>
  </si>
  <si>
    <t>Input cells are shaded yellow</t>
  </si>
  <si>
    <t>less FF1 207.57g (Asset Retirement Costs for Transmission Plant).</t>
  </si>
  <si>
    <t>1) Perform annual Transmission Study pursuant to instructions in tariff.</t>
  </si>
  <si>
    <t>2) Only accounts 360-362 included as there is no ISO plant in any other Distribution accounts.</t>
  </si>
  <si>
    <t>Total on this line is also equal to FF1 207.58g (Total Transmission Plant)</t>
  </si>
  <si>
    <t>Structures</t>
  </si>
  <si>
    <t>Substations:</t>
  </si>
  <si>
    <t>Total Lines and Substations</t>
  </si>
  <si>
    <t>Derivation of High Voltage and Low Voltage Gross Plant Percentages</t>
  </si>
  <si>
    <t>LV Transmission Lines</t>
  </si>
  <si>
    <t>Total ISO</t>
  </si>
  <si>
    <t>Gross Plant</t>
  </si>
  <si>
    <t>HV Land</t>
  </si>
  <si>
    <t>LV Land</t>
  </si>
  <si>
    <t>Transformers</t>
  </si>
  <si>
    <t>Classification of Facility:</t>
  </si>
  <si>
    <t>LV Substations (Less Than 220kV)</t>
  </si>
  <si>
    <t>HV Substations (&gt;= 200 kV)</t>
  </si>
  <si>
    <t>Lines:</t>
  </si>
  <si>
    <t>Determination of HV and LV Gross Plant Percentages for ISO Transmission Plant in accordance with ISO Tariff Appendix F, Schedule 3, Section 12.</t>
  </si>
  <si>
    <t>Voltage</t>
  </si>
  <si>
    <t>High</t>
  </si>
  <si>
    <t>Low</t>
  </si>
  <si>
    <t>Gross Plant Percentages (Prior Year):</t>
  </si>
  <si>
    <t>Total Determined HV/LV:</t>
  </si>
  <si>
    <t>Straddling Transformers</t>
  </si>
  <si>
    <t>From above Line 12</t>
  </si>
  <si>
    <t>Sum of lines 18 and 19</t>
  </si>
  <si>
    <t>Percent of Total</t>
  </si>
  <si>
    <t>Total HV and LV Gross Plant for Prior Year</t>
  </si>
  <si>
    <t>Total HV and LV Gross Plant for REP</t>
  </si>
  <si>
    <t>A) Total ISO Plant from Prior Year</t>
  </si>
  <si>
    <t>B) Gross Plant Percentage for the Rate Effective Period:</t>
  </si>
  <si>
    <t>FERC Form 1</t>
  </si>
  <si>
    <t>Total Amount Excluded</t>
  </si>
  <si>
    <t>Shareholder</t>
  </si>
  <si>
    <t>Franchise</t>
  </si>
  <si>
    <t>Requirements</t>
  </si>
  <si>
    <t>PBOPs</t>
  </si>
  <si>
    <t>Authorized PBOPs expense amount:</t>
  </si>
  <si>
    <t>Prior Year FF1 PBOPs expense:</t>
  </si>
  <si>
    <t>Note 1: Itemization of exclusions</t>
  </si>
  <si>
    <t>PBOPs Expense Exclusion:</t>
  </si>
  <si>
    <t>Note 3: PBOPs Exclusion Calculation</t>
  </si>
  <si>
    <t>through the Franchise Fees Expense item.</t>
  </si>
  <si>
    <t>See instruction #4</t>
  </si>
  <si>
    <t>1) Summary of True Up Adjustment calculation:</t>
  </si>
  <si>
    <t>4) True Up Adjustment</t>
  </si>
  <si>
    <t>a) Enter CWIP mechanism final balance in first True Up Adjustment calculation in accordance with tariff protocols.</t>
  </si>
  <si>
    <t>IREF =</t>
  </si>
  <si>
    <t>Multiplicative factor for each project is the ratio of its ROE adder to 1%.</t>
  </si>
  <si>
    <t>IREF, the Multiplicative Factor, and the million $ of Prior Year Incentive Rate Base.</t>
  </si>
  <si>
    <t>2) Sum project-specific Incentive Adders to yield the total Prior Year Incentive Adder.</t>
  </si>
  <si>
    <t>Transmission Plant Held for Future Use shall be amounts of Electric Plant Held for Future Use (account 105)</t>
  </si>
  <si>
    <t>Gain or Loss on Transmission Plant Held for Future Use --- Land</t>
  </si>
  <si>
    <t>Calculation of Gain or Loss on Transmission Plant Held for Future Use -- Land</t>
  </si>
  <si>
    <t>2) Input STR for the Prior Year</t>
  </si>
  <si>
    <t>3) FF and U Factors</t>
  </si>
  <si>
    <t>1) Approved Franchise Fee Factor(s)</t>
  </si>
  <si>
    <t>FF1 263.2 (see note to left)</t>
  </si>
  <si>
    <t>FF1 263 (see note to left)</t>
  </si>
  <si>
    <t>Sum of Column 2 below</t>
  </si>
  <si>
    <t>a) Fill in Description for issue in above table.</t>
  </si>
  <si>
    <t>b) Enter costs in columns 1-3 in above table for the applicable Prior Year.</t>
  </si>
  <si>
    <t>Actual</t>
  </si>
  <si>
    <t>Including previous year True Up Adjustment.</t>
  </si>
  <si>
    <t>First Project:</t>
  </si>
  <si>
    <t>Fill in Name</t>
  </si>
  <si>
    <t>…</t>
  </si>
  <si>
    <t>2nd Project:</t>
  </si>
  <si>
    <t>(BOY value is EOY value from previous year)</t>
  </si>
  <si>
    <t>3) Add additional years past 2035 if necessary.</t>
  </si>
  <si>
    <t>2a</t>
  </si>
  <si>
    <t>2b</t>
  </si>
  <si>
    <t>2c</t>
  </si>
  <si>
    <t>2d</t>
  </si>
  <si>
    <t>2e</t>
  </si>
  <si>
    <t>2f</t>
  </si>
  <si>
    <t>2g</t>
  </si>
  <si>
    <t>2h</t>
  </si>
  <si>
    <t>BOY amount will be EOY value from previous year FERC Form 1, EOY amount will be in current year FF1.</t>
  </si>
  <si>
    <t>Sum of above lines</t>
  </si>
  <si>
    <t>Generation</t>
  </si>
  <si>
    <t>Public</t>
  </si>
  <si>
    <t>Purpose</t>
  </si>
  <si>
    <t>Retail Base</t>
  </si>
  <si>
    <t>"Total Sales to Ultimate Consumers" from FERC Form 1 Page 300, Line 10, Column b:</t>
  </si>
  <si>
    <t>See Note 6</t>
  </si>
  <si>
    <t>See Note 7</t>
  </si>
  <si>
    <t>= C2 - C3 + C 4</t>
  </si>
  <si>
    <t>Any other Base Transmission Revenue or refunds  is included in "Other".</t>
  </si>
  <si>
    <t>Sum of left</t>
  </si>
  <si>
    <t>1) If additional projects receive ROE adders, add to end of lists, and include in calculation</t>
  </si>
  <si>
    <t>of each Incentive Adder.</t>
  </si>
  <si>
    <t xml:space="preserve">Prior </t>
  </si>
  <si>
    <t>Rancho</t>
  </si>
  <si>
    <t>Vista</t>
  </si>
  <si>
    <t xml:space="preserve">Total TIP </t>
  </si>
  <si>
    <t xml:space="preserve">Net Plant </t>
  </si>
  <si>
    <t xml:space="preserve">Prior Year CWIP and Forecast Period Incremental CWIP by Project </t>
  </si>
  <si>
    <t>Col 8</t>
  </si>
  <si>
    <t>Total CWIP</t>
  </si>
  <si>
    <t>13 Month Averages:</t>
  </si>
  <si>
    <t>to include CWIP in Rate Base.</t>
  </si>
  <si>
    <t>Lugo-Pisgah/</t>
  </si>
  <si>
    <t>Red Bluff</t>
  </si>
  <si>
    <t>3) Devers-Colorado R</t>
  </si>
  <si>
    <t>columns</t>
  </si>
  <si>
    <t>or Other</t>
  </si>
  <si>
    <t>Exclusions</t>
  </si>
  <si>
    <t>2) The Incremental Forecast Period TRR is the component of Base TRR associated with forecast additions to in-service</t>
  </si>
  <si>
    <t>These components represent the following costs that SCE incurs:</t>
  </si>
  <si>
    <t>the municipality.</t>
  </si>
  <si>
    <t xml:space="preserve">1) Franchise Fees represent payments that SCE makes to municipal entities for the right to locate facilities within </t>
  </si>
  <si>
    <t>FF1 227.12c</t>
  </si>
  <si>
    <t>FF1 227.12b</t>
  </si>
  <si>
    <t xml:space="preserve">Materials and Supplies is the amount of  total Account 154 Materials and Supplies </t>
  </si>
  <si>
    <t>times the Transmission Wages and Salaries AF</t>
  </si>
  <si>
    <t>A</t>
  </si>
  <si>
    <t>B</t>
  </si>
  <si>
    <t>C</t>
  </si>
  <si>
    <t>D</t>
  </si>
  <si>
    <t>E</t>
  </si>
  <si>
    <t>F</t>
  </si>
  <si>
    <t>G</t>
  </si>
  <si>
    <t>H</t>
  </si>
  <si>
    <t>I</t>
  </si>
  <si>
    <t>J</t>
  </si>
  <si>
    <t>K</t>
  </si>
  <si>
    <t>L</t>
  </si>
  <si>
    <t>M</t>
  </si>
  <si>
    <t>N</t>
  </si>
  <si>
    <t>Traditional OOR</t>
  </si>
  <si>
    <t>GRSM</t>
  </si>
  <si>
    <t>Other Ratemaking</t>
  </si>
  <si>
    <t>FERC ACCT</t>
  </si>
  <si>
    <t>ACCT</t>
  </si>
  <si>
    <t>ACCT DESCRIPTION</t>
  </si>
  <si>
    <t>DOLLARS</t>
  </si>
  <si>
    <t>Category</t>
  </si>
  <si>
    <t>Non-ISO</t>
  </si>
  <si>
    <t>A/P</t>
  </si>
  <si>
    <t>Threshold [10]</t>
  </si>
  <si>
    <t>1a</t>
  </si>
  <si>
    <t>4191110</t>
  </si>
  <si>
    <t>1b</t>
  </si>
  <si>
    <t>4191115</t>
  </si>
  <si>
    <t>Residential Late Payment</t>
  </si>
  <si>
    <t>1c</t>
  </si>
  <si>
    <t>4191120</t>
  </si>
  <si>
    <t>Non-Residential Late Payment</t>
  </si>
  <si>
    <t>450 Total</t>
  </si>
  <si>
    <t>4a</t>
  </si>
  <si>
    <t>4182110</t>
  </si>
  <si>
    <t>Recover Unauthorized Use/Non-Energy</t>
  </si>
  <si>
    <t>4b</t>
  </si>
  <si>
    <t>4182115</t>
  </si>
  <si>
    <t>Miscellaneous Service Revenue - Ownership Cost</t>
  </si>
  <si>
    <t>4c</t>
  </si>
  <si>
    <t>4192110</t>
  </si>
  <si>
    <t>Miscellaneous Service Revenues</t>
  </si>
  <si>
    <t>4d</t>
  </si>
  <si>
    <t>4192115</t>
  </si>
  <si>
    <t>Returned Check Charges</t>
  </si>
  <si>
    <t>4e</t>
  </si>
  <si>
    <t>4192125</t>
  </si>
  <si>
    <t>Service Reconnection Charges</t>
  </si>
  <si>
    <t>4f</t>
  </si>
  <si>
    <t>4192130</t>
  </si>
  <si>
    <t>Service Establishment Charge</t>
  </si>
  <si>
    <t>4g</t>
  </si>
  <si>
    <t>4192140</t>
  </si>
  <si>
    <t>Field Collection Charges</t>
  </si>
  <si>
    <t>4h</t>
  </si>
  <si>
    <t>4192510</t>
  </si>
  <si>
    <t>Quickcheck Revenue</t>
  </si>
  <si>
    <t>P</t>
  </si>
  <si>
    <t>4i</t>
  </si>
  <si>
    <t>4192910</t>
  </si>
  <si>
    <t>PUC Reimbursement Fee-Elect</t>
  </si>
  <si>
    <t>451 Total</t>
  </si>
  <si>
    <t>7a</t>
  </si>
  <si>
    <t>7b</t>
  </si>
  <si>
    <t>7c</t>
  </si>
  <si>
    <t>4183110</t>
  </si>
  <si>
    <t>Sales of Water &amp; Water Power - San Joaquin</t>
  </si>
  <si>
    <t>4183115</t>
  </si>
  <si>
    <t>Sales of Water &amp; Water Power - Headwater</t>
  </si>
  <si>
    <t>453 Total</t>
  </si>
  <si>
    <t>10a</t>
  </si>
  <si>
    <t>10b</t>
  </si>
  <si>
    <t>10c</t>
  </si>
  <si>
    <t>10d</t>
  </si>
  <si>
    <t>4184110</t>
  </si>
  <si>
    <t>Joint Pole - Tariffed Conduit Rental</t>
  </si>
  <si>
    <t>10e</t>
  </si>
  <si>
    <t>4184112</t>
  </si>
  <si>
    <t>Joint Pole - Tariffed Pole Rental - Cable Cos.</t>
  </si>
  <si>
    <t>10f</t>
  </si>
  <si>
    <t>4184114</t>
  </si>
  <si>
    <t>Joint Pole - Tariffed Process &amp; Eng Fees - Cable</t>
  </si>
  <si>
    <t>10g</t>
  </si>
  <si>
    <t>4184116</t>
  </si>
  <si>
    <t>Joint Pole - Tariffed Process &amp; Eng Fees - Conduit</t>
  </si>
  <si>
    <t>10h</t>
  </si>
  <si>
    <t>4184118</t>
  </si>
  <si>
    <t>Joint Pole - Pl Attchmnt Audit - Undoc P&amp;E Fee</t>
  </si>
  <si>
    <t>10i</t>
  </si>
  <si>
    <t>4184510</t>
  </si>
  <si>
    <t>Joint Pole - Non-Tariffed Pole Rental</t>
  </si>
  <si>
    <t>10j</t>
  </si>
  <si>
    <t>4184512</t>
  </si>
  <si>
    <t>Joint Pole - Non-Tariff Process &amp; Engineering Fees</t>
  </si>
  <si>
    <t>10k</t>
  </si>
  <si>
    <t>4184514</t>
  </si>
  <si>
    <t>Joint Pole - Non-Tariff Requests for Information</t>
  </si>
  <si>
    <t>10l</t>
  </si>
  <si>
    <t>4184516</t>
  </si>
  <si>
    <t>Oil And Gas Royalties</t>
  </si>
  <si>
    <t>10m</t>
  </si>
  <si>
    <t>4184518</t>
  </si>
  <si>
    <t>10n</t>
  </si>
  <si>
    <t>4184810</t>
  </si>
  <si>
    <t>Facility Cost -EIX/Nonutility</t>
  </si>
  <si>
    <t>6, 12</t>
  </si>
  <si>
    <t>10o</t>
  </si>
  <si>
    <t>4184815</t>
  </si>
  <si>
    <t>Facility Cost- Utility</t>
  </si>
  <si>
    <t>10p</t>
  </si>
  <si>
    <t>4184820</t>
  </si>
  <si>
    <t>Rent Billed to Non-Utility Affiliates</t>
  </si>
  <si>
    <t>10q</t>
  </si>
  <si>
    <t>4184825</t>
  </si>
  <si>
    <t>Rent Billed to Utility Affiliates</t>
  </si>
  <si>
    <t>10r</t>
  </si>
  <si>
    <t>4194110</t>
  </si>
  <si>
    <t>Meter Leasing Revenue</t>
  </si>
  <si>
    <t>10s</t>
  </si>
  <si>
    <t>4194115</t>
  </si>
  <si>
    <t>Company Financed Added Facilities</t>
  </si>
  <si>
    <t>10t</t>
  </si>
  <si>
    <t>4194120</t>
  </si>
  <si>
    <t>Company Financed Interconnect Facilities</t>
  </si>
  <si>
    <t>10u</t>
  </si>
  <si>
    <t>4194130</t>
  </si>
  <si>
    <t>SCE Financed Added Faclty</t>
  </si>
  <si>
    <t>10v</t>
  </si>
  <si>
    <t>4194135</t>
  </si>
  <si>
    <t>Interconnect Facility Finance Charge</t>
  </si>
  <si>
    <t>10w</t>
  </si>
  <si>
    <t>4204515</t>
  </si>
  <si>
    <t>Operating Land &amp; Facilities Rent Revenue</t>
  </si>
  <si>
    <t>4867020</t>
  </si>
  <si>
    <t>Nonoperating Misc Land &amp; Facilities Rent</t>
  </si>
  <si>
    <t>454 Total</t>
  </si>
  <si>
    <t>12a</t>
  </si>
  <si>
    <t>12b</t>
  </si>
  <si>
    <t>12c</t>
  </si>
  <si>
    <t>12d</t>
  </si>
  <si>
    <t>4186114</t>
  </si>
  <si>
    <t>Energy Related Services</t>
  </si>
  <si>
    <t>4186118</t>
  </si>
  <si>
    <t>Distribution Miscellaneous Electric Revenues</t>
  </si>
  <si>
    <t>4186120</t>
  </si>
  <si>
    <t>Added Facilities - One Time Charge</t>
  </si>
  <si>
    <t>12e</t>
  </si>
  <si>
    <t>4186122</t>
  </si>
  <si>
    <t>Building Rental - Nev Power/Mohave Cr</t>
  </si>
  <si>
    <t>12f</t>
  </si>
  <si>
    <t>4186126</t>
  </si>
  <si>
    <t>Service Fee - Optimal Bill Prd</t>
  </si>
  <si>
    <t>12g</t>
  </si>
  <si>
    <t>4186128</t>
  </si>
  <si>
    <t>Miscellaneous Revenues</t>
  </si>
  <si>
    <t>12h</t>
  </si>
  <si>
    <t>4186130</t>
  </si>
  <si>
    <t>Tule Power Plant - Revenue</t>
  </si>
  <si>
    <t>12i</t>
  </si>
  <si>
    <t>4186150</t>
  </si>
  <si>
    <t>Utility Subs Labor Markup</t>
  </si>
  <si>
    <t>12j</t>
  </si>
  <si>
    <t>4186155</t>
  </si>
  <si>
    <t>Non Utility Subs Labor Markup</t>
  </si>
  <si>
    <t>12k</t>
  </si>
  <si>
    <t>4186162</t>
  </si>
  <si>
    <t>Reliant Eng FSA Ann Pymnt-Mandalay</t>
  </si>
  <si>
    <t>12l</t>
  </si>
  <si>
    <t>4186164</t>
  </si>
  <si>
    <t>Reliant Eng FSA Ann Pymnt-Ormond Beach</t>
  </si>
  <si>
    <t>12m</t>
  </si>
  <si>
    <t>4186166</t>
  </si>
  <si>
    <t>Reliant Eng FSA Ann Pymnt-Etiwanda</t>
  </si>
  <si>
    <t>12n</t>
  </si>
  <si>
    <t>4186168</t>
  </si>
  <si>
    <t>Reliant Eng FSA Ann Pymnt-Ellwood</t>
  </si>
  <si>
    <t>12o</t>
  </si>
  <si>
    <t>4186170</t>
  </si>
  <si>
    <t>Reliant Eng FSA Ann Pymnt-Coolwater</t>
  </si>
  <si>
    <t>12p</t>
  </si>
  <si>
    <t>4186194</t>
  </si>
  <si>
    <t>Property License Fee revenue</t>
  </si>
  <si>
    <t>12q</t>
  </si>
  <si>
    <t>4186512</t>
  </si>
  <si>
    <t>Revenue From Recreation, Fish &amp; Wildlife</t>
  </si>
  <si>
    <t>12r</t>
  </si>
  <si>
    <t>4186514</t>
  </si>
  <si>
    <t>Mapping Services</t>
  </si>
  <si>
    <t>12s</t>
  </si>
  <si>
    <t>4186518</t>
  </si>
  <si>
    <t>Enhanced Pump Test Revenue</t>
  </si>
  <si>
    <t>12t</t>
  </si>
  <si>
    <t>4186520</t>
  </si>
  <si>
    <t>RTTC Revenue</t>
  </si>
  <si>
    <t>12u</t>
  </si>
  <si>
    <t>4186524</t>
  </si>
  <si>
    <t>Revenue From Scrap Paper - General Office</t>
  </si>
  <si>
    <t>12v</t>
  </si>
  <si>
    <t>4186528</t>
  </si>
  <si>
    <t>CTAC Revenues</t>
  </si>
  <si>
    <t>12w</t>
  </si>
  <si>
    <t>4186530</t>
  </si>
  <si>
    <t>AGTAC Revenues</t>
  </si>
  <si>
    <t>12x</t>
  </si>
  <si>
    <t>Other Inc/erd Party DC-ESM</t>
  </si>
  <si>
    <t>12y</t>
  </si>
  <si>
    <t>3rd Party-Div Tmg-Cr PPD training</t>
  </si>
  <si>
    <t>12z</t>
  </si>
  <si>
    <t>4186716</t>
  </si>
  <si>
    <t>ADT Vendor Service Revenue</t>
  </si>
  <si>
    <t>12aa</t>
  </si>
  <si>
    <t>4186718</t>
  </si>
  <si>
    <t>Read Water Meters - Irvine Ranch</t>
  </si>
  <si>
    <t>12bb</t>
  </si>
  <si>
    <t>4186720</t>
  </si>
  <si>
    <t>Read Water Meters - Rancho California</t>
  </si>
  <si>
    <t>12cc</t>
  </si>
  <si>
    <t>4186722</t>
  </si>
  <si>
    <t>Read Water Meters - Long Beach</t>
  </si>
  <si>
    <t>12dd</t>
  </si>
  <si>
    <t>4186730</t>
  </si>
  <si>
    <t>SSID Transformer Repair Services Revenue</t>
  </si>
  <si>
    <t>12ee</t>
  </si>
  <si>
    <t>4186815</t>
  </si>
  <si>
    <t>Employee Transfer/Affiliate Fee</t>
  </si>
  <si>
    <t>12ff</t>
  </si>
  <si>
    <t>4186910</t>
  </si>
  <si>
    <t>ITCC/CIAC Revenues</t>
  </si>
  <si>
    <t>12gg</t>
  </si>
  <si>
    <t>4186912</t>
  </si>
  <si>
    <t>12hh</t>
  </si>
  <si>
    <t>4186914</t>
  </si>
  <si>
    <t>12ii</t>
  </si>
  <si>
    <t>4186916</t>
  </si>
  <si>
    <t>Offset to Revenue from NDT Earnings/Realized</t>
  </si>
  <si>
    <t>12jj</t>
  </si>
  <si>
    <t>4186918</t>
  </si>
  <si>
    <t>Offset to Revenue from FAS 115 FMV</t>
  </si>
  <si>
    <t>12kk</t>
  </si>
  <si>
    <t>4186920</t>
  </si>
  <si>
    <t>12ll</t>
  </si>
  <si>
    <t>4186922</t>
  </si>
  <si>
    <t>Offset to Revenue from FAS 115-1 Gains &amp; Loss</t>
  </si>
  <si>
    <t>12mm</t>
  </si>
  <si>
    <t>4188712</t>
  </si>
  <si>
    <t>Power Supply Installations - IMS</t>
  </si>
  <si>
    <t>12nn</t>
  </si>
  <si>
    <t>4188714</t>
  </si>
  <si>
    <t>Consulting Fees - IMS</t>
  </si>
  <si>
    <t>12oo</t>
  </si>
  <si>
    <t>4188818</t>
  </si>
  <si>
    <t>FTR Auction Revenue</t>
  </si>
  <si>
    <t>12pp</t>
  </si>
  <si>
    <t>4196105</t>
  </si>
  <si>
    <t>DA Revenue</t>
  </si>
  <si>
    <t>12qq</t>
  </si>
  <si>
    <t>4196154</t>
  </si>
  <si>
    <t>Direct Access Monthly Customer Charges</t>
  </si>
  <si>
    <t>12rr</t>
  </si>
  <si>
    <t>4196158</t>
  </si>
  <si>
    <t>EDBL Customer Finance Added Facilities</t>
  </si>
  <si>
    <t>12ss</t>
  </si>
  <si>
    <t>4196162</t>
  </si>
  <si>
    <t>SCE Energy Manager Fee Based Services</t>
  </si>
  <si>
    <t>12tt</t>
  </si>
  <si>
    <t>4196166</t>
  </si>
  <si>
    <t>SCE Energy Manager Fee Based Services Adj</t>
  </si>
  <si>
    <t>12uu</t>
  </si>
  <si>
    <t>4196172</t>
  </si>
  <si>
    <t>Off Grid Photo Voltaic Revenues</t>
  </si>
  <si>
    <t>12vv</t>
  </si>
  <si>
    <t>4196174</t>
  </si>
  <si>
    <t>Scheduling/Dispatch Revenues</t>
  </si>
  <si>
    <t>12ww</t>
  </si>
  <si>
    <t>4196176</t>
  </si>
  <si>
    <t>Interconnect Facilities Charges-Customer Financed</t>
  </si>
  <si>
    <t>12xx</t>
  </si>
  <si>
    <t>4196178</t>
  </si>
  <si>
    <t>Interconnect Facilities Charges - SCE Financed</t>
  </si>
  <si>
    <t>12yy</t>
  </si>
  <si>
    <t>4196184</t>
  </si>
  <si>
    <t>DMS Service Fees</t>
  </si>
  <si>
    <t>12zz</t>
  </si>
  <si>
    <t>4196188</t>
  </si>
  <si>
    <t>CCA - Information Fees</t>
  </si>
  <si>
    <t>4206515</t>
  </si>
  <si>
    <t>456 Total</t>
  </si>
  <si>
    <t>15a</t>
  </si>
  <si>
    <t>4188112</t>
  </si>
  <si>
    <t>Trans of Elec of Others - Pasadena</t>
  </si>
  <si>
    <t>15b</t>
  </si>
  <si>
    <t>4188114</t>
  </si>
  <si>
    <t>FTS PPU/Non-ISO</t>
  </si>
  <si>
    <t>15c</t>
  </si>
  <si>
    <t>4188116</t>
  </si>
  <si>
    <t>FTS Non-PPU/Non-ISO</t>
  </si>
  <si>
    <t>15d</t>
  </si>
  <si>
    <t>4188812</t>
  </si>
  <si>
    <t>ISO-Wheeling Revenue - Low Voltage</t>
  </si>
  <si>
    <t>15e</t>
  </si>
  <si>
    <t>4188814</t>
  </si>
  <si>
    <t>ISO-Wheeling Revenue - High Voltage</t>
  </si>
  <si>
    <t>15f</t>
  </si>
  <si>
    <t>4188816</t>
  </si>
  <si>
    <t>ISO-Congestion Revenue</t>
  </si>
  <si>
    <t>15g</t>
  </si>
  <si>
    <t>4198110</t>
  </si>
  <si>
    <t>Transmission of Elec of Others</t>
  </si>
  <si>
    <t>15h</t>
  </si>
  <si>
    <t>4198112</t>
  </si>
  <si>
    <t>WDAT</t>
  </si>
  <si>
    <t>15i</t>
  </si>
  <si>
    <t>4198114</t>
  </si>
  <si>
    <t>Radial Line Rev-Base Cost - Reliant Coolwater</t>
  </si>
  <si>
    <t>15j</t>
  </si>
  <si>
    <t>4198115</t>
  </si>
  <si>
    <t>High Voltage Trans Access Rev (Existing Contracts)</t>
  </si>
  <si>
    <t>15k</t>
  </si>
  <si>
    <t>4198116</t>
  </si>
  <si>
    <t>Radial Line Rev-Base Cost - Reliant Ormond Beach</t>
  </si>
  <si>
    <t>15l</t>
  </si>
  <si>
    <t>4198118</t>
  </si>
  <si>
    <t>Radial Line Rev-O&amp;M - AES Huntington Beach</t>
  </si>
  <si>
    <t>15m</t>
  </si>
  <si>
    <t>4198120</t>
  </si>
  <si>
    <t>Radial Line Rev-O&amp;M - Reliant Mandalay</t>
  </si>
  <si>
    <t>15n</t>
  </si>
  <si>
    <t>4198122</t>
  </si>
  <si>
    <t>Radial Line Rev-O&amp;M - Reliant Coolwater</t>
  </si>
  <si>
    <t>15o</t>
  </si>
  <si>
    <t>4198124</t>
  </si>
  <si>
    <t>Radial Line Rev-O&amp;M - Ormond Beach</t>
  </si>
  <si>
    <t>15p</t>
  </si>
  <si>
    <t>4198126</t>
  </si>
  <si>
    <t>High Desert Tie-Line Rental Rev</t>
  </si>
  <si>
    <t>15q</t>
  </si>
  <si>
    <t>4198128</t>
  </si>
  <si>
    <t>Scheduling/Dispatch Revenues (CSS)</t>
  </si>
  <si>
    <t>15r</t>
  </si>
  <si>
    <t>4198130</t>
  </si>
  <si>
    <t>Inland Empire CRT Tie-Line EX</t>
  </si>
  <si>
    <t>15s</t>
  </si>
  <si>
    <t>4198910</t>
  </si>
  <si>
    <t>Reliability Service Revenue - Non-PTO's</t>
  </si>
  <si>
    <t>456.1 Total</t>
  </si>
  <si>
    <t>18a</t>
  </si>
  <si>
    <t>457.1 Total</t>
  </si>
  <si>
    <t>21a</t>
  </si>
  <si>
    <t>457.2 Total</t>
  </si>
  <si>
    <t>Edison Carrier Solutions (ECS)</t>
  </si>
  <si>
    <t>24a</t>
  </si>
  <si>
    <t>ECS - Pass Pole Attachments</t>
  </si>
  <si>
    <t>24b</t>
  </si>
  <si>
    <t>ECS - Distribution Facilities</t>
  </si>
  <si>
    <t>24c</t>
  </si>
  <si>
    <t>ECS - Dark Fiber</t>
  </si>
  <si>
    <t>24d</t>
  </si>
  <si>
    <t>ECS - SCE Net Fiber</t>
  </si>
  <si>
    <t>24e</t>
  </si>
  <si>
    <t>ECS - Transmission Right of Way</t>
  </si>
  <si>
    <t>24f</t>
  </si>
  <si>
    <t>ECS - Wholesale FCC</t>
  </si>
  <si>
    <t>24g</t>
  </si>
  <si>
    <t>24h</t>
  </si>
  <si>
    <t>ECS - EU FCC Rev</t>
  </si>
  <si>
    <t>24i</t>
  </si>
  <si>
    <t>ECS - Cell Site Rent and Use (Active)</t>
  </si>
  <si>
    <t>24j</t>
  </si>
  <si>
    <t>ECS - Cell Site Reimbursable (Active)</t>
  </si>
  <si>
    <t>24k</t>
  </si>
  <si>
    <t>ECS - Communication Sites</t>
  </si>
  <si>
    <t>24l</t>
  </si>
  <si>
    <t>ECS - Cell Site Rent and Use (Passive)</t>
  </si>
  <si>
    <t>24m</t>
  </si>
  <si>
    <t>ECS - Cell Site Reimbursable (Passive)</t>
  </si>
  <si>
    <t>24n</t>
  </si>
  <si>
    <t>ECS - Micro Cell</t>
  </si>
  <si>
    <t>24o</t>
  </si>
  <si>
    <t>ECS - End User Universal Service Fund Fee</t>
  </si>
  <si>
    <t>417 ECS Total</t>
  </si>
  <si>
    <t>417 Other</t>
  </si>
  <si>
    <t>Subsidiaries</t>
  </si>
  <si>
    <t>28a</t>
  </si>
  <si>
    <t>ESI (Gross Revenues - Active)</t>
  </si>
  <si>
    <t>2,9</t>
  </si>
  <si>
    <t>28b</t>
  </si>
  <si>
    <t>ESI (Gross Revenues - Passive)</t>
  </si>
  <si>
    <t>28c</t>
  </si>
  <si>
    <t>Mono Power Company</t>
  </si>
  <si>
    <t>28d</t>
  </si>
  <si>
    <t>SCE Capital Company</t>
  </si>
  <si>
    <t>418.1 Subsidiaries Total</t>
  </si>
  <si>
    <t>Totals</t>
  </si>
  <si>
    <t>Ratepayers' Share of Threshold Revenue</t>
  </si>
  <si>
    <t>= Line 32K</t>
  </si>
  <si>
    <t>see Note 11</t>
  </si>
  <si>
    <t xml:space="preserve">ISO Ratepayers' Share of Threshold Revenue </t>
  </si>
  <si>
    <t>Total Active Incremental Revenue</t>
  </si>
  <si>
    <t>= Sum Active categories in column L</t>
  </si>
  <si>
    <t>Ratepayers' Share of Active Incremental Revenue</t>
  </si>
  <si>
    <t>Total Passive Incremental Revenue</t>
  </si>
  <si>
    <t>= Sum Passive categories in column L</t>
  </si>
  <si>
    <t>Ratepayers' Share of Passive Incremental Revenue</t>
  </si>
  <si>
    <t>Total Ratepayers' Share of Incremental Revenue</t>
  </si>
  <si>
    <t>ISO Ratepayers' Share of Incremental Revenue (%)</t>
  </si>
  <si>
    <t xml:space="preserve">ISO Ratepayers' Share of Incremental Revenue </t>
  </si>
  <si>
    <t>1-</t>
  </si>
  <si>
    <t>2-</t>
  </si>
  <si>
    <t>3-</t>
  </si>
  <si>
    <t>Generation related.</t>
  </si>
  <si>
    <t>4-</t>
  </si>
  <si>
    <t>5-</t>
  </si>
  <si>
    <t>ISO transmission system related.</t>
  </si>
  <si>
    <t>6-</t>
  </si>
  <si>
    <t>Subject to balancing account treatment</t>
  </si>
  <si>
    <t>7-</t>
  </si>
  <si>
    <t>ISO Allocator =</t>
  </si>
  <si>
    <t>8-</t>
  </si>
  <si>
    <t xml:space="preserve">ISO portion of Traditional OOR relates to monthly revenues received from customers for facilities that are part of the ISO network.  </t>
  </si>
  <si>
    <t>9-</t>
  </si>
  <si>
    <t>Edison ESI is a subsidiary company.  Gross revenues are not reported in FF-1, only net earnings.  Net Earnings for ESI are reported on Acct 418.1, pg 225.5e.</t>
  </si>
  <si>
    <t>10-</t>
  </si>
  <si>
    <t>The first $16,671,389 million in gross revenues generated by GRSM activities are automatically classified as Threshold Revenue.</t>
  </si>
  <si>
    <t>11-</t>
  </si>
  <si>
    <t>12-</t>
  </si>
  <si>
    <t>13-</t>
  </si>
  <si>
    <t>14-</t>
  </si>
  <si>
    <t>Gains and Losses on Trans. Plant Held for Future Use -- Land</t>
  </si>
  <si>
    <t>Total Revenue Credits:</t>
  </si>
  <si>
    <t>Prior Year CWIP is the amount of Construction Work In Progress for projects that have received Commission approval</t>
  </si>
  <si>
    <t>Col 9</t>
  </si>
  <si>
    <t>Calculations:</t>
  </si>
  <si>
    <t>See Note 4</t>
  </si>
  <si>
    <t>See Note 5</t>
  </si>
  <si>
    <t>=C7 + C8</t>
  </si>
  <si>
    <t>Previous</t>
  </si>
  <si>
    <t>wo Interest</t>
  </si>
  <si>
    <t>TRR</t>
  </si>
  <si>
    <t>with Interest</t>
  </si>
  <si>
    <t>3) Amortization of September balance over Rate Effective Period:</t>
  </si>
  <si>
    <t>Beginning</t>
  </si>
  <si>
    <t>Ending</t>
  </si>
  <si>
    <t>Balance</t>
  </si>
  <si>
    <t>5) Final True Up Adjustment</t>
  </si>
  <si>
    <t>3) Enter monthly interest rates in accordance with interest rate specified in the regulations of FERC at</t>
  </si>
  <si>
    <t>d) Any Base Transmission Revenue not attributable to this formula.</t>
  </si>
  <si>
    <t>1) Depreciation Expense for Transmission Plant - ISO</t>
  </si>
  <si>
    <t>Col 10</t>
  </si>
  <si>
    <t>Account:</t>
  </si>
  <si>
    <t>1) Calculation of Depreciation Expense for Transmission Plant - ISO</t>
  </si>
  <si>
    <t>Col 11</t>
  </si>
  <si>
    <t>Monthly Depreciation Expense for Transmission Plant - ISO by FERC Account:</t>
  </si>
  <si>
    <t>Balances for Transmission Plant - ISO during the Prior Year, including December of previous year:</t>
  </si>
  <si>
    <t>Total Annual Depreciation Expense for Transmission Plant - ISO:</t>
  </si>
  <si>
    <t>(equals sum of monthly amounts)</t>
  </si>
  <si>
    <t>Total General Plant Depreciation Expense</t>
  </si>
  <si>
    <t>Total Intangible Plant Depreciation Expense</t>
  </si>
  <si>
    <t>FF1 336.10f</t>
  </si>
  <si>
    <t>FF1 336.1f</t>
  </si>
  <si>
    <t>Sum of Total General and Total Intangible Depreciation Expense</t>
  </si>
  <si>
    <t>General and Intangible Depreciation Expense</t>
  </si>
  <si>
    <t>3) General and Intangible Depreciation Expense</t>
  </si>
  <si>
    <t>2) Depreciation Expense for Distribution Plant - ISO</t>
  </si>
  <si>
    <t>Two Incentive Adders are calculated:</t>
  </si>
  <si>
    <t>a) The Prior Year Incentive Adder is a component of the Prior Year TRR.</t>
  </si>
  <si>
    <t xml:space="preserve"> = Sum of all</t>
  </si>
  <si>
    <t>Whirlwind</t>
  </si>
  <si>
    <t>Expansion</t>
  </si>
  <si>
    <t>Col 12</t>
  </si>
  <si>
    <t xml:space="preserve">Colorado </t>
  </si>
  <si>
    <t>River</t>
  </si>
  <si>
    <t>Kramer</t>
  </si>
  <si>
    <t>South of</t>
  </si>
  <si>
    <t>West of</t>
  </si>
  <si>
    <t>Devers</t>
  </si>
  <si>
    <t>1) Enter recorded amounts of CWIP during Prior Year on Lines 1-13, 15-27 (including December of year previous to Prior Year).</t>
  </si>
  <si>
    <t>1) Summary of CWIP Plant in Prior Year and Forecast Period</t>
  </si>
  <si>
    <t>1) Rate Base in Prior Year</t>
  </si>
  <si>
    <t>Net Plant</t>
  </si>
  <si>
    <t>b) Annual Fixed Charge Rate ("AFCR")</t>
  </si>
  <si>
    <t>Net Plant:</t>
  </si>
  <si>
    <t>1) Calculation of Annual Fixed Charge Rates:</t>
  </si>
  <si>
    <t>4) Lugo-Pisgah</t>
  </si>
  <si>
    <t>5) Red Bluff</t>
  </si>
  <si>
    <t>6) Whirlwind Substation Exp.</t>
  </si>
  <si>
    <t>7) Colorado River Sub. Exp.</t>
  </si>
  <si>
    <t>8) South of Kramer</t>
  </si>
  <si>
    <t>9) West of Devers</t>
  </si>
  <si>
    <t>4) Prior Year TIP Net Plant In Service</t>
  </si>
  <si>
    <t>Additions</t>
  </si>
  <si>
    <t>to Prior Year</t>
  </si>
  <si>
    <t>year previous</t>
  </si>
  <si>
    <t>←December of</t>
  </si>
  <si>
    <t>2) Calculation of Depreciation Expense for Distribution Plant - ISO</t>
  </si>
  <si>
    <t>Distribution Plant - ISO BOY</t>
  </si>
  <si>
    <t>Distribution Plant - ISO EOY</t>
  </si>
  <si>
    <t>Average BOY/EOY :</t>
  </si>
  <si>
    <t xml:space="preserve">Total is sum of Depreciation Expense for accounts </t>
  </si>
  <si>
    <t>360, 361, and 362</t>
  </si>
  <si>
    <t>3) Calculation of Depreciation Expense for General Plant and Intangible Plant</t>
  </si>
  <si>
    <t>Depreciation Expense:</t>
  </si>
  <si>
    <t>Depreciation Rates</t>
  </si>
  <si>
    <t>Less</t>
  </si>
  <si>
    <t>Removal</t>
  </si>
  <si>
    <t>Salvage</t>
  </si>
  <si>
    <t>Cost</t>
  </si>
  <si>
    <t>Fee Land</t>
  </si>
  <si>
    <t>Easements</t>
  </si>
  <si>
    <t>Structures and Improvements</t>
  </si>
  <si>
    <t>Station Equipment</t>
  </si>
  <si>
    <t>Poles and Fixtures</t>
  </si>
  <si>
    <t>Overhead Conductors and Devices</t>
  </si>
  <si>
    <t>Underground Conduit</t>
  </si>
  <si>
    <t>Underground Conductors and Devices</t>
  </si>
  <si>
    <t>Roads and Trails</t>
  </si>
  <si>
    <t>Land and Land Rights</t>
  </si>
  <si>
    <t>3) General Plant</t>
  </si>
  <si>
    <t>Office Furniture</t>
  </si>
  <si>
    <t>4) Intangible Plant</t>
  </si>
  <si>
    <t>Hydro Relicensing</t>
  </si>
  <si>
    <t>Radio Frequency</t>
  </si>
  <si>
    <t>Other Intangibles</t>
  </si>
  <si>
    <t>Cap Soft 5yr</t>
  </si>
  <si>
    <t>Cap Soft 7yr</t>
  </si>
  <si>
    <t>Cap Soft 10yr</t>
  </si>
  <si>
    <t>Cap Soft 15yr</t>
  </si>
  <si>
    <t>CLTD = Weighted Cost of Long Term Debt</t>
  </si>
  <si>
    <t>COS = Weighted Cost of Common and Preferred Stock</t>
  </si>
  <si>
    <t>AFCRCWIP =</t>
  </si>
  <si>
    <t>Composite Tax Rate:</t>
  </si>
  <si>
    <t>expressed as a percent.</t>
  </si>
  <si>
    <t>AFCR = (Prior Year TRR - CWIP-related costs) / Net Plant</t>
  </si>
  <si>
    <t>ISO Transmission Plant</t>
  </si>
  <si>
    <t>3) ISO Transmission Plant</t>
  </si>
  <si>
    <t>ISO Transmission Plant is the sum of "Transmission Plant - ISO" and "Distribution Plant - ISO"</t>
  </si>
  <si>
    <t xml:space="preserve">Transmission Depreciation Reserve - ISO </t>
  </si>
  <si>
    <t xml:space="preserve">Distribution Depreciation Reserve - ISO </t>
  </si>
  <si>
    <t>Transmission Plant - ISO:</t>
  </si>
  <si>
    <t>Distribution Plant - ISO:</t>
  </si>
  <si>
    <t>c) Compare costs in (a) to revenues in (b) on a monthly basis and determine "Cumulative Excess (-) or Shortfall (+) in Revenue with Interest".</t>
  </si>
  <si>
    <t>One-Time and</t>
  </si>
  <si>
    <t>wo Interest for</t>
  </si>
  <si>
    <t>for Current</t>
  </si>
  <si>
    <t>Current Month</t>
  </si>
  <si>
    <t>See Note 8</t>
  </si>
  <si>
    <t>See Note 9</t>
  </si>
  <si>
    <t>See Note 10</t>
  </si>
  <si>
    <t>=C3 + C4</t>
  </si>
  <si>
    <t>See Note 11</t>
  </si>
  <si>
    <t>=C5 + C6</t>
  </si>
  <si>
    <t>= - C4</t>
  </si>
  <si>
    <t>Received (+)/</t>
  </si>
  <si>
    <t>Amortization</t>
  </si>
  <si>
    <t>Returned (-)</t>
  </si>
  <si>
    <t>Total Amortization in Rate Effective Period (See Instruction #4):</t>
  </si>
  <si>
    <t>Shortfall or Excess Revenue in Prior Year:</t>
  </si>
  <si>
    <t>Column 8, Line 52</t>
  </si>
  <si>
    <t>TRR AAF</t>
  </si>
  <si>
    <t>See Note 13</t>
  </si>
  <si>
    <t>1) Enter applicable years on Column 1, Lines 11-31 and 40-51.</t>
  </si>
  <si>
    <t>2) Enter Previous Period True Up Adjustment (if any) on Column 4, Lines 20-31.  See Note 4 for definition of Previous Period True Up Adjustment.</t>
  </si>
  <si>
    <t>Enter with the same sign as in previous Informational Update.  If there is no Previous Period True Up Adjustment, then enter $0 in these cells.</t>
  </si>
  <si>
    <t>4) Enter "Total Amortization" amount on Line 54, column 6 to set September Month Ending Balance Column 7, Line 51 equal to $0.  Iterate if necessary to solve.</t>
  </si>
  <si>
    <t>(i.e., so that the Month Beginning Balance in Column 3, Line 40 is completely amortized away by the Amortization amounts in Column 4).</t>
  </si>
  <si>
    <t>SCE shall also include that difference in the True Up Adjustment, including interest, at the first opportunity, in accordance with tariff protocols.</t>
  </si>
  <si>
    <t>Actual Retail Base Transmission Revenues for any months not included in True Up Period.</t>
  </si>
  <si>
    <t>3) "Actual Retail Base Transmission Revenues" are SCE retail transmission revenues attributable to this formula transmission rate.</t>
  </si>
  <si>
    <t>4) The "Previous Period True Up Adjustment" are the values of the "True Up Adjustment Received/Returned" in the previous Informational Filing (Same sign).</t>
  </si>
  <si>
    <t>These are the 12 monthly values of the "True Up Adjustment Received/Returned" in Column 8, Lines 40 -51 from the previous Informational Filing,</t>
  </si>
  <si>
    <t>They are input into Column 4, lines 20-31 of this current Informational Filing, corresponding to the Rate Effective Period of the previous Informational Filing.</t>
  </si>
  <si>
    <t>6) "Cumulative Excess (-) or Shortfall (+) in Revenue wo Interest for Current Month" is: 1) in month 1, the amount in Column 5;</t>
  </si>
  <si>
    <t>and 2) in subsequent months is the amount in Column 9 for previous month plus the current month amount in Column 5.</t>
  </si>
  <si>
    <t>7) Interest for Current Month is calculated on average of beginning and ending balances (Column 9 previous month and Column 7 current month).</t>
  </si>
  <si>
    <t>(First month average is 1/2 of ending balance).</t>
  </si>
  <si>
    <t>8) The Interest Rate in Rate Effective Period is equal to average of interest rates in previous 12 months (lines 20-31).</t>
  </si>
  <si>
    <t>9) The "Month Beginning Balance"  is Month Ending Balance from previous month in Column 7 (October is from Column 9, Line 31).</t>
  </si>
  <si>
    <t>Transmission Dep. Reserve - ISO:</t>
  </si>
  <si>
    <t>Distribution Dep. Reserve - ISO:</t>
  </si>
  <si>
    <t>Determination of Net Plant:</t>
  </si>
  <si>
    <t>a) Annual Fixed Charge Rate for CWIP ("AFCRCWIP")</t>
  </si>
  <si>
    <t>Calculation of Incremental Forecast Period TRR ("IFPTRR")</t>
  </si>
  <si>
    <t>NETWORK UPGRADE CREDIT AND INTEREST EXPENSE</t>
  </si>
  <si>
    <t>Outstanding Network Upgrade Credits Recorded in FERC Acct 252</t>
  </si>
  <si>
    <t>Acct 252 Other</t>
  </si>
  <si>
    <t>Total Acct 252</t>
  </si>
  <si>
    <t>FF-1 total for Acct 252 - Customer Advances for Construction 
 (Must equal Line 3)</t>
  </si>
  <si>
    <t>FF-1 total for Acct 252 - Customer Advances for Construction 
(Must equal Line 7)</t>
  </si>
  <si>
    <t>FF1 113.56c</t>
  </si>
  <si>
    <t>Average Outstanding Network Upgrade Credits Beginning and End of Year</t>
  </si>
  <si>
    <t>Interest On Network Upgrade Credits Recorded in FERC Acct 242</t>
  </si>
  <si>
    <t>Acct 242 Other</t>
  </si>
  <si>
    <t>Total Acct 242</t>
  </si>
  <si>
    <t>FF-1 total for Acct 242 - Miscellaneous Current and Accrued Liabilities
(Must equal Line 12)</t>
  </si>
  <si>
    <t>FF1 113.48c</t>
  </si>
  <si>
    <t>Wtd. Cost of Long Term Debt:</t>
  </si>
  <si>
    <t>Wtd. Cost of Common + Pref. Stock:</t>
  </si>
  <si>
    <t>The AFCR is calculated by dividing the Prior Year TRR (without CWIP related costs)</t>
  </si>
  <si>
    <t>by Net Plant:</t>
  </si>
  <si>
    <t>Overview</t>
  </si>
  <si>
    <t>ROR</t>
  </si>
  <si>
    <t>Depreciation</t>
  </si>
  <si>
    <t>DepRates</t>
  </si>
  <si>
    <t>PlantInService</t>
  </si>
  <si>
    <t>PlantStudy</t>
  </si>
  <si>
    <t>PHFU</t>
  </si>
  <si>
    <t>AbandonedPlant</t>
  </si>
  <si>
    <t>IncentivePlant</t>
  </si>
  <si>
    <t>IncentiveAdder</t>
  </si>
  <si>
    <t>PlantAdditions</t>
  </si>
  <si>
    <t>IFPTRR</t>
  </si>
  <si>
    <t>TrueUpAdjust</t>
  </si>
  <si>
    <t>WorkCap</t>
  </si>
  <si>
    <t>AccDep</t>
  </si>
  <si>
    <t>OandM</t>
  </si>
  <si>
    <t>AandG</t>
  </si>
  <si>
    <t>pursuant to Commission acceptance of an SCE FPA Section 205 filing to revise the authorized PBOPs expense,</t>
  </si>
  <si>
    <t>(Sum of Col 1 to Col 4)</t>
  </si>
  <si>
    <t>Beginning of Year Balances are from December of the year previous to the Prior Year.</t>
  </si>
  <si>
    <t>1) Beginning of Year Balances: (Note 1)</t>
  </si>
  <si>
    <t>2) End of Year Balances: (Note 2)</t>
  </si>
  <si>
    <t>End of Year Balances are from December of the Prior Year.</t>
  </si>
  <si>
    <t>100% Abandoned Plant:</t>
  </si>
  <si>
    <t>A) Rancho Vista Incentives Received:</t>
  </si>
  <si>
    <t>B) Tehachapi Incentives Received:</t>
  </si>
  <si>
    <t>Cite:</t>
  </si>
  <si>
    <t>C) Devers to  Colorado River Incentives Received:</t>
  </si>
  <si>
    <t>D) Devers to  Palo Verde 2 Incentives Received:</t>
  </si>
  <si>
    <t>E) Eldorado Ivanpah Incentives Received:</t>
  </si>
  <si>
    <t>F) Lugo Pisgah Incentives Received:</t>
  </si>
  <si>
    <t>G) Red Bluff Incentives Received:</t>
  </si>
  <si>
    <t>H) Whirlwind Substation Expansion Incentives Received:</t>
  </si>
  <si>
    <t>I) Colorado River Substation Expansion Incentives Received:</t>
  </si>
  <si>
    <t>J) South of Kramer Incentives Received:</t>
  </si>
  <si>
    <t>K) West of Devers Incentives Received:</t>
  </si>
  <si>
    <t>L) Future Incentive Projects</t>
  </si>
  <si>
    <t>Commission decision.</t>
  </si>
  <si>
    <t>in accordance with the tariff protocols.  Accordingly, any amount different than the authorized PBOPs</t>
  </si>
  <si>
    <t>RevenueCredits</t>
  </si>
  <si>
    <t>NUCs</t>
  </si>
  <si>
    <t>RegAssets</t>
  </si>
  <si>
    <t>FFU</t>
  </si>
  <si>
    <t>Allocators</t>
  </si>
  <si>
    <t>TaxRates</t>
  </si>
  <si>
    <t>WholesaleTRRs</t>
  </si>
  <si>
    <t>Wholesale Rates</t>
  </si>
  <si>
    <t>HVLV</t>
  </si>
  <si>
    <t>GrossLoad</t>
  </si>
  <si>
    <t>RetailRates</t>
  </si>
  <si>
    <t>ROE incentive, for each million dollars of Incentive Net Plant.  It is calculated according to the following formula:</t>
  </si>
  <si>
    <t>1) Calculation of Transmission Wages and Salaries Allocation Factor</t>
  </si>
  <si>
    <t>2) Calculation of Transmission Plant Allocation Factor</t>
  </si>
  <si>
    <t xml:space="preserve">Transmission </t>
  </si>
  <si>
    <t>Plant - ISO</t>
  </si>
  <si>
    <t>Total Plant In Service</t>
  </si>
  <si>
    <t>HV and LV Gross Plant Percentages:</t>
  </si>
  <si>
    <t xml:space="preserve">Total Wages and Salaries wo A&amp;G </t>
  </si>
  <si>
    <t>Franchise Fee Factor:</t>
  </si>
  <si>
    <t>Reference:</t>
  </si>
  <si>
    <t>Table of Contents</t>
  </si>
  <si>
    <t>Worksheet Name</t>
  </si>
  <si>
    <t>BaseTRR</t>
  </si>
  <si>
    <t>Base TRR Components.</t>
  </si>
  <si>
    <t>Determination of Capital Structure</t>
  </si>
  <si>
    <t>Calculation of Depreciation Expense</t>
  </si>
  <si>
    <t>Presentation of Depreciation Rates</t>
  </si>
  <si>
    <t xml:space="preserve">Determination of Plant In Service balances </t>
  </si>
  <si>
    <t>Calculation of Abandoned Plant</t>
  </si>
  <si>
    <t>Summary of Incentive Plant balances in the Prior Year</t>
  </si>
  <si>
    <t>Calculation of the Incremental Forecast Period TRR</t>
  </si>
  <si>
    <t>Calculation of the True Up Adjustment</t>
  </si>
  <si>
    <t>Calculation of Accumulated Depreciation</t>
  </si>
  <si>
    <t>Calculation of Operations and Maintenance Expense</t>
  </si>
  <si>
    <t>Calculation of Revenue Credits</t>
  </si>
  <si>
    <t>Calculation of Regulatory Assets/Liabilities and Regulatory Debits</t>
  </si>
  <si>
    <t>Calculation of Composite Tax Rate</t>
  </si>
  <si>
    <t>Calculation of Franchise Fees Factor and Uncollectibles Expense Factor</t>
  </si>
  <si>
    <t>Calculation of components of SCE's Wholesale TRR</t>
  </si>
  <si>
    <t>Calculation of High and Low Voltage percentages of Gross Plant</t>
  </si>
  <si>
    <t>Presentation of forecast Gross Load for wholesale rate calculations</t>
  </si>
  <si>
    <t>Calculation of retail transmission rates</t>
  </si>
  <si>
    <t xml:space="preserve">Calculation of Materials and Supplies and Prepayments </t>
  </si>
  <si>
    <t>Gain negative, loss positive</t>
  </si>
  <si>
    <t>Partial Year</t>
  </si>
  <si>
    <t>Net Gain (Loss) From Purchase and Tender Offers</t>
  </si>
  <si>
    <t>Amortization of Net Gain (Loss)  From Purchases and Tender Offers</t>
  </si>
  <si>
    <t>Amortization Issuance Costs</t>
  </si>
  <si>
    <t>Retail Base TRR:</t>
  </si>
  <si>
    <t>1) Derivation of "Total Demand Rate" and "Total Energy Rate":</t>
  </si>
  <si>
    <t>Note 3</t>
  </si>
  <si>
    <t>Note 13</t>
  </si>
  <si>
    <t>Forecast Billing Determinants:</t>
  </si>
  <si>
    <t>Forecast Billing Determinants</t>
  </si>
  <si>
    <t>CPUC Rate Group</t>
  </si>
  <si>
    <t>12-CP factors</t>
  </si>
  <si>
    <t>Total Allocated costs</t>
  </si>
  <si>
    <t>Sales (GWh)</t>
  </si>
  <si>
    <t>Total demand rates - $/kW-month</t>
  </si>
  <si>
    <t>Total energy rates - $/kWh</t>
  </si>
  <si>
    <t>1d</t>
  </si>
  <si>
    <t>1e</t>
  </si>
  <si>
    <t>1f</t>
  </si>
  <si>
    <t>TOU-8-SEC</t>
  </si>
  <si>
    <t>1g</t>
  </si>
  <si>
    <t>TOU-8-PRI</t>
  </si>
  <si>
    <t>1h</t>
  </si>
  <si>
    <r>
      <t>TOU-8-SUB</t>
    </r>
    <r>
      <rPr>
        <vertAlign val="superscript"/>
        <sz val="10"/>
        <rFont val="Arial"/>
        <family val="2"/>
      </rPr>
      <t xml:space="preserve"> includes 220 kV</t>
    </r>
  </si>
  <si>
    <t>1i</t>
  </si>
  <si>
    <t>1j</t>
  </si>
  <si>
    <t>1k</t>
  </si>
  <si>
    <t>1l</t>
  </si>
  <si>
    <t>TOU-PA-5</t>
  </si>
  <si>
    <t>1m</t>
  </si>
  <si>
    <t>Street Lighting</t>
  </si>
  <si>
    <t>1n</t>
  </si>
  <si>
    <t>Note 4</t>
  </si>
  <si>
    <t>1o</t>
  </si>
  <si>
    <t>1p</t>
  </si>
  <si>
    <t>1q</t>
  </si>
  <si>
    <t>Ag TOU &lt;= 200 kW</t>
  </si>
  <si>
    <t>1r</t>
  </si>
  <si>
    <t>Ag TOU &gt; 200 kW</t>
  </si>
  <si>
    <t>1s</t>
  </si>
  <si>
    <t>2) Determination of Standby Demand Rates for Rate Groups with Directly-Allocated Costs</t>
  </si>
  <si>
    <t>Note 5</t>
  </si>
  <si>
    <t>Note 6</t>
  </si>
  <si>
    <t>Note 7</t>
  </si>
  <si>
    <t>Total Allocated Costs</t>
  </si>
  <si>
    <t>13a</t>
  </si>
  <si>
    <t>13b</t>
  </si>
  <si>
    <t>13c</t>
  </si>
  <si>
    <r>
      <t>13c</t>
    </r>
    <r>
      <rPr>
        <b/>
        <vertAlign val="subscript"/>
        <sz val="10"/>
        <rFont val="Arial"/>
        <family val="2"/>
      </rPr>
      <t>1</t>
    </r>
  </si>
  <si>
    <r>
      <t xml:space="preserve">     TOU-8-SUB</t>
    </r>
    <r>
      <rPr>
        <vertAlign val="superscript"/>
        <sz val="10"/>
        <rFont val="Arial"/>
        <family val="2"/>
      </rPr>
      <t xml:space="preserve"> below 220 kV</t>
    </r>
  </si>
  <si>
    <r>
      <t>13c</t>
    </r>
    <r>
      <rPr>
        <b/>
        <vertAlign val="subscript"/>
        <sz val="10"/>
        <rFont val="Arial"/>
        <family val="2"/>
      </rPr>
      <t>2</t>
    </r>
  </si>
  <si>
    <r>
      <t xml:space="preserve">     TOU-8-SUB</t>
    </r>
    <r>
      <rPr>
        <vertAlign val="superscript"/>
        <sz val="10"/>
        <rFont val="Arial"/>
        <family val="2"/>
      </rPr>
      <t xml:space="preserve"> 220 kV</t>
    </r>
  </si>
  <si>
    <t>13d</t>
  </si>
  <si>
    <r>
      <t>13d</t>
    </r>
    <r>
      <rPr>
        <b/>
        <vertAlign val="subscript"/>
        <sz val="10"/>
        <rFont val="Arial"/>
        <family val="2"/>
      </rPr>
      <t>1</t>
    </r>
  </si>
  <si>
    <r>
      <t>13d</t>
    </r>
    <r>
      <rPr>
        <b/>
        <vertAlign val="subscript"/>
        <sz val="10"/>
        <rFont val="Arial"/>
        <family val="2"/>
      </rPr>
      <t>2</t>
    </r>
  </si>
  <si>
    <t>Note 8</t>
  </si>
  <si>
    <t>Note 9</t>
  </si>
  <si>
    <t>Note 10</t>
  </si>
  <si>
    <t>Note 11</t>
  </si>
  <si>
    <t>Note 12</t>
  </si>
  <si>
    <t>Energy Charge - $/kWh</t>
  </si>
  <si>
    <t>Standby demand Charge - $/kW-month</t>
  </si>
  <si>
    <t>Maximum demand Charge - $/kW-month (excess Standby)</t>
  </si>
  <si>
    <t>Standby demand Charge - $/HP-month</t>
  </si>
  <si>
    <t>Maximum demand Charge - $/HP-month (excess Standby)</t>
  </si>
  <si>
    <t>TOU-8-SUB</t>
  </si>
  <si>
    <r>
      <t>24h</t>
    </r>
    <r>
      <rPr>
        <b/>
        <vertAlign val="subscript"/>
        <sz val="10"/>
        <rFont val="Arial"/>
        <family val="2"/>
      </rPr>
      <t>1</t>
    </r>
  </si>
  <si>
    <r>
      <t>24h</t>
    </r>
    <r>
      <rPr>
        <b/>
        <vertAlign val="subscript"/>
        <sz val="10"/>
        <rFont val="Arial"/>
        <family val="2"/>
      </rPr>
      <t>2</t>
    </r>
  </si>
  <si>
    <t>24p</t>
  </si>
  <si>
    <r>
      <t>24p</t>
    </r>
    <r>
      <rPr>
        <b/>
        <vertAlign val="subscript"/>
        <sz val="10"/>
        <rFont val="Arial"/>
        <family val="2"/>
      </rPr>
      <t>1</t>
    </r>
  </si>
  <si>
    <r>
      <t>24p</t>
    </r>
    <r>
      <rPr>
        <b/>
        <vertAlign val="subscript"/>
        <sz val="10"/>
        <rFont val="Arial"/>
        <family val="2"/>
      </rPr>
      <t>2</t>
    </r>
  </si>
  <si>
    <t>24r</t>
  </si>
  <si>
    <t>24s</t>
  </si>
  <si>
    <t>1) See Lines 28a, 28b, etc.</t>
  </si>
  <si>
    <t xml:space="preserve"> (i.e., using sum of "Maximum Demand" and "Standby Demand" of each).</t>
  </si>
  <si>
    <t>Rate Schedules in each CPUC Rate Group:</t>
  </si>
  <si>
    <t>Rate Schedules included in Each Rate Group in the Rate Effective Period</t>
  </si>
  <si>
    <t>27a</t>
  </si>
  <si>
    <t>27b</t>
  </si>
  <si>
    <t>Domestic Con't.</t>
  </si>
  <si>
    <t>27c</t>
  </si>
  <si>
    <t>27d</t>
  </si>
  <si>
    <t>27e</t>
  </si>
  <si>
    <t>27f</t>
  </si>
  <si>
    <t>27g</t>
  </si>
  <si>
    <t>27h</t>
  </si>
  <si>
    <t>27i</t>
  </si>
  <si>
    <r>
      <t>27i</t>
    </r>
    <r>
      <rPr>
        <b/>
        <vertAlign val="subscript"/>
        <sz val="10"/>
        <rFont val="Arial"/>
        <family val="2"/>
      </rPr>
      <t>1</t>
    </r>
  </si>
  <si>
    <r>
      <t>27i</t>
    </r>
    <r>
      <rPr>
        <b/>
        <vertAlign val="subscript"/>
        <sz val="10"/>
        <rFont val="Arial"/>
        <family val="2"/>
      </rPr>
      <t>2</t>
    </r>
  </si>
  <si>
    <t>27j</t>
  </si>
  <si>
    <t>27k</t>
  </si>
  <si>
    <t>27l</t>
  </si>
  <si>
    <t>27m</t>
  </si>
  <si>
    <t>27n</t>
  </si>
  <si>
    <t>27o</t>
  </si>
  <si>
    <t>27p</t>
  </si>
  <si>
    <t>27q</t>
  </si>
  <si>
    <r>
      <t>27q</t>
    </r>
    <r>
      <rPr>
        <b/>
        <vertAlign val="subscript"/>
        <sz val="10"/>
        <rFont val="Arial"/>
        <family val="2"/>
      </rPr>
      <t>1</t>
    </r>
  </si>
  <si>
    <r>
      <t>27q</t>
    </r>
    <r>
      <rPr>
        <b/>
        <vertAlign val="subscript"/>
        <sz val="10"/>
        <rFont val="Arial"/>
        <family val="2"/>
      </rPr>
      <t>2</t>
    </r>
  </si>
  <si>
    <t>27r</t>
  </si>
  <si>
    <t>27s</t>
  </si>
  <si>
    <t>27t</t>
  </si>
  <si>
    <t>27u</t>
  </si>
  <si>
    <t>27v</t>
  </si>
  <si>
    <t>Recorded 12-CP Load Data by Rate Group (MW)</t>
  </si>
  <si>
    <t>Three-Year Average</t>
  </si>
  <si>
    <t>Line losses</t>
  </si>
  <si>
    <t>28e</t>
  </si>
  <si>
    <t>28f</t>
  </si>
  <si>
    <t>28g</t>
  </si>
  <si>
    <t>28h</t>
  </si>
  <si>
    <t>28i</t>
  </si>
  <si>
    <t>28j</t>
  </si>
  <si>
    <t>28k</t>
  </si>
  <si>
    <t>28l</t>
  </si>
  <si>
    <t>28m</t>
  </si>
  <si>
    <t>28n</t>
  </si>
  <si>
    <t>28o</t>
  </si>
  <si>
    <t>28p</t>
  </si>
  <si>
    <t>28q</t>
  </si>
  <si>
    <t>28r</t>
  </si>
  <si>
    <t>28s</t>
  </si>
  <si>
    <t>28t</t>
  </si>
  <si>
    <t>28u</t>
  </si>
  <si>
    <t>Loss Adjusted</t>
  </si>
  <si>
    <t>30a</t>
  </si>
  <si>
    <t>30b</t>
  </si>
  <si>
    <t>30c</t>
  </si>
  <si>
    <r>
      <t>30c</t>
    </r>
    <r>
      <rPr>
        <b/>
        <vertAlign val="subscript"/>
        <sz val="10"/>
        <rFont val="Arial"/>
        <family val="2"/>
      </rPr>
      <t>1</t>
    </r>
  </si>
  <si>
    <r>
      <t>30c</t>
    </r>
    <r>
      <rPr>
        <b/>
        <vertAlign val="subscript"/>
        <sz val="10"/>
        <rFont val="Arial"/>
        <family val="2"/>
      </rPr>
      <t>2</t>
    </r>
  </si>
  <si>
    <t>30d</t>
  </si>
  <si>
    <t>30e</t>
  </si>
  <si>
    <t>30f</t>
  </si>
  <si>
    <r>
      <t>30f</t>
    </r>
    <r>
      <rPr>
        <b/>
        <vertAlign val="subscript"/>
        <sz val="10"/>
        <rFont val="Arial"/>
        <family val="2"/>
      </rPr>
      <t>1</t>
    </r>
  </si>
  <si>
    <r>
      <t>30f</t>
    </r>
    <r>
      <rPr>
        <b/>
        <vertAlign val="subscript"/>
        <sz val="10"/>
        <rFont val="Arial"/>
        <family val="2"/>
      </rPr>
      <t>2</t>
    </r>
  </si>
  <si>
    <t>24q</t>
  </si>
  <si>
    <t>Calculation of Plant Held for Future Use</t>
  </si>
  <si>
    <t>Plant In Service</t>
  </si>
  <si>
    <t>13-Mo. Avg:</t>
  </si>
  <si>
    <t>Sum C2 - C4</t>
  </si>
  <si>
    <t>Average:</t>
  </si>
  <si>
    <t>G&amp;I Plant</t>
  </si>
  <si>
    <t>c) Any refunds attributable to SCE's previous CWIP TRR cases (Docket Nos. ER08-375, ER09-187, ER10-160, and ER11-1952), not previously returned to customers.</t>
  </si>
  <si>
    <t>Calculation of Network Upgrade Credits and Network Upgrade Interest Expense</t>
  </si>
  <si>
    <t>Forecast Additions to Net Plant</t>
  </si>
  <si>
    <t>Calculation of SCE's Wholesale transmission rates</t>
  </si>
  <si>
    <t>Towers and Fixtures</t>
  </si>
  <si>
    <t xml:space="preserve">1) Upon Commission approval of any incentives for additional projects, add additional projects and provide cite to the </t>
  </si>
  <si>
    <t>General + Elec. Misc. Intangible Plant</t>
  </si>
  <si>
    <t>Late Payment Charge- Comm. &amp; Ind.</t>
  </si>
  <si>
    <t>HV Transmission Lines</t>
  </si>
  <si>
    <t xml:space="preserve">     Commission, but may not be in effect until 2013.</t>
  </si>
  <si>
    <t>Schedule</t>
  </si>
  <si>
    <t>TRANSMISSION PLANT HELD FOR FUTURE USE</t>
  </si>
  <si>
    <t>Partial Year TRR Attribution Allocation Factors:</t>
  </si>
  <si>
    <t>10) Amortization equals amount in Line 54 divided by 12 each month.  See Instruction #4 also for further detail.</t>
  </si>
  <si>
    <t>3) The True Up Adjustment is a component of the Base TRR that reflects the difference between projected and</t>
  </si>
  <si>
    <t>Initial Prior Year?:</t>
  </si>
  <si>
    <t>If Initial Prior Year, enter "Yes", else "No"</t>
  </si>
  <si>
    <t>Any gain or loss on non-land portions of Transmission Plant Held for Future Use is not included.</t>
  </si>
  <si>
    <t>list on lines 2a, 2b, etc.  Provide description in Column 1.  Note type of plant (land or other) in Column 2.</t>
  </si>
  <si>
    <t>Under "Source" (Column 5), state the line number on FERC Form 1 page 214 from which the amount is derived.</t>
  </si>
  <si>
    <t xml:space="preserve">3) Add additional lines 2 i, j, k, etc. as necessary to include additional projects intended to be placed under the </t>
  </si>
  <si>
    <t>See Note 2.</t>
  </si>
  <si>
    <t>General</t>
  </si>
  <si>
    <t>Intangible</t>
  </si>
  <si>
    <t>FF1 206.99.b and 204.5b</t>
  </si>
  <si>
    <t>b) EOY G&amp;I Plant</t>
  </si>
  <si>
    <t xml:space="preserve">a) BOY/EOY Average G&amp;I Plant </t>
  </si>
  <si>
    <t>FF1 page 214.47d</t>
  </si>
  <si>
    <t>1) Amount of Line 1 not intended to be placed under the Operational Control of the ISO.</t>
  </si>
  <si>
    <t xml:space="preserve">Accumulated Deferred Income Taxes </t>
  </si>
  <si>
    <t>Reason</t>
  </si>
  <si>
    <t>FF1 277.19k</t>
  </si>
  <si>
    <t>Account 282</t>
  </si>
  <si>
    <t>Account 283</t>
  </si>
  <si>
    <t>Account 190</t>
  </si>
  <si>
    <t>FF1 234.18c</t>
  </si>
  <si>
    <t>Effective State</t>
  </si>
  <si>
    <t>Tax Rate</t>
  </si>
  <si>
    <t>Ratio of SCE</t>
  </si>
  <si>
    <t>Sum C2 - C11</t>
  </si>
  <si>
    <t>Total Distribution</t>
  </si>
  <si>
    <t>FF1 113.56d</t>
  </si>
  <si>
    <t>1) Latest SCE approved sales forecast as of April 15 of each year.</t>
  </si>
  <si>
    <t>2) SCE pump load forecast as of April 15 of each year.</t>
  </si>
  <si>
    <t>1) Prior Year CWIP, Total and by Project</t>
  </si>
  <si>
    <t>Def Operating Land &amp; Facilities Rent Rev</t>
  </si>
  <si>
    <t>FF-1 Total for Account 456.1 - Revenues from Trans. Of Electricity of Others, p300.22b (Must Equal Line 16)</t>
  </si>
  <si>
    <t>FF-1 Total for Acct 450 - Forfeited Discounts, p300.16b (Must Equal Line 2)
(Must Equal Line X)</t>
  </si>
  <si>
    <t>FF-1 Total for Acct 451 - Misc. Service Revenues, p300.17b 
(Must Equal Line 5)</t>
  </si>
  <si>
    <t>FF-1 Total for Acct 453 - Sales of Water and Power, p300.18b
(Must Equal Line 8)</t>
  </si>
  <si>
    <t>FF-1 Total for Acct 454 - Rent from Elec. Property, p300.19b
(Must Equal Line 11)</t>
  </si>
  <si>
    <t>FF-1 Total for Acct 456 - Other electric Revenues, p300.21b
(Must Equal Line 13)</t>
  </si>
  <si>
    <t>FF-1 Total for Account 457.1 - Regional Control Service Revenues, p300.23b (Must Equal Line 19)</t>
  </si>
  <si>
    <t>FF-1 Total for Account 457.2- Miscellaneous Revenues, p300.24b 
(Must Equal Line 22)</t>
  </si>
  <si>
    <t>FF-1 Total for Account 418.1 -Equity in Earnings of Subsidiary Companies, p117.36c (Must Equal Line 29 + 30)</t>
  </si>
  <si>
    <t>FF-1 Total for Account 417 - Revenues From Nonutility Operations  p117.33c (Must Equal Line 25 + 26)</t>
  </si>
  <si>
    <t>Calculation of the Contribution of CWIP to the Base TRR</t>
  </si>
  <si>
    <t>Cost of Capital Rate:</t>
  </si>
  <si>
    <t>Return:</t>
  </si>
  <si>
    <t>ROE Adder %:</t>
  </si>
  <si>
    <t>ROE Adder Tehachapi:</t>
  </si>
  <si>
    <t>ROE Adder DCR:</t>
  </si>
  <si>
    <t>FF Factor:</t>
  </si>
  <si>
    <t>U Factor:</t>
  </si>
  <si>
    <t>2) Summary of Prior Year Incentive Rate Base amounts (EOY Values)</t>
  </si>
  <si>
    <t>d) ROE Incentives:</t>
  </si>
  <si>
    <t>2) Devers to Colorado River</t>
  </si>
  <si>
    <t>2) Contribution from the Incremental Forecast Period TRR</t>
  </si>
  <si>
    <t>b) Return:</t>
  </si>
  <si>
    <t>Tehachapi:</t>
  </si>
  <si>
    <t>Devers to Colorado River:</t>
  </si>
  <si>
    <t>Eldorado Ivanpah:</t>
  </si>
  <si>
    <t>Lugo-Pisgah:</t>
  </si>
  <si>
    <t>Red Bluff:</t>
  </si>
  <si>
    <t>Whirlwind Sub Expansion:</t>
  </si>
  <si>
    <t>Colorado River Sub Expansion:</t>
  </si>
  <si>
    <t>South of Kramer:</t>
  </si>
  <si>
    <t>West of Devers:</t>
  </si>
  <si>
    <t>PY Total Return, Taxes, Incentive:</t>
  </si>
  <si>
    <t>Total without FF&amp;U:</t>
  </si>
  <si>
    <t>Total Contribution of CWIP to Retail Base TRR:</t>
  </si>
  <si>
    <t>Transmission Revenues: (Note 12)</t>
  </si>
  <si>
    <t>13) Only include Base Transmission Revenue attributable to this formula transmission rate.</t>
  </si>
  <si>
    <t>14) Other Transmission Revenue includes the following:</t>
  </si>
  <si>
    <t>12) Only provide if formula was in effect during Prior Year.</t>
  </si>
  <si>
    <t>See Note 14</t>
  </si>
  <si>
    <t>Operations and Maintenance Expenses</t>
  </si>
  <si>
    <t>1) Determination of Adjusted Operations and Maintenance Expenses for each account (Note 1)</t>
  </si>
  <si>
    <t>= C3 + C4</t>
  </si>
  <si>
    <t>= C7 + C8</t>
  </si>
  <si>
    <t>= C10 + C11</t>
  </si>
  <si>
    <t>= C3 + C7</t>
  </si>
  <si>
    <t>= C4 + C8</t>
  </si>
  <si>
    <t>Account/Work Activity  Rev</t>
  </si>
  <si>
    <t>Total Recorded O&amp;M Expenses</t>
  </si>
  <si>
    <t>Adjustments</t>
  </si>
  <si>
    <t>Adjusted Recorded O&amp;M Expenses</t>
  </si>
  <si>
    <t>Labor</t>
  </si>
  <si>
    <t>Non-Labor</t>
  </si>
  <si>
    <t>Transmission Accounts</t>
  </si>
  <si>
    <t>560 - Operations Engineering</t>
  </si>
  <si>
    <t>560 - Sylmar/Palo Verde</t>
  </si>
  <si>
    <t>561.000 Load Dispatching</t>
  </si>
  <si>
    <t>561.100 Load Dispatch-Reliability</t>
  </si>
  <si>
    <t>561.200 Load Dispatch Monitor and Operate Trans. System</t>
  </si>
  <si>
    <t>561.400 Scheduling, System Control and Dispatch Services</t>
  </si>
  <si>
    <t>561.500 Reliability, Planning and Standards Development</t>
  </si>
  <si>
    <t>562 - MOGS Station Expense</t>
  </si>
  <si>
    <t>562 - Operating Transmission Stations</t>
  </si>
  <si>
    <t>562 - Routine Testing and Inspection</t>
  </si>
  <si>
    <t>562 - Sylmar/Palo Verde</t>
  </si>
  <si>
    <t>563 - Inspect and Patrol Line</t>
  </si>
  <si>
    <t>564 - Underground Line Expense</t>
  </si>
  <si>
    <t>565 - Wheeling Costs</t>
  </si>
  <si>
    <t>565 - WAPA Transmission for Remote Service</t>
  </si>
  <si>
    <t>565 - Transmission for Four Corners</t>
  </si>
  <si>
    <t>566 - ISO/RSBA/TSP Balancing Accounts</t>
  </si>
  <si>
    <t>566 - NERC/CIP Compliance</t>
  </si>
  <si>
    <t>566 - Transmission Regulatory Policy</t>
  </si>
  <si>
    <t>566 - FERC Regulation &amp; Contracts</t>
  </si>
  <si>
    <t>566 - Grid Contract Management</t>
  </si>
  <si>
    <t>566 - Sylmar/Palo Verde/Other General Functions</t>
  </si>
  <si>
    <t>567 - Line Rents</t>
  </si>
  <si>
    <t>567 - Morongo Lease</t>
  </si>
  <si>
    <t>567 - Eldorado</t>
  </si>
  <si>
    <t>567 - Sylmar/Palo Verde</t>
  </si>
  <si>
    <t>568 - Maintenance Supervision and Engineering</t>
  </si>
  <si>
    <t>568 - Sylmar/Palo Verde</t>
  </si>
  <si>
    <t>569 - Maintenance of Structures</t>
  </si>
  <si>
    <t>569.100 Hardware</t>
  </si>
  <si>
    <t>569.200 Software</t>
  </si>
  <si>
    <t>569.300 Communication</t>
  </si>
  <si>
    <t>569 - Sylmar/Palo Verde</t>
  </si>
  <si>
    <t>570 - Maintenance of Power Transformers</t>
  </si>
  <si>
    <t>570 - Maintenance of Transmission Circuit Breakers</t>
  </si>
  <si>
    <t>570 - Maintenance of Transmission Voltage Equipment</t>
  </si>
  <si>
    <t>570 - Maintenance of Miscellaneous Transmission Equipment</t>
  </si>
  <si>
    <t>570 - Sylmar/Palo Verde</t>
  </si>
  <si>
    <t>571 - Poles and Structures</t>
  </si>
  <si>
    <t>571 - Insulators and Conductors</t>
  </si>
  <si>
    <t xml:space="preserve">571 - Transmission Line Rights of Way </t>
  </si>
  <si>
    <t>571 - Sylmar/Palo Verde</t>
  </si>
  <si>
    <t>572 - Maintenance of Underground Transmission Lines</t>
  </si>
  <si>
    <t>572 - Sylmar/Palo Verde</t>
  </si>
  <si>
    <t>573 - Provision for Property Damage Expense to Trans. Fac.</t>
  </si>
  <si>
    <t>Total Transmission O&amp;M</t>
  </si>
  <si>
    <t>Distribution Accounts</t>
  </si>
  <si>
    <t>582 - Operation and Relay Protection of Distribution Substations</t>
  </si>
  <si>
    <t>582 - Testing and Inspecting Distribution Substation Equipment</t>
  </si>
  <si>
    <t>590 - Maintenance Supervision and Engineering</t>
  </si>
  <si>
    <t>591 - Maintenance of Structures</t>
  </si>
  <si>
    <t>592 - Maintenance of Distribution Transformers</t>
  </si>
  <si>
    <t>592 - Maintenance of Distribution Circuit Breakers</t>
  </si>
  <si>
    <t>592 - Maintenance of Distribution Voltage Control Equipment</t>
  </si>
  <si>
    <t>592 - Maintenance of Miscellaneous Distribution Equipment</t>
  </si>
  <si>
    <t>Accounts with no ISO Distribution Costs</t>
  </si>
  <si>
    <t>Total Distribution O&amp;M</t>
  </si>
  <si>
    <t>Total Transmission and Distribution O&amp;M</t>
  </si>
  <si>
    <t>Total Transmission O&amp;M Expenses in FERC Form 1:</t>
  </si>
  <si>
    <t>FF1 321.112b</t>
  </si>
  <si>
    <t>Total Distribution O&amp;M Expenses in FERC Form 1:</t>
  </si>
  <si>
    <t>FF1322.156b</t>
  </si>
  <si>
    <t>From C9 above</t>
  </si>
  <si>
    <t>From C10 above</t>
  </si>
  <si>
    <t>From C11 above</t>
  </si>
  <si>
    <t>ISO O&amp;M Expenses</t>
  </si>
  <si>
    <t>Total Transmission - ISO O&amp;M</t>
  </si>
  <si>
    <t>Total Distribution - ISO O&amp;M</t>
  </si>
  <si>
    <t>1) "Adjusted Operations and Maintenance Expenses for each account" are the total amounts of O&amp;M costs booked to each Transmission or Distribution account, less adjustments as noted.</t>
  </si>
  <si>
    <t>2) Reasons for excluded amounts:</t>
  </si>
  <si>
    <t>A: Exclude entire amount, all attributable to CAISO costs recovered in Energy Resource Recovery Account.</t>
  </si>
  <si>
    <t>B: Exclude amount related to MOGS Station Expense.</t>
  </si>
  <si>
    <t>C: Exclude amount attributable to CAISO costs recovered in Energy Resource Recovery Account.</t>
  </si>
  <si>
    <t>D: Exclude amount recovered through to Reliability Services Balancing Account, the Transmission Access Charge Balancing Account Adjustment,</t>
  </si>
  <si>
    <t>3) Input most recent available ratios based on</t>
  </si>
  <si>
    <t xml:space="preserve">      taxable income from state return filings.</t>
  </si>
  <si>
    <t>Remaining Electric Payroll Tax Expense to Allocate</t>
  </si>
  <si>
    <t>BOY:</t>
  </si>
  <si>
    <t>EOY:</t>
  </si>
  <si>
    <t>BOY/EOY Average:</t>
  </si>
  <si>
    <t xml:space="preserve">Depreciation </t>
  </si>
  <si>
    <t>Reserve</t>
  </si>
  <si>
    <t>a) Average BOY/EOY General and Intangible Depreciation Reserve</t>
  </si>
  <si>
    <t>Total G+I Dep. Reserve on Average BOY/EOY basis:</t>
  </si>
  <si>
    <t>G + I Plant Dep. Reserve (BOY/EOY Average):</t>
  </si>
  <si>
    <t>Total G+I Dep. Reserve on Average EOY basis:</t>
  </si>
  <si>
    <t>G + I Plant Dep. Reserve (EOY):</t>
  </si>
  <si>
    <t>Calculation of Wholesale Difference to the Base TRR</t>
  </si>
  <si>
    <t xml:space="preserve">The Wholesale Difference to the Base TRR represents the amount by which the Wholesale Base TRR differs as </t>
  </si>
  <si>
    <t>If the annual amortization affects Income Taxes, there is an additional annual Income Tax Effect.  The table</t>
  </si>
  <si>
    <t>summarizes these impacts for each item:</t>
  </si>
  <si>
    <t xml:space="preserve">Expense </t>
  </si>
  <si>
    <t>(Amortization)</t>
  </si>
  <si>
    <t>Tax Impact</t>
  </si>
  <si>
    <t>a) Depreciation</t>
  </si>
  <si>
    <t>b) Taxes Deferred -Make Up Adjustment (South Georgia)</t>
  </si>
  <si>
    <t>d) Taxes Deferred - Acct. 282 ACRS/MACRS</t>
  </si>
  <si>
    <t>e) Uncollectibles Expense</t>
  </si>
  <si>
    <t>1) Calculation of Wholesale Rate Base Difference and Wholesale Rate Base Adjustment</t>
  </si>
  <si>
    <t>a) Quantification of the Initial 2010 Wholesale Rate Base Difference and annual change</t>
  </si>
  <si>
    <t>The difference between Retail and Wholesale Rate Base is attributable to the following four items, with</t>
  </si>
  <si>
    <t>with the Initial Prior Year 2010 Rate Base differences and annual changes as follows:</t>
  </si>
  <si>
    <t>2010 Rate Base</t>
  </si>
  <si>
    <t>Annual</t>
  </si>
  <si>
    <t>(Wholesale</t>
  </si>
  <si>
    <t>Change</t>
  </si>
  <si>
    <t>less Retail)</t>
  </si>
  <si>
    <t>1) Accumulated Depreciation</t>
  </si>
  <si>
    <t>Fixed values</t>
  </si>
  <si>
    <t>2) Taxes Deferred - Make Up Adjustment</t>
  </si>
  <si>
    <t>4) Taxes Deferred - Acct. 282 ACRS/MACRS</t>
  </si>
  <si>
    <t>b) Quantification of the Wholesale Rate Base Adjustment</t>
  </si>
  <si>
    <t>the Wholesale Rate Base Difference for the Prior Year.</t>
  </si>
  <si>
    <t>Notes/Instructions</t>
  </si>
  <si>
    <t>Fixed Charge Rate</t>
  </si>
  <si>
    <t>Wholesale Rate Base Difference for Prior Year</t>
  </si>
  <si>
    <t>Wholesale Rate Base Adjustment</t>
  </si>
  <si>
    <t>a) Calculation of the Wholesale South Georgia Income Tax Adjustment to the TRR</t>
  </si>
  <si>
    <t>South Georgia Amortization</t>
  </si>
  <si>
    <t>Total Expense Difference:</t>
  </si>
  <si>
    <t>3) Calculation of the Wholesale Difference to the Base TRR</t>
  </si>
  <si>
    <t>Expense Difference</t>
  </si>
  <si>
    <t>Wholesale Difference to the Base TRR:</t>
  </si>
  <si>
    <t>Notes/Instructions:</t>
  </si>
  <si>
    <t>1) Fixed Charge Rate of capital and income tax costs associated with $1 of Rate Base</t>
  </si>
  <si>
    <t>is defined elsewhere in this formula as "AFCRCWIP".</t>
  </si>
  <si>
    <t>WholesaleDifference</t>
  </si>
  <si>
    <t>Calculation of the Wholesale Difference to the Base TRR</t>
  </si>
  <si>
    <t>Franchise Fee Exclusion</t>
  </si>
  <si>
    <t>Wholesale Difference to the Base TRR</t>
  </si>
  <si>
    <t xml:space="preserve">Base TRR (Retail) </t>
  </si>
  <si>
    <t>Amount to apply the Transmission W&amp;S AF:</t>
  </si>
  <si>
    <t>Transmission W&amp;S AF Portion of A&amp;G:</t>
  </si>
  <si>
    <t>Department</t>
  </si>
  <si>
    <t>A&amp;G</t>
  </si>
  <si>
    <t>Trans. And Dist. Business Unit</t>
  </si>
  <si>
    <t>Total Amount</t>
  </si>
  <si>
    <t>2) Determination of ISO Operations and Maintenance Expenses for each account (Note 5).</t>
  </si>
  <si>
    <t>Joint Pole - Aud - Unauth Penalty</t>
  </si>
  <si>
    <t>Microwave Agreement</t>
  </si>
  <si>
    <t>Miscellaneous Adjustments</t>
  </si>
  <si>
    <t>-</t>
  </si>
  <si>
    <t>Tax Gross Up Factor</t>
  </si>
  <si>
    <t>It represents the effect on expenses (Wholesale less Retail) of amortizing the associated balances each year.</t>
  </si>
  <si>
    <t>CALCULATION OF SCE WHOLESALE HIGH AND LOW VOLTAGE TRRS</t>
  </si>
  <si>
    <t>Gross Load =</t>
  </si>
  <si>
    <t>LV TRR =</t>
  </si>
  <si>
    <t>Low Voltage Access Charge =</t>
  </si>
  <si>
    <t>Low Voltage Wheeling Access Charge =</t>
  </si>
  <si>
    <t>High Voltage Utility-Specific Rate =</t>
  </si>
  <si>
    <t>HV Wholesale TRR =</t>
  </si>
  <si>
    <t>Sum of Monthly Peak Demands:</t>
  </si>
  <si>
    <t>HV Existing Contracts Access Charge:</t>
  </si>
  <si>
    <t>LV Wholesale TRR =</t>
  </si>
  <si>
    <t>LV Existing Contracts Access Charge:</t>
  </si>
  <si>
    <t>a) CWIP Balances:</t>
  </si>
  <si>
    <t>CWIP Amount:</t>
  </si>
  <si>
    <t>Cost of Capital:</t>
  </si>
  <si>
    <t>Equity ROR w Preferred Stock ("ER"):</t>
  </si>
  <si>
    <t>Tehachapi CWIP Amount:</t>
  </si>
  <si>
    <t>ROE  Adder $:</t>
  </si>
  <si>
    <t>ROE Adder $ = (CWIP/$1,000,000) * IREF * (ROE Adder/1%)</t>
  </si>
  <si>
    <t>PYTRR</t>
  </si>
  <si>
    <t>1) Contribution to the Prior Year TRR</t>
  </si>
  <si>
    <t>Cost of</t>
  </si>
  <si>
    <t>Income</t>
  </si>
  <si>
    <t>Capital</t>
  </si>
  <si>
    <t>Taxes</t>
  </si>
  <si>
    <t>a) Total of all CWIP projects</t>
  </si>
  <si>
    <t>b) Individual Project Contribution</t>
  </si>
  <si>
    <t>b) Individual CWIP Project Contribution to the Retail Base TRR</t>
  </si>
  <si>
    <t>FF&amp;U</t>
  </si>
  <si>
    <t>Direct CWIP Related Costs:</t>
  </si>
  <si>
    <t>Calculation of SCE Wholesale Rates (See Note 1)</t>
  </si>
  <si>
    <t>1) SCE's wholesale rates are subject to revision upon acceptance by the Commission of a revised TRBAA</t>
  </si>
  <si>
    <t xml:space="preserve">1) TRBAA is "Transmission Revenue Balancing Account Adjustment".  The TRBAA is determined pursuant to SCE's </t>
  </si>
  <si>
    <t>amount, or upon the date the Commission orders.</t>
  </si>
  <si>
    <t>Determination of Prior Year TRR without CWIP related costs:</t>
  </si>
  <si>
    <t>a) Determination of CWIP-Related Costs</t>
  </si>
  <si>
    <t>1) Direct (without ROE adder) CWIP costs</t>
  </si>
  <si>
    <t>2) CWIP ROE Adder costs:</t>
  </si>
  <si>
    <t>DCR CWIP Amount:</t>
  </si>
  <si>
    <t>Tehachapi ROE  Adder $:</t>
  </si>
  <si>
    <t>Tehachapi ROE Adder %:</t>
  </si>
  <si>
    <t>DCR ROE Adder %:</t>
  </si>
  <si>
    <t>DCR ROE  Adder $:</t>
  </si>
  <si>
    <t>IREF:</t>
  </si>
  <si>
    <t>b) Determination of AFCR:</t>
  </si>
  <si>
    <t>CWIPTRR</t>
  </si>
  <si>
    <t>Calculation of Contribution of CWIP to TRRs</t>
  </si>
  <si>
    <t>Overview of SCE Retail Base TRR</t>
  </si>
  <si>
    <t>3) The True Up Adjustment for the initial Base TRR is $0.</t>
  </si>
  <si>
    <t xml:space="preserve">1) Depreciation Expense for each account for each month is equal to the previous month balance of Transmission Plant - ISO for that </t>
  </si>
  <si>
    <t>2) Enter total amounts of plant from FERC Form 1 in Column 1, "Total Plant".</t>
  </si>
  <si>
    <t xml:space="preserve">1) Determine Prior Year Incentive Adder for each Incentive Project by multiplying the </t>
  </si>
  <si>
    <t>Forecast Plant Additions for In-Service ISO Transmission Plant</t>
  </si>
  <si>
    <t xml:space="preserve">Forecast Plant Additions represents the total increase in ISO Transmission Net Plant, not including CWIP, </t>
  </si>
  <si>
    <t>AFCRCWIP represents the return and income tax costs associated with $1 of CWIP,</t>
  </si>
  <si>
    <t>CWIP Plant - Prior Year:</t>
  </si>
  <si>
    <t>Prior Year TRR wo CWIP Related Costs:</t>
  </si>
  <si>
    <t>Percent</t>
  </si>
  <si>
    <t>Percentage</t>
  </si>
  <si>
    <t xml:space="preserve">the formula shall be weighted by the number of days each such rate was in effect.  For example, a 35% rate </t>
  </si>
  <si>
    <t xml:space="preserve"> ((.3500 x 120) + (.4000 x 245))/365 = .3836.</t>
  </si>
  <si>
    <t xml:space="preserve">in effect for 120 days superseded by a 40% rate in effect for the remainder of the year will be calculated as: </t>
  </si>
  <si>
    <t>1) In the event that statutory marginal tax rates change during the Prior Year, the effective tax rate used in</t>
  </si>
  <si>
    <t>Summary of Split of T&amp;D Plant into ISO and Non-ISO</t>
  </si>
  <si>
    <t>Total without FF&amp;U</t>
  </si>
  <si>
    <t>IFPTRR without FF&amp;U:</t>
  </si>
  <si>
    <t>Franchise Fees Expense:</t>
  </si>
  <si>
    <t>Uncollectibles Expense:</t>
  </si>
  <si>
    <t>Uncollectibles Expense -- Prior Year TRR</t>
  </si>
  <si>
    <t>Uncollectibles Expense -- IFPTRR</t>
  </si>
  <si>
    <t>FF&amp;U:</t>
  </si>
  <si>
    <t>CWIP component of IFPTRR without FF&amp;U:</t>
  </si>
  <si>
    <t>CWIP component of IFPTRR including FF&amp;U:</t>
  </si>
  <si>
    <t xml:space="preserve">Note 4: </t>
  </si>
  <si>
    <t>Franchise Fees Expenses component of the Prior Year TRR are based on Franchise Fee Factors.</t>
  </si>
  <si>
    <t>State Taxable</t>
  </si>
  <si>
    <t>Income to SCE</t>
  </si>
  <si>
    <t>Taxable Income</t>
  </si>
  <si>
    <t>FF</t>
  </si>
  <si>
    <t>= Sum C1 to C4</t>
  </si>
  <si>
    <t>FF&amp;U Expenses:</t>
  </si>
  <si>
    <t>CWIP Related Costs wo FF&amp;U:</t>
  </si>
  <si>
    <t>CWIP Related Costs with FF&amp;U:</t>
  </si>
  <si>
    <t>= Retail Base TRR * Line 1:Col 1</t>
  </si>
  <si>
    <t>Applies to kWh charges</t>
  </si>
  <si>
    <t>Applies to monthly maximum kW demand charges</t>
  </si>
  <si>
    <t>Maximum demand (excess CRC) - MW</t>
  </si>
  <si>
    <t>Standby demand (CRC) - MW</t>
  </si>
  <si>
    <t>220 kV Maximum demand (excess CRC) - MW</t>
  </si>
  <si>
    <t>220 kV Standby demand (CRC) - MW</t>
  </si>
  <si>
    <t>TOU-8-SEC (Standby)</t>
  </si>
  <si>
    <t>TOU-8-PRI (Standby)</t>
  </si>
  <si>
    <r>
      <t>TOU-8-SUB  (Standby)</t>
    </r>
    <r>
      <rPr>
        <vertAlign val="superscript"/>
        <sz val="10"/>
        <rFont val="Arial"/>
        <family val="2"/>
      </rPr>
      <t xml:space="preserve"> includes 220 kV</t>
    </r>
  </si>
  <si>
    <t>from</t>
  </si>
  <si>
    <t>from Line 1:</t>
  </si>
  <si>
    <t>(Col 5, Col 9)</t>
  </si>
  <si>
    <t>Allocation to Maximum kW demand (Excess CRC)</t>
  </si>
  <si>
    <t>Allocation to contract Standby kW demand</t>
  </si>
  <si>
    <t>Standby demand (CRC) rates - $/kW</t>
  </si>
  <si>
    <t>Note 15</t>
  </si>
  <si>
    <r>
      <t>TOU-8-SUB (Standby)</t>
    </r>
    <r>
      <rPr>
        <vertAlign val="superscript"/>
        <sz val="10"/>
        <rFont val="Arial"/>
        <family val="2"/>
      </rPr>
      <t xml:space="preserve"> includes 220 kV</t>
    </r>
  </si>
  <si>
    <r>
      <t xml:space="preserve">     TOU-8-SUB (Standby)</t>
    </r>
    <r>
      <rPr>
        <vertAlign val="superscript"/>
        <sz val="10"/>
        <rFont val="Arial"/>
        <family val="2"/>
      </rPr>
      <t xml:space="preserve"> below 220 kV</t>
    </r>
  </si>
  <si>
    <r>
      <t xml:space="preserve">     TOU-8-SUB</t>
    </r>
    <r>
      <rPr>
        <vertAlign val="superscript"/>
        <sz val="10"/>
        <rFont val="Arial"/>
        <family val="2"/>
      </rPr>
      <t xml:space="preserve"> (Standby) 220 kV</t>
    </r>
  </si>
  <si>
    <t>Line 1:Col 2</t>
  </si>
  <si>
    <t>Note 14</t>
  </si>
  <si>
    <t>Maximum demand revenue (excess CRC)</t>
  </si>
  <si>
    <t>Standby demand (CRC)</t>
  </si>
  <si>
    <t>TOU-8-SUB (Standby)</t>
  </si>
  <si>
    <r>
      <t xml:space="preserve">     TOU-8-SUB (Standby)</t>
    </r>
    <r>
      <rPr>
        <vertAlign val="superscript"/>
        <sz val="10"/>
        <rFont val="Arial"/>
        <family val="2"/>
      </rPr>
      <t xml:space="preserve"> 220 kV</t>
    </r>
  </si>
  <si>
    <t xml:space="preserve">     TOU-8-SUB (below 220 kV) to TOU-8-SUB (includes 220 kV). TOU-8-SUB (220 kV) is derived by subtracting the TOU-8-SUB (below 220 kV) from The total allocated costs TOU-8-SUB (includes 220 kV).</t>
  </si>
  <si>
    <t xml:space="preserve">     See corresponding Line 13:Col 4.</t>
  </si>
  <si>
    <t xml:space="preserve">     See corresponding Line 13:Col 5.</t>
  </si>
  <si>
    <t xml:space="preserve">      equals to the Standby Demand Rate from corresponding Line 13:Col 7.</t>
  </si>
  <si>
    <t>=(Col 1 + Col 2 + Col 3) / 3</t>
  </si>
  <si>
    <t>12-CP MW</t>
  </si>
  <si>
    <t>Loss Adjusted Average 12-CP</t>
  </si>
  <si>
    <t>Allocation Factors for Backup Rates:</t>
  </si>
  <si>
    <t>= (Col 1 * Col 3)</t>
  </si>
  <si>
    <t>= (Col 2 * Col 3)</t>
  </si>
  <si>
    <t>Total 12-CP (07-09 average)</t>
  </si>
  <si>
    <t xml:space="preserve">Backup demand (07-09 average) </t>
  </si>
  <si>
    <t>Total 12-CP</t>
  </si>
  <si>
    <t>Backup 12-CP</t>
  </si>
  <si>
    <t>Retail Rate Group</t>
  </si>
  <si>
    <t>12-CP Allocation Percentage</t>
  </si>
  <si>
    <t>Allocated Retail Base TRR ($)</t>
  </si>
  <si>
    <t>Forecast Sales (GWh)</t>
  </si>
  <si>
    <t>Forecast Maximum Demand (MW)</t>
  </si>
  <si>
    <t>Forecast Standby Demand (MW)</t>
  </si>
  <si>
    <t>from Line 1:Col 1</t>
  </si>
  <si>
    <t>from Line 1:Col 2</t>
  </si>
  <si>
    <t>from Line 1:Col 3</t>
  </si>
  <si>
    <t>from Line 1:(Col 4,Col 8)</t>
  </si>
  <si>
    <t>from Line 1:(Col 5,Col 9)</t>
  </si>
  <si>
    <t>from Line 24:Col 5</t>
  </si>
  <si>
    <t>from Line 24:Col 6</t>
  </si>
  <si>
    <t>from Line 24:Col 7</t>
  </si>
  <si>
    <t>31a</t>
  </si>
  <si>
    <t>31b</t>
  </si>
  <si>
    <t>31c</t>
  </si>
  <si>
    <t>31d</t>
  </si>
  <si>
    <t>31e</t>
  </si>
  <si>
    <t>31f</t>
  </si>
  <si>
    <t>31g</t>
  </si>
  <si>
    <t>31h</t>
  </si>
  <si>
    <t>31i</t>
  </si>
  <si>
    <t>31j</t>
  </si>
  <si>
    <t>31k</t>
  </si>
  <si>
    <t>31l</t>
  </si>
  <si>
    <t>31m</t>
  </si>
  <si>
    <t>31n</t>
  </si>
  <si>
    <t>31o</t>
  </si>
  <si>
    <t>System Total</t>
  </si>
  <si>
    <t>Forecasted kWh Charge Revenue ($)</t>
  </si>
  <si>
    <t>Forecasted Monthly Maximum Demand Revenue ($)</t>
  </si>
  <si>
    <t>Forecasted Monthly Standby demand Revenue ($M)</t>
  </si>
  <si>
    <t>Forecasted Total Retail Base Transmission Revenue ($)</t>
  </si>
  <si>
    <t>32a</t>
  </si>
  <si>
    <t>32b</t>
  </si>
  <si>
    <t>32c</t>
  </si>
  <si>
    <t>32d</t>
  </si>
  <si>
    <t>32e</t>
  </si>
  <si>
    <t>32f</t>
  </si>
  <si>
    <t>32g</t>
  </si>
  <si>
    <t>32h</t>
  </si>
  <si>
    <t>32i</t>
  </si>
  <si>
    <t>32j</t>
  </si>
  <si>
    <t>32k</t>
  </si>
  <si>
    <t>32l</t>
  </si>
  <si>
    <t>32m</t>
  </si>
  <si>
    <t>32n</t>
  </si>
  <si>
    <t>32o</t>
  </si>
  <si>
    <t>siting, or informational purposes in column 1.</t>
  </si>
  <si>
    <t>4) Calculation of True-Up Incentive Adder</t>
  </si>
  <si>
    <t xml:space="preserve">1) Determine True Up Incentive Adder for each Incentive Project by multiplying the </t>
  </si>
  <si>
    <t>True-Up Incentive Adder =</t>
  </si>
  <si>
    <t>True Up Incentive Adder</t>
  </si>
  <si>
    <t xml:space="preserve">(HV Allocation Factor and </t>
  </si>
  <si>
    <t>571 - Transmission Work Order Related Expense</t>
  </si>
  <si>
    <t>Unamortized Issuance Costs</t>
  </si>
  <si>
    <t>Minus Net Gain (Loss) From Purchase and Tender Offers</t>
  </si>
  <si>
    <t>Less Unappropriated Undist. Sub. Earnings -- Acct. 216.1</t>
  </si>
  <si>
    <t>Less Accumulated Other Comprehensive Loss -- Account 219</t>
  </si>
  <si>
    <t>Calculation of Preferred Stock Amount</t>
  </si>
  <si>
    <t>Calculation of Cost of Preferred Stock</t>
  </si>
  <si>
    <t>June</t>
  </si>
  <si>
    <t>Col 13</t>
  </si>
  <si>
    <t>Col 14</t>
  </si>
  <si>
    <t>Note 18</t>
  </si>
  <si>
    <t>Applies to monthly contracted standby kW demand charges</t>
  </si>
  <si>
    <t>from Line1:Col 2</t>
  </si>
  <si>
    <t>from Line 30:Col 4</t>
  </si>
  <si>
    <t>from Line 30:Col 5</t>
  </si>
  <si>
    <t>Note 16</t>
  </si>
  <si>
    <t>Note 17</t>
  </si>
  <si>
    <t>5) For non-demand Schedules, "Total Energy Rate - $/kWh" = Line 1:Col 2 / (Line 1:Col 3) * 1,000,000.</t>
  </si>
  <si>
    <t>6) For demand Schedules, "Total Demand Rate - $/kW" = Line 1:Col 2 / (Line 1:(Col 4 + Col 5)) * 1,000.</t>
  </si>
  <si>
    <t xml:space="preserve"> However, the demand Rate for "TOU-8-Sub" which includes "220 kV" are calculated together </t>
  </si>
  <si>
    <t xml:space="preserve">7) These Rate Groups are being proposed in SCE's 2012 General Rate Case at the California Public Utilities </t>
  </si>
  <si>
    <t xml:space="preserve">8) TOU-8-SUB (below 220 kV) is derived by multiplying the total allocated costs of TOU-8-Sub (includes 220 kV) of Col 1, by the ratio of the Total 12-CP (Line 13:Col 2) pertains to </t>
  </si>
  <si>
    <t xml:space="preserve">9)Line 13:(Col 1 - Col 5). </t>
  </si>
  <si>
    <t>10) Line 13:Col 1 * Line 13:(Col 3 / Col 2).</t>
  </si>
  <si>
    <t>11) Line 13:(Col 5 / Col 6) * 1,000.</t>
  </si>
  <si>
    <t>12) Line 24:(Col 1 - Col 3).  However, for  TOU-8-SEC, TOU-8-Pri, TOU-8-SUB (includes 220 kV), TOU-8-SUB (below 220 kV), TOU-8-SUB (220 kV)</t>
  </si>
  <si>
    <t>13) Line 1:Col 5 * Line 24:Col 7 * 1,000.  However, for  TOU-8-SEC, TOU-8-Pri, TOU-8-SUB (includes 220 kV), TOU-8-SUB (below 220 kV), TOU-8-SUB (220 kV)</t>
  </si>
  <si>
    <t>14) From Line 1:Col 6 (applicable to all kWh usage).</t>
  </si>
  <si>
    <t xml:space="preserve">    And TOU-8-SUB (220 kV) is equal to the corresponding Line 24:Col 2 / Line 1:Col 8 * 1,000.</t>
  </si>
  <si>
    <t>16) Minimum of (TOU-8-SEC from Line 13:Col 7, or corresponding Line 1:Col 7).  However, for TOU-8-SEC, TOU-8-Pri, TOU-8-SUB (below 220 kV), TOU-8-SUB (220 kV)</t>
  </si>
  <si>
    <t>17) Applicable to Connected Load options in $/HP (Horsepower).  Connected load rate is equal to the $/kW in corresponding Line 24:(Col 6,Col 7) time 75%.</t>
  </si>
  <si>
    <t>18) 220 kV service is part of the TOU-8-SUB rate group, however, intervening parties in the CPUC proceedings agreed to identify these customers for rate design treatment purposes</t>
  </si>
  <si>
    <t>Line 31:(Col 3 * Col 6) * 10^6</t>
  </si>
  <si>
    <t>Line 31:(Col 4 * Col 7) * 1,000</t>
  </si>
  <si>
    <t>Line 31:(Col 5 * Col 8) * 1,000</t>
  </si>
  <si>
    <t>Line 32:(Col 1 + Col 2 + Col 3)</t>
  </si>
  <si>
    <t>from Line 1: Col 3</t>
  </si>
  <si>
    <t>= Col 4*Col 5/Col 6 * Col 7</t>
  </si>
  <si>
    <t>= Col 8 / Sum of Col 8</t>
  </si>
  <si>
    <t>Sales Forecast - GWh</t>
  </si>
  <si>
    <t>= C2 + C3</t>
  </si>
  <si>
    <t>IREF = CSCP * 0.01 * (1/(1 - CTR)) * $1,000,000</t>
  </si>
  <si>
    <t>CPUC Jurisdictional service related.</t>
  </si>
  <si>
    <t>CWIP component of IFPTRR wo FF&amp;U:</t>
  </si>
  <si>
    <t>c) Individual CWIP Project Contribution to the Wholesale Base TRR</t>
  </si>
  <si>
    <t>wo FF&amp;U</t>
  </si>
  <si>
    <t>with FF&amp;U</t>
  </si>
  <si>
    <t>6) Same as Note 5 except no Uncollectibles Expense in Column 3.</t>
  </si>
  <si>
    <t>Total Contribution of CWIP to Wholesale Base TRR:</t>
  </si>
  <si>
    <t>Franchise Fees Amount:</t>
  </si>
  <si>
    <t>Uncollectibles Amount:</t>
  </si>
  <si>
    <t>3) Total Contribution of CWIP to the Retail and Wholesale Base TRRs:</t>
  </si>
  <si>
    <t>A) Rate Base for True Up TRR</t>
  </si>
  <si>
    <t>d) True Up TRR Calculation</t>
  </si>
  <si>
    <t>Total without True Up Incentive Adder</t>
  </si>
  <si>
    <t>True Up TRR wo FF:</t>
  </si>
  <si>
    <t>True Up TRR:</t>
  </si>
  <si>
    <t>a) Attribute True Up TRR to months in the Prior Year (see Note #1) to determine "Monthly True Up TRR"</t>
  </si>
  <si>
    <t>b) Determine monthly retail transmission revenues attributable to this formula transmission rate received during Prior Year.</t>
  </si>
  <si>
    <t>2) Comparison of True Up TRR and Actual Retail Transmission Revenues received during the Prior Year,</t>
  </si>
  <si>
    <t>1) The true up period is the portion (all or part) of the Prior Year for which the Formula Transmission Rate was in effect.</t>
  </si>
  <si>
    <t>2) The Monthly True Up TRR is derived by multiplying the annual True Up TRR on Line 1 by 1/12, if formula was in effect.  In the event of</t>
  </si>
  <si>
    <t xml:space="preserve">b) In the event that a Commission Order revises SCE's True Up TRR for a previous Prior Year, </t>
  </si>
  <si>
    <t xml:space="preserve">8) If true up period is less than entire calendar year, then adjust calculation accordingly by including $0 Monthly True Up TRR and for </t>
  </si>
  <si>
    <t>TUTRR</t>
  </si>
  <si>
    <t>Calculation of the True Up TRR</t>
  </si>
  <si>
    <t>2) Prior Year Incentive Rate Base - End of Year</t>
  </si>
  <si>
    <t>3) Prior Year Incentive Rate Base - 13-Month Average</t>
  </si>
  <si>
    <t>3) Summary of Prior Year Incentive Rate Base amounts (13-Month Average values)</t>
  </si>
  <si>
    <t>a) CWIP Plant during the Prior Year is included in Rate Base (used in Prior Year TRR and True Up TRR).</t>
  </si>
  <si>
    <t xml:space="preserve">c) CWIP Plant receiving an ROE adder contributes to Prior Year Incentive Rate Base - EOY, </t>
  </si>
  <si>
    <t>or Prior Year Incentive Rate Base - 13 Month Average as appropriate.</t>
  </si>
  <si>
    <t>e) "TIP Net Plant In Service" in PY is used to calculate the Prior Year Incentive Rate Base (on 13-month average basis).</t>
  </si>
  <si>
    <t>d) "TIP Net Plant In Service" at EOY Prior Year is used to calculate the PY Incentive Rate Base (on EOY basis).</t>
  </si>
  <si>
    <t>b) The True Up Incentive Adder is a component of the True Up TRR.</t>
  </si>
  <si>
    <t>IREF, the Multiplicative Factor, and the million $ of True Up Incentive Net Plant.</t>
  </si>
  <si>
    <t>1) CWIP Contribution to the Prior Year TRR and True Up TRR</t>
  </si>
  <si>
    <t>e) Total of Return, Income Taxes, and ROE Incentives contribution to PYTRR and True Up TRR</t>
  </si>
  <si>
    <t>f) Contribution from each Project to the Prior Year TRR and True Up TRR</t>
  </si>
  <si>
    <t>2) Contribution to the True Up TRR</t>
  </si>
  <si>
    <t>CWIP Component of Wholesale Base TRR:</t>
  </si>
  <si>
    <t>Non-CWIP Component of Wholesale Base TRR:</t>
  </si>
  <si>
    <t>Calculation of Total High Voltage and Low Voltage components of Wholesale TRR</t>
  </si>
  <si>
    <t>c) Excess Deferred Taxes</t>
  </si>
  <si>
    <t>3) Excess Deferred Taxes</t>
  </si>
  <si>
    <t>Annual Amort. of "Excess Deferred Taxes":</t>
  </si>
  <si>
    <t>b) Calculation of "Excess Deferred Taxes" Grossed Up for Income Taxes</t>
  </si>
  <si>
    <t>Excess Deferred Taxes Grossed Up for Income Taxes:</t>
  </si>
  <si>
    <t>Non-ISO facilities related.</t>
  </si>
  <si>
    <t>2) Calculation of Wholesale Expense Difference</t>
  </si>
  <si>
    <t>5) Calculation of Total ROE for Plant-In Service in the True Up TRR</t>
  </si>
  <si>
    <t>a) Transmission Incentive Plant Net Plant In Service</t>
  </si>
  <si>
    <t>b) Calculation of ROE Adders on TIP Net Plant In Service</t>
  </si>
  <si>
    <t>After-Tax</t>
  </si>
  <si>
    <t>c) Equity Portion of Plant In Service Rate Base</t>
  </si>
  <si>
    <t>Total Rate Base:</t>
  </si>
  <si>
    <t>CWIP Portion of Rate Base:</t>
  </si>
  <si>
    <t>Plant In Service Rate Base:</t>
  </si>
  <si>
    <t>Equity percentage:</t>
  </si>
  <si>
    <t>Equity Portion of Plant In Service Rate Base:</t>
  </si>
  <si>
    <t>d) Total ROE for Plant In Service in the True Up TRR</t>
  </si>
  <si>
    <t>Plant In Service ROE Adder Percentage:</t>
  </si>
  <si>
    <t>Base ROE (Including 50 basis point</t>
  </si>
  <si>
    <t>CAISO Participation Adder):</t>
  </si>
  <si>
    <t>Total ROE for Plant In Service in True Up TRR:</t>
  </si>
  <si>
    <t>Column 2: The After Tax True Up Incentive Adder is derived by multiplying the amounts in</t>
  </si>
  <si>
    <t>1) Wholesale Depreciation Difference</t>
  </si>
  <si>
    <t>Negative amount is to be returned to customers by SCE (included in Base TRR as a negative amount).</t>
  </si>
  <si>
    <t>18 C.F.R. §35.19a on lines 11 to 31, Column 6.  If interest rate for any months not known, use most recent known month.</t>
  </si>
  <si>
    <t>11) Interest for Current Month is calculated on average of beginning and end balances (wo interest) in Columns 3 and 5.</t>
  </si>
  <si>
    <t>Balances for Transmission Plant - ISO during the Prior Year, including December of previous year (See Note 1):</t>
  </si>
  <si>
    <t>Transmission Activity Used to Determine Monthly Transmission Plant - ISO Balances</t>
  </si>
  <si>
    <t>1) Total Transmission Activity by Account (See Note 3)</t>
  </si>
  <si>
    <t>4) Calculation of change in Non-Incentive ISO Plant:</t>
  </si>
  <si>
    <t>A) Change in ISO Plant Balance December to December (See Note 6)</t>
  </si>
  <si>
    <t>B) Change in Incentive ISO Plant (See Note 7)</t>
  </si>
  <si>
    <t>C) Change in Non-Incentive ISO Plant (See Note 8)</t>
  </si>
  <si>
    <t>3) General and Intangible Depreciation Reserve</t>
  </si>
  <si>
    <t>Transmission Activity Used to Determine Monthly Transmission Depreciation Reserve - ISO Balances</t>
  </si>
  <si>
    <t>4) Calculation of Other Transmission Activity</t>
  </si>
  <si>
    <t>Balances for Transmission Depreciation Reserve - ISO during the Prior Year, including December of previous year (See Note 1):</t>
  </si>
  <si>
    <t>2) Distribution Depreciation Reserve - ISO (See Note 2)</t>
  </si>
  <si>
    <t>3) Total Transmission Activity by Account represents accumulated depreciation changes for all Transmission plant.</t>
  </si>
  <si>
    <t>2) Depreciation Expense (See Note 4)</t>
  </si>
  <si>
    <t>3) Total Transmission Activity less Depreciation Expense (See Note 5)</t>
  </si>
  <si>
    <t>A) Change in Depreciation Reserve - ISO (See Note 6)</t>
  </si>
  <si>
    <t>B) Total Depreciation Expense (See Note 7)</t>
  </si>
  <si>
    <t>C) Other Activity (See Note 8)</t>
  </si>
  <si>
    <t>5) Other Transmission Activity (See Note 9)</t>
  </si>
  <si>
    <t>5) Total Transmission Activity for Incentive Projects</t>
  </si>
  <si>
    <t>Account 350-359</t>
  </si>
  <si>
    <t>Activity for</t>
  </si>
  <si>
    <t>360-362</t>
  </si>
  <si>
    <t>Projects</t>
  </si>
  <si>
    <t>Activity</t>
  </si>
  <si>
    <t xml:space="preserve">Source </t>
  </si>
  <si>
    <t>6) Calculation of Prior Year Net Plant in Service amounts for each Incentive Project</t>
  </si>
  <si>
    <t>a) Tehachapi</t>
  </si>
  <si>
    <t>Accumulated</t>
  </si>
  <si>
    <t>In-Service</t>
  </si>
  <si>
    <t>b) Rancho Vista</t>
  </si>
  <si>
    <t>c) Devers to Colorado River</t>
  </si>
  <si>
    <t>d) Eldorado Ivanpah</t>
  </si>
  <si>
    <t>e) Lugo Pisgah</t>
  </si>
  <si>
    <t>f) Red Bluff</t>
  </si>
  <si>
    <t>i) South of Kramer</t>
  </si>
  <si>
    <t>j) West of Devers</t>
  </si>
  <si>
    <t>6) Summary of Incentive Projects and incentives granted</t>
  </si>
  <si>
    <t>for each month</t>
  </si>
  <si>
    <t>C1: Sum of below projects</t>
  </si>
  <si>
    <t>1) Summary of Accumulated Deferred Income Taxes</t>
  </si>
  <si>
    <t>a) End of Year Accumulated Deferred Income Taxes</t>
  </si>
  <si>
    <t>Related</t>
  </si>
  <si>
    <t>b) Beginning of Year Accumulated Deferred Income Taxes</t>
  </si>
  <si>
    <t>Total Accumulated Deferred Income Taxes</t>
  </si>
  <si>
    <t>c) Average of Beginning and End of Year Accumulated Deferred Income Taxes</t>
  </si>
  <si>
    <t>Average BOY/EOY ADIT:</t>
  </si>
  <si>
    <t>2) Account 190 Detail</t>
  </si>
  <si>
    <t>END BAL</t>
  </si>
  <si>
    <t>Gas, Generation</t>
  </si>
  <si>
    <t>ACCT 190</t>
  </si>
  <si>
    <t>DESCRIPTION</t>
  </si>
  <si>
    <t>per G/L</t>
  </si>
  <si>
    <t>or Other Related</t>
  </si>
  <si>
    <t>ISO Only</t>
  </si>
  <si>
    <t>Plant Related</t>
  </si>
  <si>
    <t>Labor Related</t>
  </si>
  <si>
    <t>Electric:</t>
  </si>
  <si>
    <t>Continuation of Account 190 Detail</t>
  </si>
  <si>
    <t>Total Electric 190</t>
  </si>
  <si>
    <t>Account 190 Gas and Other Income:</t>
  </si>
  <si>
    <t>Total Account 190 Gas and Other Income</t>
  </si>
  <si>
    <t>Total Account 190</t>
  </si>
  <si>
    <t>FERC Form 1 Account 190</t>
  </si>
  <si>
    <t>3) Account 282 Detail</t>
  </si>
  <si>
    <t>ACCT 282</t>
  </si>
  <si>
    <t>FERC Form 1 Account 282</t>
  </si>
  <si>
    <t>FF1 275.5k</t>
  </si>
  <si>
    <t>4) Account 283 Detail</t>
  </si>
  <si>
    <t>ACCT 283</t>
  </si>
  <si>
    <t>Continuation of Account 283 Detail</t>
  </si>
  <si>
    <t>Electric (continued):</t>
  </si>
  <si>
    <t>Total Electric 283</t>
  </si>
  <si>
    <t>Total Account 283 Gas and Other</t>
  </si>
  <si>
    <t>Total Account 283</t>
  </si>
  <si>
    <t>g) Whirlwind Substation Expansion</t>
  </si>
  <si>
    <t>h) Colorado River Substation Expansion</t>
  </si>
  <si>
    <t>Office Equipment</t>
  </si>
  <si>
    <t>Duplicating Equipment</t>
  </si>
  <si>
    <t>Personal Computers</t>
  </si>
  <si>
    <t>Mainframe Computers</t>
  </si>
  <si>
    <t>PC Software</t>
  </si>
  <si>
    <t>DDSMS - CPU &amp; Processing</t>
  </si>
  <si>
    <t>DDSMS - Controllers, Receivers, Comm.</t>
  </si>
  <si>
    <t>DDSMS - Telemetering &amp; System</t>
  </si>
  <si>
    <t>DDSMS - Miscellaneous</t>
  </si>
  <si>
    <t>DDSMS - Map Board</t>
  </si>
  <si>
    <t>Stores Equipment</t>
  </si>
  <si>
    <t>Laboratory Equipment</t>
  </si>
  <si>
    <t>Misc Power Plant Equipment</t>
  </si>
  <si>
    <t>Telecom System Equipment</t>
  </si>
  <si>
    <t>Netcomm Radio Assembly</t>
  </si>
  <si>
    <t>Microwave Equip. &amp; Antenna Assembly</t>
  </si>
  <si>
    <t>Fiber Optic Communication Cables</t>
  </si>
  <si>
    <t>Telecom Infrastructure</t>
  </si>
  <si>
    <t>Transportation Equip.</t>
  </si>
  <si>
    <t>Garage &amp; Shop -- Equip.</t>
  </si>
  <si>
    <t>Tools &amp; Work Equip. -- Shop</t>
  </si>
  <si>
    <t>Power Oper Equip</t>
  </si>
  <si>
    <t>5) Monthly Interest Rates in accordance with interest rate specified in the regulations of FERC (See Instruction #3).</t>
  </si>
  <si>
    <t>FERC Form 1 Account 283</t>
  </si>
  <si>
    <t>CWIP in Rate Effective Period</t>
  </si>
  <si>
    <t>In Service Additions in Rate Effective Period:</t>
  </si>
  <si>
    <t>Low Voltage</t>
  </si>
  <si>
    <t>13-Month Averages:</t>
  </si>
  <si>
    <t>LV Allocation Factor)</t>
  </si>
  <si>
    <t>13-month avg.</t>
  </si>
  <si>
    <t>Face</t>
  </si>
  <si>
    <t>Issuance</t>
  </si>
  <si>
    <t>Issue</t>
  </si>
  <si>
    <t>Date</t>
  </si>
  <si>
    <t>Total Account 282</t>
  </si>
  <si>
    <t>Federal Income Taxes Payable</t>
  </si>
  <si>
    <t>Allocation Factors (Plant and Wages)</t>
  </si>
  <si>
    <t>Total Account 190 ADIT</t>
  </si>
  <si>
    <t>Total Account 282 ADIT</t>
  </si>
  <si>
    <t>(Sum of amounts in Columns 4 to 6)</t>
  </si>
  <si>
    <t>Total Account 283 ADIT</t>
  </si>
  <si>
    <t>570 - Substation Work Order Related Expense</t>
  </si>
  <si>
    <t>Other Regulatory Assets/Liabilities (BOY/EOY average):</t>
  </si>
  <si>
    <t>The Wholesale Rate Base Adjustment represents the impact on the Wholesale Base TRR relative to the Retail Base TRR of</t>
  </si>
  <si>
    <t>If an annual amortization amount affects Income Taxes, the expense difference must be grossed up for income taxes.</t>
  </si>
  <si>
    <t>Calculation of Forecast Gross Load</t>
  </si>
  <si>
    <t>CADI Vol Plan Assess</t>
  </si>
  <si>
    <t>FF1 263.1 (see note to left)</t>
  </si>
  <si>
    <t>Capitalized Overhead portion of Electric Payroll Tax Expense</t>
  </si>
  <si>
    <t>Base Transmission Revenue Requirement (Retail)</t>
  </si>
  <si>
    <t>Wholesale Base Transmission Revenue Requirement</t>
  </si>
  <si>
    <t>Calculation of Base Transmission Revenue Requirement</t>
  </si>
  <si>
    <t>Less Standby Transmission Revenues:</t>
  </si>
  <si>
    <t>Components of Wholesale</t>
  </si>
  <si>
    <t>Transmission Revenue Requirement:</t>
  </si>
  <si>
    <t>3) End-User Transmission Rates</t>
  </si>
  <si>
    <t>End-User Transmission Rates</t>
  </si>
  <si>
    <t>Base TRR Energy Charge ($/kWh)</t>
  </si>
  <si>
    <t>Base TRR Demand Charge ($/kW)</t>
  </si>
  <si>
    <t>Standby Demand Charge ($/kW)</t>
  </si>
  <si>
    <t>Retail Transmission Rates</t>
  </si>
  <si>
    <t>End-User Transmission Rates Revenues</t>
  </si>
  <si>
    <t>Calculation of 13-Month Average Capitalization Balances</t>
  </si>
  <si>
    <t>Item</t>
  </si>
  <si>
    <t>Bonds -- Account 221 (Note 1):</t>
  </si>
  <si>
    <t>Other Long Term Debt -- Account 224 (Note 3):</t>
  </si>
  <si>
    <t xml:space="preserve">1) Enter 13 months of balances for capital structure for Prior Year and December previous to Prior Year in Columns 2-14.  </t>
  </si>
  <si>
    <t>Interest Income Reclassification</t>
  </si>
  <si>
    <t>FF1 263.3i - See Note 1</t>
  </si>
  <si>
    <t>Remaining Amount is Gas, Generation, or Other Related.</t>
  </si>
  <si>
    <t>Remaining Amount of FIT Payable</t>
  </si>
  <si>
    <t>5) Normalization Adjustment for Unused Bonus Depreciation</t>
  </si>
  <si>
    <t>Note 1: Only include if Federal Income Tax Account 236 payable in FF1 page 263 charged to Acct 409.1 or 408.1 in Column (i) is a negative amount (i.e., debit balance).</t>
  </si>
  <si>
    <t>3) Capitalized Overhead portion of Electric Payroll Tax Expense</t>
  </si>
  <si>
    <t>= F + [S * (1 - F)]</t>
  </si>
  <si>
    <t>Franchise Fees and Uncollectibles Expense Factors</t>
  </si>
  <si>
    <t>2) Approved Uncollectibles Expense Factor(s)</t>
  </si>
  <si>
    <t>3) Sales Forecast pertaining to the sum of monthly maximum Mega-watt demand - applies to demand schedules (the customer's monthly metered maximum kW demand).</t>
  </si>
  <si>
    <t>4) Sales Forecast pertaining to the sum of monthly contracted standby Mega-watt demand - - applies to standby schedules (the customer's monthly contracted standby kW demand).</t>
  </si>
  <si>
    <t>15) Line 24:Col 2 / Line 1:Col 4 * 1,000 (applicable to monthly maximum kW demand).  However, for TOU-8-SUB (below 220 kV), it is derived by the corresponding Line 24:Col 2 / Line 1:(Col 4 - Col 8) * 1,000.</t>
  </si>
  <si>
    <t>Transmission Owner Tariff and may be revised each January 1, upon commission acceptance of a revised TRBAA</t>
  </si>
  <si>
    <t>SCE's retail Base Transmission Revenue Requirement is the sum of the following components:</t>
  </si>
  <si>
    <t>Base TRR (retail)</t>
  </si>
  <si>
    <t>Does not include any project-specific ROE adders.</t>
  </si>
  <si>
    <t>4) Forecast Adjustment may be included as provided in the Tariff protocols.</t>
  </si>
  <si>
    <t>Transmission Depreciation Reserve - ISO</t>
  </si>
  <si>
    <t>Distribution Depreciation Reserve - ISO</t>
  </si>
  <si>
    <t>Beginning and End of year amounts in Columns 2 and 14 are from FERC Form 1, as referenced in below notes.</t>
  </si>
  <si>
    <t>=Sum C2 to C4</t>
  </si>
  <si>
    <t>=Sum C2 to C11</t>
  </si>
  <si>
    <t xml:space="preserve">1) Forecast Period is October of year following the Prior Year through September of the next year.   </t>
  </si>
  <si>
    <t>4) Gains and Losses on Transmission Plant Held for Future Use - Land is treated in accordance with Commission policy.</t>
  </si>
  <si>
    <t>3) Devers-Colorado River</t>
  </si>
  <si>
    <t>= C1 - C2</t>
  </si>
  <si>
    <t>= C1 - Previous</t>
  </si>
  <si>
    <t>Month C1</t>
  </si>
  <si>
    <t>Total PY Incentive Net Plant:</t>
  </si>
  <si>
    <t xml:space="preserve">End of Year </t>
  </si>
  <si>
    <t>13 Month Average</t>
  </si>
  <si>
    <t>2) Sum project-specific Incentive Adders to yield the total True Up Incentive Adder.</t>
  </si>
  <si>
    <t>Sum of above PY Incentive Adders</t>
  </si>
  <si>
    <t>for each individual project</t>
  </si>
  <si>
    <t xml:space="preserve">Depreciation Expense is the sum of: </t>
  </si>
  <si>
    <t>4) Depreciation Expense</t>
  </si>
  <si>
    <t>= C3 * C5</t>
  </si>
  <si>
    <t>= C4 * C5</t>
  </si>
  <si>
    <t>5) "ISO Operations and Maintenance Expenses" is the amount of costs in each Transmission or Distribution account related to ISO Transmission Facilities.</t>
  </si>
  <si>
    <t>Total ISO O&amp;M Expenses (in Column 6)</t>
  </si>
  <si>
    <t>a) Exclude amount of any Shareholder Adjustments, costs incurred on behalf of SCE shareholders, from relevant account in Column 1.</t>
  </si>
  <si>
    <t>Only projects that are in Rate Base in the year reported are included.</t>
  </si>
  <si>
    <t xml:space="preserve">Southern States Realty </t>
  </si>
  <si>
    <t>2, 15</t>
  </si>
  <si>
    <t>15-</t>
  </si>
  <si>
    <t>Costs</t>
  </si>
  <si>
    <t>Event</t>
  </si>
  <si>
    <t>Issue/Event</t>
  </si>
  <si>
    <t>IRC Section 168(i)(9) Normalization Adjustment</t>
  </si>
  <si>
    <t xml:space="preserve">1) </t>
  </si>
  <si>
    <t>FERC Form 1 Acct. 165 Recorded Amount:</t>
  </si>
  <si>
    <t>BOY Prepayments Amount:</t>
  </si>
  <si>
    <t>Supplies Balances</t>
  </si>
  <si>
    <t>Total Materials and</t>
  </si>
  <si>
    <t>Calculation of True Up TRR</t>
  </si>
  <si>
    <t>Calculation of True Up Adjustment Component of TRR</t>
  </si>
  <si>
    <t>Plant Allocation Factor</t>
  </si>
  <si>
    <t>for Column 5</t>
  </si>
  <si>
    <t>(In Column 5)</t>
  </si>
  <si>
    <t>Prior Period Adjustment:</t>
  </si>
  <si>
    <t>a</t>
  </si>
  <si>
    <t>b</t>
  </si>
  <si>
    <t>c</t>
  </si>
  <si>
    <t>d</t>
  </si>
  <si>
    <t>e</t>
  </si>
  <si>
    <t>f</t>
  </si>
  <si>
    <t>Adjustment:</t>
  </si>
  <si>
    <t>g</t>
  </si>
  <si>
    <t>Calculation of Incentive Adder component of the Prior Year TRR</t>
  </si>
  <si>
    <t>EOY HV</t>
  </si>
  <si>
    <t>(Note 1)</t>
  </si>
  <si>
    <t>1) "EOY HV Abandoned Plant" is amount of "EOY Abandoned Plant" that would have been High Voltage (&gt;= 200 kV).</t>
  </si>
  <si>
    <t>a) Fill in the name the project in order (First Project, Second Project, etc.).</t>
  </si>
  <si>
    <t>b) Fill in the table with annual End of Year ("EOY") Abandoned Plant, EOY HV Abandoned Plant, and</t>
  </si>
  <si>
    <t>Abandoned Plant (EOY)</t>
  </si>
  <si>
    <t>See Notes 1 and 2 below</t>
  </si>
  <si>
    <t>1) For High Voltage Column, sum of EOY HV Abandoned Plant for all Projects on Schedule 12 for EOY of Prior Year</t>
  </si>
  <si>
    <t>2) For Low Voltage Column, Sum of EOY Abandoned Plant less HV Abandoned Plant for all Projects on Schedule 12 for EOY of Prior Year.</t>
  </si>
  <si>
    <t>Instruction 1</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</si>
  <si>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</si>
  <si>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</si>
  <si>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the ROE used in Schedule 1 will differ from the ROE used in this Schedule 4, because the Schedule 1 ROE will be the most recent ROE,</t>
  </si>
  <si>
    <t>See Note 1 and Instruction 1</t>
  </si>
  <si>
    <t>See Note 2 and Instruction 2</t>
  </si>
  <si>
    <t>12aaa</t>
  </si>
  <si>
    <t>12bbb</t>
  </si>
  <si>
    <t>Other Regulatory Assets/Liabilities are a component of Rate Base representing costs that are created resulting from the ratemaking</t>
  </si>
  <si>
    <t xml:space="preserve">actions of regulatory agencies.  Pursuant to the Commission's Uniform System of Accounts, these items include amounts recorded </t>
  </si>
  <si>
    <t>in accounts 182.x and 254.  This Schedule shall not include any costs recovered through Schedule 12.</t>
  </si>
  <si>
    <t>Amortization and Regulatory Debits/Credits are amounts approved for recovery in this formula transmission rate representing the</t>
  </si>
  <si>
    <t>approved annual recovery of Other Regulatory Assets/Liabilities as an expense item in the Base TRR, consistent</t>
  </si>
  <si>
    <t xml:space="preserve">with a Commission Order.  </t>
  </si>
  <si>
    <t>Amortization and Regulatory Debits/Credits:</t>
  </si>
  <si>
    <t>Amortization or</t>
  </si>
  <si>
    <t>Debit/Credit</t>
  </si>
  <si>
    <t>1) Upon Commission approval of recovery of Other Regulatory Assets/Liabilities, Amortization and Regulatory Debits/Credits</t>
  </si>
  <si>
    <t>Amortization and Regulatory Debits/Credits</t>
  </si>
  <si>
    <t>Determination of Regulatory Assets/Liabilities and Associated Amortization and Regulatory Debits/Credits</t>
  </si>
  <si>
    <t>One Time True Up Adjustment amounts (see Instruction #5) attributable to a previous Prior Year are entered on Column 4, Line 11.</t>
  </si>
  <si>
    <t xml:space="preserve"> One Time Adjustments include:</t>
  </si>
  <si>
    <t>Account 283 Gas and Other:</t>
  </si>
  <si>
    <t>Revenue From Decommission Trust Fund</t>
  </si>
  <si>
    <t>Revenue From Decommissioning Trust FAS115</t>
  </si>
  <si>
    <t>Revenue From Decommissioning Trust FAS115-1</t>
  </si>
  <si>
    <t>Operating Miscellaneous Land &amp; Facilities</t>
  </si>
  <si>
    <t>ECS - Infrastructure Leasing</t>
  </si>
  <si>
    <t>EOY Prepayments Amount:</t>
  </si>
  <si>
    <t>Prior Year TRR wo FF&amp;U:</t>
  </si>
  <si>
    <t>and the American Reinvestment Recovery Act for the Tehachapi Wind Energy Storage Project.</t>
  </si>
  <si>
    <t>3) Calculation of final True Up TRR with Franchise Fees and Uncollectibles Expenses</t>
  </si>
  <si>
    <t>Uncollectibles Expense Factor:</t>
  </si>
  <si>
    <t>Allocated based on CPUC GRC allocator in effect during the Prior Year.  The weighted average (by time) shall be used if more than one allocator is in effect during the Prior Year.</t>
  </si>
  <si>
    <t xml:space="preserve">Allocated based on the CPUC Base Revenue Requirement Balancing Account (BRRBA) allocator in effect during the Prior Year.  The weighted average (by time) shall be used if more than one allocator is in effect during the Prior Year.  ISO portion of revenue is treated as traditional OOR. </t>
  </si>
  <si>
    <t>D = Book Depreciation of AFUDC Equity Book Basis</t>
  </si>
  <si>
    <t>Return on Common Equity</t>
  </si>
  <si>
    <t xml:space="preserve">Equity Rate of Return Including Common and Preferred Stock </t>
  </si>
  <si>
    <t>ER = Equity Rate of Return Including Common and Preferred Stock</t>
  </si>
  <si>
    <t>ER = Equity ROR inc. Com. and Pref. Stock</t>
  </si>
  <si>
    <t>2) ISO Incentive Plant Activity (See Note 4)</t>
  </si>
  <si>
    <t>3) Total Transmission Activity Not Including Incentive Plant Activity (See Note 5):</t>
  </si>
  <si>
    <t>5) Other ISO Transmission Activity without Incentive Plant Activity (See Note 9):</t>
  </si>
  <si>
    <t>Prior Year:</t>
  </si>
  <si>
    <t>Balances for Distribution Plant - ISO for December of Prior Year and year before Prior Year (See Note 2)</t>
  </si>
  <si>
    <t>4) General Plant + Electric Miscellaneous Intangible Plant ("G&amp;I Plant")</t>
  </si>
  <si>
    <t>BOY amount from previous PY</t>
  </si>
  <si>
    <t>End of year ("EOY") amount</t>
  </si>
  <si>
    <t>A) Plant Classified as Transmission in  FERC Form 1 for Prior Year:</t>
  </si>
  <si>
    <t>to a Section 205 or 206 filing.</t>
  </si>
  <si>
    <r>
      <rPr>
        <b/>
        <sz val="10"/>
        <rFont val="Arial"/>
        <family val="2"/>
      </rPr>
      <t>Notes:</t>
    </r>
    <r>
      <rPr>
        <sz val="10"/>
        <rFont val="Arial"/>
        <family val="2"/>
      </rPr>
      <t xml:space="preserve"> 1) Depreciation rates may only be revised as approved by the Commission pursuant</t>
    </r>
  </si>
  <si>
    <t>Resulting Percentage is:</t>
  </si>
  <si>
    <t>Percent ISO</t>
  </si>
  <si>
    <t>Percent ISO for this acccount is equal to the total ISO labor in accounts 562 and 570 (Column 7) divided by total labor in this same account (Column 3).</t>
  </si>
  <si>
    <t>Percent ISO for this acccount is equal to the total ISO labor in accounts listed below (Column 7) divided by total labor in these same accounts (Column 3).</t>
  </si>
  <si>
    <t>expense is excluded from account 926 (see note 3).  Docket or Decision approving authorized PBOPs amount:</t>
  </si>
  <si>
    <r>
      <t xml:space="preserve">as approved by Commission Order 86 FERC </t>
    </r>
    <r>
      <rPr>
        <sz val="10"/>
        <color theme="1"/>
        <rFont val="Calibri"/>
        <family val="2"/>
      </rPr>
      <t>¶</t>
    </r>
    <r>
      <rPr>
        <sz val="10"/>
        <color theme="1"/>
        <rFont val="Arial"/>
        <family val="2"/>
      </rPr>
      <t xml:space="preserve"> 63,014 in Docket No. ER97-2355.</t>
    </r>
  </si>
  <si>
    <t>2) Franchise Fees Factor is calculated from CPUC Decision by dividing adopted Franchise Fees</t>
  </si>
  <si>
    <t xml:space="preserve">by Total Operating Revenues less Franchise Fees.  Uncollectibles Factor is calculated by </t>
  </si>
  <si>
    <t>3) Calculate in module 3 the weighted average FF and U factors from the factors in modules 1 and 2 based</t>
  </si>
  <si>
    <t>Calculated according to Instruction 3</t>
  </si>
  <si>
    <t>Factors represent factors that, when applied to TRR without FF and U will correctly determine FF and U expense.</t>
  </si>
  <si>
    <t>1) Enter Franchise Fee and Uncollectibles Factors as approved by the California Public Utilities Commission ("CPUC")</t>
  </si>
  <si>
    <t>Total  Transmission Lines (L 2 + L 3):</t>
  </si>
  <si>
    <t>HV and LV Components of Total ISO Plant on Lines 2, 3, 7, 8, and 9 are</t>
  </si>
  <si>
    <t>from the Plant Study, performed pursuant to Section 9 of Appendix IX:</t>
  </si>
  <si>
    <t>Source:</t>
  </si>
  <si>
    <t>Allocator is equal to the jurisdictional split of the Threshold Revenue, which is jurisdictionalized as $5.425M to FERC ratepayers and $11.246M to CPUC ratepayers per the 2009 CPUC General Rate Case (D. 09-03-025).  The ISO ratepayers' share of ratepayer revenue is $5.425M/$16.671M = 32.54%.</t>
  </si>
  <si>
    <t>16-</t>
  </si>
  <si>
    <t>418.1 Other (See Note 16)</t>
  </si>
  <si>
    <t>Tot. ISO Ratepayers' Share NTP&amp;S Gross Rev.</t>
  </si>
  <si>
    <t>whereas the Schedule 4 Cost of Capital Rate and Equity Rate of Return including Com. + Pref. Stock will be based on the weighted-average ROE.</t>
  </si>
  <si>
    <t>in modules 1 and 2 above pursuant to Instruction 2.  If approved factors changed during Prior Year, enter both,</t>
  </si>
  <si>
    <t>for each state.  See Notes 1 and 3.</t>
  </si>
  <si>
    <t>b) New Mexico</t>
  </si>
  <si>
    <t>c) Arizona</t>
  </si>
  <si>
    <t>d) District of Columbia</t>
  </si>
  <si>
    <t>a) California:</t>
  </si>
  <si>
    <t>2) Federal Source Statute:</t>
  </si>
  <si>
    <t>3) State Source Statues (Enter Reference to each State Marginal Tax Rate Statute below):</t>
  </si>
  <si>
    <t>F:  Exclude amount of costs transfered to account from A&amp;G Account 920 pursuant to Order 668</t>
  </si>
  <si>
    <t>in Schedule 19 (OandM) related to Order 668 costs transferred.</t>
  </si>
  <si>
    <t xml:space="preserve">c) Exclude entire amount of account 927 "Franchise Requirements" in Column 2, as those costs are recovered </t>
  </si>
  <si>
    <t xml:space="preserve">d) Exclude any amount of Account 930.1 "General Advertising Expense" not related to advertising for safety, </t>
  </si>
  <si>
    <t>e) Exclude any amount of expense relating to secondary land use and audit expenses not directly benefitting utility customers.</t>
  </si>
  <si>
    <t>b) Include as an adjustment in Column 1 for Account 920 any amount excluded from Accounts 569.100, 569.200, and 569.300</t>
  </si>
  <si>
    <t>FF1 207.99.g and 205.5g</t>
  </si>
  <si>
    <t>Credit</t>
  </si>
  <si>
    <t xml:space="preserve">1) Amount in Column 2 from FF1 112.18d, amount in Column 14 from FF1 112.18c, amounts in columns 3-13 from SCE internal records. </t>
  </si>
  <si>
    <t xml:space="preserve">2) Amount in Column 2 from FF1 112.19d, amount in Column 14 from FF1 112.19c, amounts in columns 3-13 from SCE internal records. </t>
  </si>
  <si>
    <t xml:space="preserve">3) Amount in Column 2 from FF1 112.21d, amount in Column 14 from FF1 112.21c, amounts in columns 3-13 from SCE internal records. </t>
  </si>
  <si>
    <t>Southern States Realty is a subsidiary company.  Gross revenues are not reported in FF-1, only net earnings.  Net Earnings for Southern States Realty are reported on Acct 418.1, pg 225.17e.</t>
  </si>
  <si>
    <t>Mo/YR</t>
  </si>
  <si>
    <t>Beginning of Year ("BOY") amount</t>
  </si>
  <si>
    <t>a) 13-Month Average Calculation</t>
  </si>
  <si>
    <t>13-Month AverageValue:</t>
  </si>
  <si>
    <t>on the Transmission Wages and Salaries Allocation Factor.</t>
  </si>
  <si>
    <t>17-</t>
  </si>
  <si>
    <t>Note 1, f</t>
  </si>
  <si>
    <t xml:space="preserve">2) In the event that depreciation rates stated on Schedule 18 to be applied to Distribution Plant - ISO are revised mid-year, calculate Depreciation Expense for </t>
  </si>
  <si>
    <t>See Instructions 2b, 3, and Note 2</t>
  </si>
  <si>
    <t>Calculation of FITR for Prior Year:</t>
  </si>
  <si>
    <t>FITR</t>
  </si>
  <si>
    <t>Days</t>
  </si>
  <si>
    <t>Note</t>
  </si>
  <si>
    <t>Input FITR in effect for first part of year and number of days</t>
  </si>
  <si>
    <t>Input FITR in effect for second part of year and number of days</t>
  </si>
  <si>
    <t>FITR:</t>
  </si>
  <si>
    <t>(Col 2)</t>
  </si>
  <si>
    <t>(Col 1)</t>
  </si>
  <si>
    <t>Note 1, c Column 2, see also Note 2</t>
  </si>
  <si>
    <t>= ((Line a, C1)*(Line a, C2)+ (Line b, C1)*(Line b, C2))/365</t>
  </si>
  <si>
    <t>Sub-Total Local Taxes</t>
  </si>
  <si>
    <t>CA SUI Current</t>
  </si>
  <si>
    <t>Fed Unemp Tax Act- Current</t>
  </si>
  <si>
    <t>SF Pyrl Exp Tx - SCE</t>
  </si>
  <si>
    <t>(No "Credits and Other" or "AFUDC" Terms, since these are not related to CWIP)</t>
  </si>
  <si>
    <t>1) Nuclear Power Research Expenses.</t>
  </si>
  <si>
    <t>2) Write Off of Abandoned Project Expenses.</t>
  </si>
  <si>
    <t>f) Exclude from account 930.2:</t>
  </si>
  <si>
    <t>3) Any advertising expenses within the Consultants/Professional Services category.</t>
  </si>
  <si>
    <t>Note 1, c</t>
  </si>
  <si>
    <t xml:space="preserve">b) Forecast Period Incremental CWIP contributes to Incremental Forecast Period TRR </t>
  </si>
  <si>
    <r>
      <rPr>
        <b/>
        <sz val="10"/>
        <rFont val="Arial"/>
        <family val="2"/>
      </rPr>
      <t xml:space="preserve">Source: </t>
    </r>
    <r>
      <rPr>
        <sz val="10"/>
        <rFont val="Arial"/>
        <family val="2"/>
      </rPr>
      <t>6-PlantInService, Lines 1-13.</t>
    </r>
  </si>
  <si>
    <t>Depreciation Rates (Percent per year)  See "18-DepRates".</t>
  </si>
  <si>
    <t xml:space="preserve">Source:      From 4-TUTRR, </t>
  </si>
  <si>
    <t>The Prior Year TRR is calculated using End-of-Year Rate Base values, as set forth in the "1-BaseTRR" Worksheet.</t>
  </si>
  <si>
    <t>plant or CWIP, as set forth in the "2-IFPTRR" Worksheet.</t>
  </si>
  <si>
    <t>actual costs, as set forth in the "3-TrueUpAdjust" Worksheet.</t>
  </si>
  <si>
    <t>2) From 33-RetailRates.  See Line:</t>
  </si>
  <si>
    <t>amount.  See Note 1 on 29-WholesaleTRRs.</t>
  </si>
  <si>
    <t>For subsidiaries that are subject to GRSM, Column D contains gross revenues.  Input on Line 30D contains the associated expenses.</t>
  </si>
  <si>
    <t>566 - Training</t>
  </si>
  <si>
    <t>566 - Other</t>
  </si>
  <si>
    <t>Gen. and Int.</t>
  </si>
  <si>
    <t>=C4+C5</t>
  </si>
  <si>
    <t>FF1 219.28c and 200.21c for previous year</t>
  </si>
  <si>
    <t>FF1 219.28c and 200.21c</t>
  </si>
  <si>
    <t>(Years)</t>
  </si>
  <si>
    <t>List associated securities and event, Event Date, Amortization Amount, Amortization Period, and Annual Amortization:</t>
  </si>
  <si>
    <t>Total Annual Amortization (sum of "Issues/Events" listed above)</t>
  </si>
  <si>
    <t>Total Annual Amortization (sum of "Issues" listed above)</t>
  </si>
  <si>
    <t>List associated securities, Face Amount, Issuance Date, Issuance Costs, Amortization Period, and Annual Amortization:</t>
  </si>
  <si>
    <t>a) Outages</t>
  </si>
  <si>
    <t>ISO Outages</t>
  </si>
  <si>
    <t>Non-ISO Outages</t>
  </si>
  <si>
    <t>Total Outages</t>
  </si>
  <si>
    <t>Values</t>
  </si>
  <si>
    <t>Applied to Accounts</t>
  </si>
  <si>
    <t>b) Circuits</t>
  </si>
  <si>
    <t>ISO Circuits</t>
  </si>
  <si>
    <t>Non-ISO Circuits</t>
  </si>
  <si>
    <t>Total Circuits</t>
  </si>
  <si>
    <t>Outages Percent ISO</t>
  </si>
  <si>
    <t>Circuits Percent ISO</t>
  </si>
  <si>
    <t>c) Relay Routines</t>
  </si>
  <si>
    <t>ISO Relay Routines</t>
  </si>
  <si>
    <t>Total Relay Routines</t>
  </si>
  <si>
    <t>Relay Routines Percent ISO</t>
  </si>
  <si>
    <t>ISO Line Miles</t>
  </si>
  <si>
    <t>Non-ISO Line Miles</t>
  </si>
  <si>
    <t>Non-ISO Relay Routines</t>
  </si>
  <si>
    <t>Total Line Miles</t>
  </si>
  <si>
    <t>Line MIles Percent ISO</t>
  </si>
  <si>
    <t>d) Line Miles</t>
  </si>
  <si>
    <t>e) Underground Line Miles</t>
  </si>
  <si>
    <t>ISO Underground Line Miles</t>
  </si>
  <si>
    <t>Non-ISO Underground Line Miles</t>
  </si>
  <si>
    <t>Total Undergound Line Miles</t>
  </si>
  <si>
    <t>Underground Line MIles Percent ISO</t>
  </si>
  <si>
    <t>ISO Line Rent Costs</t>
  </si>
  <si>
    <t>Non-ISO Line Rent Costs</t>
  </si>
  <si>
    <t>Total Line Rent Costs</t>
  </si>
  <si>
    <t>Line Rent Costs Percent ISO</t>
  </si>
  <si>
    <t>ISO Morongo Acres</t>
  </si>
  <si>
    <t>Non-ISO Morongo Acres</t>
  </si>
  <si>
    <t>Total Morongo Acres</t>
  </si>
  <si>
    <t>Morongo Acres Percent ISO</t>
  </si>
  <si>
    <t>ISO Transformers</t>
  </si>
  <si>
    <t>Non-ISO Transformers</t>
  </si>
  <si>
    <t>Total Transformers</t>
  </si>
  <si>
    <t>Transformers Percent ISO</t>
  </si>
  <si>
    <t>ISO Circuit Breakers</t>
  </si>
  <si>
    <t>Non-ISO Breakers</t>
  </si>
  <si>
    <t>Total Circuit Breakers</t>
  </si>
  <si>
    <t>Circuit Breakers Percent ISO</t>
  </si>
  <si>
    <t>ISO Voltage Control Equipment</t>
  </si>
  <si>
    <t>Non-ISO Voltage Control Equipment</t>
  </si>
  <si>
    <t>Total Voltage Control Equipment</t>
  </si>
  <si>
    <t>Voltage Control Equipment Percent ISO</t>
  </si>
  <si>
    <t>ISO Substation Work Order Costs</t>
  </si>
  <si>
    <t>Non-ISO Substation Work Order Costs</t>
  </si>
  <si>
    <t>Total Substation Work Order Costs</t>
  </si>
  <si>
    <t>Substation Work Order Costs Percent ISO</t>
  </si>
  <si>
    <t>ISO Transmission Work Order Costs</t>
  </si>
  <si>
    <t>Non-ISO Transmission Work Order Costs</t>
  </si>
  <si>
    <t>Total Transmission Work Order Costs</t>
  </si>
  <si>
    <t>Transmission Work Order Costs Percent ISO</t>
  </si>
  <si>
    <t>ISO Transmission Fac. Property Damage</t>
  </si>
  <si>
    <t>Non-ISO Transmission Fac. Property Damage</t>
  </si>
  <si>
    <t>Total Transmission Facility Property Damage</t>
  </si>
  <si>
    <t>Trans. Fac. Property Damage Percent ISO</t>
  </si>
  <si>
    <t>ISO Distribution Transformers</t>
  </si>
  <si>
    <t>Non-ISO Distribution Transformers</t>
  </si>
  <si>
    <t>Total Distribution Transformers</t>
  </si>
  <si>
    <t>Distribution Transformers Percent ISO</t>
  </si>
  <si>
    <t>Non-ISO Distribution Circuit Breakers</t>
  </si>
  <si>
    <t>Total Distribution Circuit Breakers</t>
  </si>
  <si>
    <t>ISO Distribution Circuit Breakers</t>
  </si>
  <si>
    <t>Distribution Circuit Breakers Percent ISO</t>
  </si>
  <si>
    <t>ISO Distribution Voltage Control Equipment</t>
  </si>
  <si>
    <t>Total Distribution Voltage Control Equipment</t>
  </si>
  <si>
    <t>Distribution Voltage Control Equip. Pct. ISO</t>
  </si>
  <si>
    <t>Non-ISO Distribution Voltage Control Equip.</t>
  </si>
  <si>
    <t>Capitalization Rate (Note 4)</t>
  </si>
  <si>
    <t>4) Capitalization Rate approved in:</t>
  </si>
  <si>
    <t>For the following Prior Years:</t>
  </si>
  <si>
    <t>Certain "Percent ISO percentages are calculable based on other "Percent ISO" amounts, as follows:</t>
  </si>
  <si>
    <t>Note 6, a</t>
  </si>
  <si>
    <t>6) "Percent ISO" percentages are calculated in accordance with the method set forth in SCE's TO Tariff protocols.  See Column 9 for references to source of each  Percent ISO.</t>
  </si>
  <si>
    <t>100% per Protocols</t>
  </si>
  <si>
    <t>0% per Protocols</t>
  </si>
  <si>
    <t>Note 6, b</t>
  </si>
  <si>
    <t>Note 6, c</t>
  </si>
  <si>
    <t>Note 6, d</t>
  </si>
  <si>
    <t>a) Accounts 560 - Operations Engineering, 566 - Training, 566-Other, 569.100 Hardware, 569.200 Software, and 569.300 Comunication:</t>
  </si>
  <si>
    <t>Edison Material Supply (EMS)</t>
  </si>
  <si>
    <t>Per GRC Decision D.87-12-066, for ratemaking purposes EMS financials are consolidated with SCE's.  See FERC Form 1 page 123.3 under</t>
  </si>
  <si>
    <t>"Equity Investment Differences" .  Consequently, net income of EMS is not reported separately in FERC Form 1 and is not a part of FERC Account 418.1 totals.</t>
  </si>
  <si>
    <t>To ensure that ratepayers receive the net income from this subsidiary SCE includes EMS net income in the formula on line 28f.  This amount is reversed as part</t>
  </si>
  <si>
    <t>of line 30 to remain consistent with the totals reported in FERC Form 1.</t>
  </si>
  <si>
    <t xml:space="preserve">Percent ISO for these accounts is equal to total ISO labor in accounts 561, 562, 563, 564, 566 (except Training and Other), 570, 571, and 572 (Column 7) </t>
  </si>
  <si>
    <t>divided by total labor in this same account (Column 3).</t>
  </si>
  <si>
    <t xml:space="preserve">Percent ISO for these acccounts is equal to the total ISO labor in account 592, exclusive of Maintenance of Miscellaneous Distribution Equipment (Column 7) </t>
  </si>
  <si>
    <t>Order approving revised ROE:</t>
  </si>
  <si>
    <t>In the event that the Return on Common Equity is revised from the initial value, enter cite to Commission Order approving the revised ROE on following line.</t>
  </si>
  <si>
    <t>b) Account 569 - Maintenance of Structures</t>
  </si>
  <si>
    <t>d) Accounts 582, 590, 591, and 592 - Maintenance of Miscellaneous Distribution Equipment</t>
  </si>
  <si>
    <t>c) Account 570 - Maintenance of Miscellaneous Transmission Equipment and Account 568 -Maintenance Supervision and Engineering</t>
  </si>
  <si>
    <t xml:space="preserve">2) Sales Forecast in total Giga-watt hours usage - applies to non-demand schedules, and it's the customers' total annual kWh consumption.  </t>
  </si>
  <si>
    <t>Billing determinants in columns 3-5 developed based on same sales forecast on Schedule 32 "SCE Retail Sales at ISO Grid level".</t>
  </si>
  <si>
    <t>Orders Providing for Abandoned Plant Cost Recovery:</t>
  </si>
  <si>
    <t>Commission Order</t>
  </si>
  <si>
    <t>7) SCE shall make no adjustments to recorded labor amounts related to non-labor labor and/or Indirect labor in Schedule 19.</t>
  </si>
  <si>
    <t>5) SCE shall make no adjustments to recorded labor amounts related to non-labor labor and/or Indirect labor in Schedule 20.</t>
  </si>
  <si>
    <t>Amortization of Excess Deferred Tax Liability</t>
  </si>
  <si>
    <t>Investment Tax Credit Flowed Through</t>
  </si>
  <si>
    <t>South Georgia Income Tax Adjustment</t>
  </si>
  <si>
    <t>2) No change in "Credits and Other" terms will be made absent a filing at the Commission</t>
  </si>
  <si>
    <t>compared to the Retail Base TRR.  This difference is attributable to differences in the following six items,</t>
  </si>
  <si>
    <t>These six items may affect the Base TRR by affecting Rate Base, or affecting an annual expense (amortization).</t>
  </si>
  <si>
    <t>EPRI Expenses</t>
  </si>
  <si>
    <t>d) Total Expense Difference</t>
  </si>
  <si>
    <t>Partial Year True Up Allocation Factors calculated based on three years (2008-2010) of monthly SCE retail base transmission revenues.</t>
  </si>
  <si>
    <t xml:space="preserve">2) Beginning with the True Up Adjustment calculation for 2012 utilizing the True Up TRR for 2012, exclude from CWIP recovery the capital cost of </t>
  </si>
  <si>
    <t xml:space="preserve">Subject to sharing per the Gross Revenue Sharing Mechanism (GRSM), adopted in CPUC D.99-09-070.  On an annual basis, once SCE obtains $16,671,389.55 (Threshold Revenue) in NTP&amp;S Revenues, any additional revenues (Incremental Gross Revenues) that SCE receives are shared between shareholders and ratepayers.  For GRSM categories deemed Active, the Incremental Gross Revenues are shared 90/10 between shareholders and ratepayers.  For those categories deemed Passive, the Incremental Gross Revenues are shared 70/30 between shareholders and ratepayers.  </t>
  </si>
  <si>
    <t>13-Month Average Value Account 154:</t>
  </si>
  <si>
    <t>13-Month Average Value:</t>
  </si>
  <si>
    <t xml:space="preserve"> Long Term Debt Advances from Associated Companies (Note 2a):</t>
  </si>
  <si>
    <t>Long Term Debt Advances from Associated Companies -- Account 223</t>
  </si>
  <si>
    <t>Interest on Debt to Associated Companies -- Account 430</t>
  </si>
  <si>
    <t>FF1 117.67c</t>
  </si>
  <si>
    <t xml:space="preserve">2a) Amount in Column 2 from FF1 112.20d, amount in Column 14 from FF1 112.20c, amounts in columns 3-13 from SCE internal records.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</si>
  <si>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</si>
  <si>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</si>
  <si>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 xml:space="preserve">construction of any SCE transmission project. </t>
  </si>
  <si>
    <t>SCE will permanently exclude from Plant In Service, Rate Base, and transmission rates these capital costs if the facilities are not used in the</t>
  </si>
  <si>
    <t>75% of O&amp;M and A&amp;G in Prior Year TRR:</t>
  </si>
  <si>
    <t>Total all Substations (L7  + L8 + L9)</t>
  </si>
  <si>
    <t>ROE at end of Prior Year</t>
  </si>
  <si>
    <t>In Effect</t>
  </si>
  <si>
    <t xml:space="preserve">Days ROE </t>
  </si>
  <si>
    <t>Commission Decisions approving ROE:</t>
  </si>
  <si>
    <t>See Line e below</t>
  </si>
  <si>
    <t>Calculation of weighted average Cost of Capital Rate in Prior Year:</t>
  </si>
  <si>
    <t>h</t>
  </si>
  <si>
    <t>i</t>
  </si>
  <si>
    <t>j</t>
  </si>
  <si>
    <t>Calculation of Equity Rate of Return Including Common and Preferred Stock:</t>
  </si>
  <si>
    <t>See Instruction 1</t>
  </si>
  <si>
    <t>If ROE does not change during year, then attribute all days to Line a "ROE at end of Prior Year" and none to "ROE at start of PY"</t>
  </si>
  <si>
    <t>Acct</t>
  </si>
  <si>
    <t>Wtd. Avg. ROE in Prior Year</t>
  </si>
  <si>
    <t>Wtd. Cost of Long Term Debt</t>
  </si>
  <si>
    <t>Wtd.Cost of Preferred Stock</t>
  </si>
  <si>
    <t>Wtd.Cost of Common Stock</t>
  </si>
  <si>
    <t>3) Schedule 19 "Percent ISO" Allocation Factors (Input values are from SCE Records)</t>
  </si>
  <si>
    <t>ROE Adder $ = (Project CWIP Amount/$1,000,000) * IREF * (ROE Adder % / 1%)</t>
  </si>
  <si>
    <t>3) The load forecast used in Schedule 32 shall be for the calendar year in which the rates are to be in effect.</t>
  </si>
  <si>
    <t>the formula to calculate the correct value in that cell, which can be accomplished in Excel using the Goal Seek function.</t>
  </si>
  <si>
    <t xml:space="preserve">1) Any amount of "Provision for Doubtful Accounts" costs. </t>
  </si>
  <si>
    <t>2) Any amount of "Accounting Suspense" costs.</t>
  </si>
  <si>
    <t>g) Exclude the following costs included in any account 920-935:</t>
  </si>
  <si>
    <t>3) Any penalties of fines.</t>
  </si>
  <si>
    <t>4) Any amount of costs recovered 100% through California Public Utilities Commission ("CPUC") rates.</t>
  </si>
  <si>
    <t>h) Exclude the following amounts of employee incentive compensation from any account 920-935:</t>
  </si>
  <si>
    <t>1) Any Long Term Incentive Compensation ("LTI") costs.</t>
  </si>
  <si>
    <t>ROE start of Prior Year</t>
  </si>
  <si>
    <t>Beginning of Prior Year</t>
  </si>
  <si>
    <t>End of Prior Year</t>
  </si>
  <si>
    <t xml:space="preserve">1) Amounts on Line 13 from corresponding account Schedule 7, column 2.  </t>
  </si>
  <si>
    <t xml:space="preserve">The amounts for each month on the remaining lines are calculated by summing the following values: </t>
  </si>
  <si>
    <t>a) Other ISO Transmission Activity without Incentive Plant Activity on Lines 70-81 for the same month;</t>
  </si>
  <si>
    <t xml:space="preserve">c) The previous month balance of the Transmission Plant - ISO amounts on Lines 1-13.  </t>
  </si>
  <si>
    <t>b) ISO Incentive Plant Activity on Lines 41 to 52 for the same month; and</t>
  </si>
  <si>
    <t xml:space="preserve">For instance, the amount for May of the Prior Year (on Line 6) for Account 353 (Column 5) is the sum of the following values: </t>
  </si>
  <si>
    <t>a) the "Other ISO Transmission Activity without Incentive Plant Activity" for May of the Prior Year (on Line 74, Column 5);</t>
  </si>
  <si>
    <t>b) the "ISO Incentive Plant Activity" for May of the Prior Year (on Line 45, Column 5),</t>
  </si>
  <si>
    <t>c) and the "Transmission Plant - ISO" amount for April of the Prior Year (on Line 5, Column 5)."</t>
  </si>
  <si>
    <t>The amounts for each month on the remaining lines are calculated by summing the following values:</t>
  </si>
  <si>
    <t xml:space="preserve">b) Other Transmission Activity (on Lines 69 to 80) for the same month; and </t>
  </si>
  <si>
    <t>c) Balances for Transmission Depreciation Reserve (on Lines 1 to 13) for the previous month.</t>
  </si>
  <si>
    <t>For instance, the amount for May of the Prior Year (on Line 6) for Account 353 (Column 5) is the sum of the following values:</t>
  </si>
  <si>
    <t>a) Depreciaiton Expense for May of the Prior Year (on Line 44, Column 5);</t>
  </si>
  <si>
    <t xml:space="preserve">b) Other Transmission Activity for May of the Prior Year (on Line 73, Column 5); and </t>
  </si>
  <si>
    <t>c) The balances for Transmission Depreciation Reserve for April of the Prior Yeaer (on Line 5, column 5).</t>
  </si>
  <si>
    <t xml:space="preserve">Days in </t>
  </si>
  <si>
    <t>Prior Year FF Factor:</t>
  </si>
  <si>
    <t>Prior Year  U Factor:</t>
  </si>
  <si>
    <t>on the number of days each FF and U factor was in effect during the Prior Year at issue.</t>
  </si>
  <si>
    <t>during the Prior Year in "Days in Prior Year" Column.</t>
  </si>
  <si>
    <t>and note period of time for which each applies in "From" and "To" columns, and number of days each was in effect</t>
  </si>
  <si>
    <t>((L1 FF Factor * L1 Days) + (L2 FF Factor * L2 Days))/365</t>
  </si>
  <si>
    <t>((L3 U Factor * L3 Days) + (L4 U Factor * L4 Days))/365</t>
  </si>
  <si>
    <t>Calculation or Source</t>
  </si>
  <si>
    <t>Avg. of Sum of Cols. 1 and 2 below</t>
  </si>
  <si>
    <t>Sum of Column 3 below</t>
  </si>
  <si>
    <t xml:space="preserve">  Commission Order</t>
  </si>
  <si>
    <t xml:space="preserve"> Granting Approval of </t>
  </si>
  <si>
    <t xml:space="preserve">  Regulatory Liability</t>
  </si>
  <si>
    <t>The Base Transmission Revenues shown in Column 1 shall be reduced to reflect any retail customer refunds provided by SCE associated with the</t>
  </si>
  <si>
    <t>formula transmission rate that are made through a CPUC-authorized mechanism.</t>
  </si>
  <si>
    <t xml:space="preserve"> Attachment 2 to Appendix IX</t>
  </si>
  <si>
    <t>Formula Rate Spreadsheet</t>
  </si>
  <si>
    <t>f) Line Rents Costs</t>
  </si>
  <si>
    <t>g) Morongo Acres</t>
  </si>
  <si>
    <t>h) Transformers</t>
  </si>
  <si>
    <t>i) Circuit Breakers</t>
  </si>
  <si>
    <t>j) Voltage Control Equipment</t>
  </si>
  <si>
    <t>k) Substation Work Order Cost</t>
  </si>
  <si>
    <t>l) Transmission Work Order Cost</t>
  </si>
  <si>
    <t>m) Transmission Facility Property Damage</t>
  </si>
  <si>
    <t>n) Distribution Transformers</t>
  </si>
  <si>
    <t>o) Distribution Circuit Breakers</t>
  </si>
  <si>
    <t>p) Distribution Voltage Control Equipment</t>
  </si>
  <si>
    <t>Amounts on Line 1 must match corresponding account Schedule 7, Column 2 for previous year.</t>
  </si>
  <si>
    <t xml:space="preserve">1) Amounts on Line 13 based on current year Plant Study.  Amounts on Line 1 shall be based previous year Plant Study, and </t>
  </si>
  <si>
    <t>shall match amounts on Line 13 in previous year Annual Update.</t>
  </si>
  <si>
    <t xml:space="preserve">Cost Adjustment </t>
  </si>
  <si>
    <t xml:space="preserve">4) The Cost Adjustment component may be included as provided in the Tariff protocols. </t>
  </si>
  <si>
    <t>(Instructions 1&amp;2)</t>
  </si>
  <si>
    <t>Instruction 1: For any "Company Wide" ADIT line item balance (i.e., that include Catalina Gas or Water costs), indicate in Column 7</t>
  </si>
  <si>
    <t>with a leading "C:".</t>
  </si>
  <si>
    <t xml:space="preserve">Instruction 2: For any Company Wide ADIT balance items, include a portion of the total Column 2 balance in Column 3 </t>
  </si>
  <si>
    <t>"Gas, Generation, or Other Related" based on the following percentages.</t>
  </si>
  <si>
    <t xml:space="preserve">1) For Line items allocated based on the Wages and Salaries Allocation Factor: </t>
  </si>
  <si>
    <t>A:Total Electric Wages and Salaries</t>
  </si>
  <si>
    <t>B:Gas Wages and Salaries</t>
  </si>
  <si>
    <t>FF1 355.62b</t>
  </si>
  <si>
    <t>C:Water Wages and Salaries</t>
  </si>
  <si>
    <t>FF1 355.64b</t>
  </si>
  <si>
    <t>D:Total Electric, Gas, and Water Wages and Salaries</t>
  </si>
  <si>
    <t>A+B+C</t>
  </si>
  <si>
    <t>E:Labor Percentage "Gas, Generation, or Other"</t>
  </si>
  <si>
    <t>(B+C) / D</t>
  </si>
  <si>
    <t xml:space="preserve">2) For Line items allocated based on the Transmission Plant Allocation Factor or "ISO Only": </t>
  </si>
  <si>
    <t>F:Total Electric Plant In Service</t>
  </si>
  <si>
    <t>G:Total Gas Plant In Service</t>
  </si>
  <si>
    <t>FF1 201.8d</t>
  </si>
  <si>
    <t>H:Total Water Plant in Service</t>
  </si>
  <si>
    <t>FF1 201.8e</t>
  </si>
  <si>
    <t>I:Total Electric, Gas, and Water Plant In Service</t>
  </si>
  <si>
    <t>F+G+H</t>
  </si>
  <si>
    <t>J:Plant Percentage "Gas, Generation, or Other"</t>
  </si>
  <si>
    <t>(G+H) / I</t>
  </si>
  <si>
    <t>=C7-C9</t>
  </si>
  <si>
    <t>Corporate</t>
  </si>
  <si>
    <t>Overheads</t>
  </si>
  <si>
    <t>AFUDC</t>
  </si>
  <si>
    <t xml:space="preserve">Cost of </t>
  </si>
  <si>
    <t>ISO Corp OH Rate</t>
  </si>
  <si>
    <t>Cost of Removal Rate</t>
  </si>
  <si>
    <t>ISO AFUDC Rate</t>
  </si>
  <si>
    <t>C2*C3</t>
  </si>
  <si>
    <t>Accrual</t>
  </si>
  <si>
    <t>Plant Balance</t>
  </si>
  <si>
    <t>Sum of Depreciation Expense</t>
  </si>
  <si>
    <t>Composite Depreciation Rate</t>
  </si>
  <si>
    <t>4) ISO Corporate Overhead Loader</t>
  </si>
  <si>
    <t>7) Calculation of ISO Depreciation Rate</t>
  </si>
  <si>
    <t>5) ISO Cost of Removal Percent</t>
  </si>
  <si>
    <t>6) AFUDC Loader Rate</t>
  </si>
  <si>
    <t>2) Total Forecast Period CWIP Expenditures (see Note 1)</t>
  </si>
  <si>
    <t>Unloaded</t>
  </si>
  <si>
    <t xml:space="preserve">Total </t>
  </si>
  <si>
    <t>Prior Period</t>
  </si>
  <si>
    <t>Over Heads</t>
  </si>
  <si>
    <t>Expenditures</t>
  </si>
  <si>
    <t>CWIP Exp</t>
  </si>
  <si>
    <t>Plant Adds</t>
  </si>
  <si>
    <t>CWIP Closed</t>
  </si>
  <si>
    <t>Closed to PIS</t>
  </si>
  <si>
    <t>Period CWIP</t>
  </si>
  <si>
    <t>Incremental CWIP</t>
  </si>
  <si>
    <t>3) Forecast Period CWIP Expenditures by Project (see Note 1)</t>
  </si>
  <si>
    <t>3a) Project:</t>
  </si>
  <si>
    <t>= C1 + C2</t>
  </si>
  <si>
    <t>= Prior Month C7
+ C3 - C4 - C6</t>
  </si>
  <si>
    <t>= C7 - 
Dec Prior Year C7</t>
  </si>
  <si>
    <t>3b) Project:</t>
  </si>
  <si>
    <t>Devers to Colorado River</t>
  </si>
  <si>
    <t>3c) Project:</t>
  </si>
  <si>
    <t>Eldorado Ivanpah</t>
  </si>
  <si>
    <t>3d) Project:</t>
  </si>
  <si>
    <t>Lugo Pisgah</t>
  </si>
  <si>
    <t>3e) Project:</t>
  </si>
  <si>
    <t>3f) Project:</t>
  </si>
  <si>
    <t>Whirlwind Substation Expansion</t>
  </si>
  <si>
    <t>Unload</t>
  </si>
  <si>
    <t>3g) Project:</t>
  </si>
  <si>
    <t>Colorado River Substation Expansion</t>
  </si>
  <si>
    <t>3h) Project:</t>
  </si>
  <si>
    <t>South of Kramer</t>
  </si>
  <si>
    <t>3i) Project:</t>
  </si>
  <si>
    <t>West of Devers</t>
  </si>
  <si>
    <t>3j) Project:</t>
  </si>
  <si>
    <t>add additional projects below this line (See Instruction 3)</t>
  </si>
  <si>
    <t>3) If Commission approval is granted to include CWIP in Rate Base for additional projects, include additional tables for each of those additional projects.</t>
  </si>
  <si>
    <t>during the Rate Year, incremental to the year-end Prior Year amount.</t>
  </si>
  <si>
    <t>It is calculated on a 13-Month Average Basis during the Rate Year.</t>
  </si>
  <si>
    <t>1) Total Plant Additions Forecast (See Note 1)</t>
  </si>
  <si>
    <t>Loaded</t>
  </si>
  <si>
    <t>Eligible Plant</t>
  </si>
  <si>
    <t>2) Incentive Plant Forecast (See Note 1)</t>
  </si>
  <si>
    <t>C4 10-CWIP
L30-50</t>
  </si>
  <si>
    <t>C5 10-CWIP
L30-50</t>
  </si>
  <si>
    <t>C6 10-CWIP
L30-50</t>
  </si>
  <si>
    <t>N/A</t>
  </si>
  <si>
    <t>= Prior Month C7
+C1+C3</t>
  </si>
  <si>
    <t>= Prior Month C7 
* L88/12</t>
  </si>
  <si>
    <t>= Prior Month C9
 + C8</t>
  </si>
  <si>
    <t>=C11* (1-L70)
* (1+L73+L67)</t>
  </si>
  <si>
    <t>3) Non-Incentive Plant Forecast (See Note 1)</t>
  </si>
  <si>
    <t>= Prior Month C2
+C2+C5+C6</t>
  </si>
  <si>
    <t>December Prior Year plant balances and accrual rates are as shown on Schedule 17 Depreciation</t>
  </si>
  <si>
    <t>2) Sum of Incentive Plant Calculations and Non-Incentive Calculations, lines 23-43 and lines 44-64</t>
  </si>
  <si>
    <t>= C1 * 
16-Plnt Add Line 65</t>
  </si>
  <si>
    <t>= (C4 - C5) *
16-Plnt Add Line 65</t>
  </si>
  <si>
    <t>Complete this Schedule every other Annual Update beginning with the 2014 Annual Update (for Rate Year 2015)</t>
  </si>
  <si>
    <t>if the absolute value of the sum of the Cumulative PBOP Recovery Difference and the Future PBOP Recovery Difference is greater</t>
  </si>
  <si>
    <t>than 20% of the sum of SCE's forecast PBOP expense for the current year and the following year.</t>
  </si>
  <si>
    <t>Check of above-described condition:</t>
  </si>
  <si>
    <t>Years</t>
  </si>
  <si>
    <t>Cumulative PBOP Recovery Difference</t>
  </si>
  <si>
    <t>Future PBOP Recovery Difference</t>
  </si>
  <si>
    <t>Absolute Value of sum of a and b:</t>
  </si>
  <si>
    <t>20% of Two-Year Forecast PBOPs Expenses</t>
  </si>
  <si>
    <t xml:space="preserve">Is Filing Necessary? </t>
  </si>
  <si>
    <t>Amount of PBOPs Expenses that SCE must</t>
  </si>
  <si>
    <t>(C1)</t>
  </si>
  <si>
    <t>(C2)</t>
  </si>
  <si>
    <t>(C3)</t>
  </si>
  <si>
    <t>file for if filing is necessary:</t>
  </si>
  <si>
    <t xml:space="preserve">50% of </t>
  </si>
  <si>
    <t>PBOP</t>
  </si>
  <si>
    <t xml:space="preserve">Filing </t>
  </si>
  <si>
    <t xml:space="preserve">PBOPs </t>
  </si>
  <si>
    <t>Recovery</t>
  </si>
  <si>
    <t>Expenses</t>
  </si>
  <si>
    <t xml:space="preserve">1) The Cumulative PBOP Recovery Difference is the cumulative over-recovery or under-recovery of SCE’s PBOP expense amount </t>
  </si>
  <si>
    <t xml:space="preserve">during the period beginning on the date the currently-effective Authorized PBOB Expense Amount became effective and </t>
  </si>
  <si>
    <t>ending on December 31 of the immediately preceding Rate Year (“Prior PBOP Recovery Period”)</t>
  </si>
  <si>
    <t>Current Authorized PBOPs Expense Amount:</t>
  </si>
  <si>
    <t>Schedule 20, Note 3</t>
  </si>
  <si>
    <t>Over (-) or</t>
  </si>
  <si>
    <t>Under (+)</t>
  </si>
  <si>
    <t xml:space="preserve">First Year currently-effective </t>
  </si>
  <si>
    <t>PBOP Amount became effective:</t>
  </si>
  <si>
    <t>Cumulative PBOP Recovery Difference:</t>
  </si>
  <si>
    <t xml:space="preserve">Sum of above </t>
  </si>
  <si>
    <t>2) The Future PBOP Recovery Difference is the difference between:</t>
  </si>
  <si>
    <t>a) The sum of SCE's Forecast PBOP Expense for the current year and next year ("Projected Expense"); and</t>
  </si>
  <si>
    <t xml:space="preserve">b) The sum of SCE's PBOPs Expense amount to be recovered under its Formula Rate for the current year </t>
  </si>
  <si>
    <t>and the next year at the current Authorized PBOPs Expense Amount ("Projected Recovery").</t>
  </si>
  <si>
    <t>Calculation of Future PBOP Recovery Difference:</t>
  </si>
  <si>
    <t>Projected Expense:</t>
  </si>
  <si>
    <t>Sum of first two years of Forecast PBOPs Expenses</t>
  </si>
  <si>
    <t>Projected Recovery:</t>
  </si>
  <si>
    <t>(Current Authorized PBOPs Expense Amount) * 2</t>
  </si>
  <si>
    <t>Future PBOP Recovery Difference:</t>
  </si>
  <si>
    <t>Projected Expense less Projected Recovery</t>
  </si>
  <si>
    <t>Five Year Forecast PBOPs Expenses:</t>
  </si>
  <si>
    <t>Forecast PBOP</t>
  </si>
  <si>
    <t>Twenty Percent of sum of forecast PBOP Expense for current</t>
  </si>
  <si>
    <t>Rate Year and Immediately succeeding Rate Year:</t>
  </si>
  <si>
    <t>PBOPs Filing Determination</t>
  </si>
  <si>
    <t>Determination of PBOPs Filing Requirement and PBOPs Filing Amounts</t>
  </si>
  <si>
    <t>If amount on Line 3 is greater than amount on Line 4, then SCE must make filing.</t>
  </si>
  <si>
    <t>If (L3&gt;L4) then "Yes", else "No"</t>
  </si>
  <si>
    <t>Pursuant to Section 8.b of the formula rate protocols, SCE must make a filing to adjust the current Authorized PBOPs Expense Amount</t>
  </si>
  <si>
    <t>Calculation of Cumulative PBOP Recovery Difference (see Instruction 1):</t>
  </si>
  <si>
    <t>Note 2, Line i</t>
  </si>
  <si>
    <t>1) Enter "PBOPs Recovery" amounts in each line corresponding to a year in the "Prior PBOP Recovery Period" equal to the</t>
  </si>
  <si>
    <t>Current Authorized PBOPs Expense Amount in Note 1.  Enter "PBOPs Expenses" for each year equal to SCE's actual PBOPs expenses.</t>
  </si>
  <si>
    <t>(d+e) * 0.2</t>
  </si>
  <si>
    <t>Unfunded Reserves</t>
  </si>
  <si>
    <t>Determination of Unfunded Reserves</t>
  </si>
  <si>
    <t>(Line 17, Col 3)</t>
  </si>
  <si>
    <t>Unfunded</t>
  </si>
  <si>
    <t>Reserves</t>
  </si>
  <si>
    <t>Provision for Injuries and Damages</t>
  </si>
  <si>
    <t>(Line 26)</t>
  </si>
  <si>
    <t>Provision for Vac/Sick Leave</t>
  </si>
  <si>
    <t>(Line 33)</t>
  </si>
  <si>
    <t>Provision for Supplemental Executive Retirement Plan</t>
  </si>
  <si>
    <t>(Line 42)</t>
  </si>
  <si>
    <t>(Line 14 + Line 15 + Line 16)</t>
  </si>
  <si>
    <t>Calculations</t>
  </si>
  <si>
    <t>BOY/EOY</t>
  </si>
  <si>
    <t>Injuries and Damages - Acct. 2251010</t>
  </si>
  <si>
    <t>Company Records - Input (Negative)</t>
  </si>
  <si>
    <t>Net Injuries and Damages</t>
  </si>
  <si>
    <t>(Line 22 + Line 23)</t>
  </si>
  <si>
    <t>(27-Allocators, Line 9)</t>
  </si>
  <si>
    <t>ISO Transmission Rate Base Applicable</t>
  </si>
  <si>
    <t>(Line 24 x Line 25)</t>
  </si>
  <si>
    <t>Vacation Leave</t>
  </si>
  <si>
    <t>Vacation and Personal Time Accruals - Acct. 2350080</t>
  </si>
  <si>
    <t xml:space="preserve">Net Vacation Leave </t>
  </si>
  <si>
    <t>(Line 29 + Line 30)</t>
  </si>
  <si>
    <t>(Line 31 x Line 32)</t>
  </si>
  <si>
    <t>Supplemental Executive Retirement Plan</t>
  </si>
  <si>
    <t>Times:</t>
  </si>
  <si>
    <t>Applicable Rate Base Percentage</t>
  </si>
  <si>
    <t>Sub-Total Supplemental Executive Retirement Plan</t>
  </si>
  <si>
    <t>(Line 36 x Line 37)</t>
  </si>
  <si>
    <t>Net Supplemental Executive Retirement Plan</t>
  </si>
  <si>
    <t>(Line 38 + Line 39)</t>
  </si>
  <si>
    <t>(Line 40 x Line 41)</t>
  </si>
  <si>
    <t>Unfunded Reserves (Average BOY/EOY):</t>
  </si>
  <si>
    <t>Unfunded Reserves (EOY):</t>
  </si>
  <si>
    <t>(Line 17, Col 2)</t>
  </si>
  <si>
    <t>f) EPRI and EEI Expenses</t>
  </si>
  <si>
    <t>c) Calculation of EPRI and EEI Expense Exclusion</t>
  </si>
  <si>
    <t>EEI Expenses</t>
  </si>
  <si>
    <t>EPRI and EEI Expense Exclusion</t>
  </si>
  <si>
    <t>Sum of EPRI and EEI Expenses</t>
  </si>
  <si>
    <t>5) EPRI and EEI Expense Exclusion</t>
  </si>
  <si>
    <t xml:space="preserve">50% of the total balance in Column 1, plus an amount equal to the "Labor Percentage Gas, Generation, or Other" shown on Line E of Instruction 1 times 50% of the total balance in Column 1. </t>
  </si>
  <si>
    <t>The remaining amount shall be included in Column 6 "Labor Related".</t>
  </si>
  <si>
    <t>Preferred Stock Amount -- Account 204 (Note 8):</t>
  </si>
  <si>
    <t xml:space="preserve">8) Amount in Column 2 from FF1 112.3d, amount in Column 14 from FF1 112.3c, amounts in columns 3-13 from SCE internal records. </t>
  </si>
  <si>
    <t>9) Amounts in columns 2-14 are from SCE internal records.</t>
  </si>
  <si>
    <t>10) Amounts in columns 2-14 are from SCE internal records.</t>
  </si>
  <si>
    <t>Net Gain (Loss) From Purchase and Tender Offers Note 10):</t>
  </si>
  <si>
    <t>Total Proprietary Capital (Note 11):</t>
  </si>
  <si>
    <t xml:space="preserve">11) Amount in Column 2 from FF1 112.16d, amount in Column 14 from FF1 112.16c, amounts in columns 3-13 from SCE internal records. </t>
  </si>
  <si>
    <t xml:space="preserve">12) Amount in Column 2 from FF1 112.12d (opposite sign), amount in Column 14 from FF1 112.12c (opposite sign), amounts in columns 3-13 from SCE internal records. </t>
  </si>
  <si>
    <t>13) Amount in Column 2 from FF1 112.15d (opposite sign), amount in Column 14 from FF1 112.15c (opposite sign), amounts in columns 3-13 from SCE internal records.</t>
  </si>
  <si>
    <t>Note 2, d-h</t>
  </si>
  <si>
    <t>Calculation for Columns 2 and 3</t>
  </si>
  <si>
    <t>C2 = L1 * 0.5, C3 = C1 + C2</t>
  </si>
  <si>
    <t>C2 NA, C3 =Avg of L7,L8,L9, C1</t>
  </si>
  <si>
    <t>Absolute Value (Sum of L1 and L2)</t>
  </si>
  <si>
    <t>Calculation of Unfunded Reserves</t>
  </si>
  <si>
    <t>excluded.  For one-time costs, pre-in-service and post-in-service interest is included.</t>
  </si>
  <si>
    <t xml:space="preserve">Interest relates to refund of facility and one-time payments by generator.  For facility costs, pre-in-service date interest is  </t>
  </si>
  <si>
    <t>Total days in year:</t>
  </si>
  <si>
    <t>((Line a ROE * Line a days) + (Line b ROE * Line b days)) / Total Days in Year</t>
  </si>
  <si>
    <t>SCE Records and Workpapers</t>
  </si>
  <si>
    <t>(-Line 22 x (1-BaseTRR, Line 58))</t>
  </si>
  <si>
    <t>(-Line 29 x (1-BaseTRR, Line 58))</t>
  </si>
  <si>
    <t>(-Line 38 x (1-BaseTRR, Line 58))</t>
  </si>
  <si>
    <t xml:space="preserve">5) </t>
  </si>
  <si>
    <t>Not Used</t>
  </si>
  <si>
    <t>NOT USED</t>
  </si>
  <si>
    <t xml:space="preserve">4) </t>
  </si>
  <si>
    <t>Remaining A&amp;G after exclusions &amp; NOIC Adjustment:</t>
  </si>
  <si>
    <t>NOIC</t>
  </si>
  <si>
    <t xml:space="preserve">Note 2: Non-Officer Incentive Compensation ("NOIC") Adjustment </t>
  </si>
  <si>
    <t>(NOIC includes Results Sharing, Management Incentive Program, and Non-Officer Executive Incentive Compensation).</t>
  </si>
  <si>
    <t xml:space="preserve">Adjust NOIC by excluding accrued NOIC Amount and replacing with the </t>
  </si>
  <si>
    <t>Accrued NOIC Amount:</t>
  </si>
  <si>
    <t>Actual A&amp;G NOIC payout:</t>
  </si>
  <si>
    <t>2) Fill out "Itemization of Exclusions" table for all input cells. NOIC amount in</t>
  </si>
  <si>
    <t xml:space="preserve">2) Beginning with Prior Year 2012, any amount of Officer Executive Incentive Compensation ("OEIC")  in excess of the amount </t>
  </si>
  <si>
    <t xml:space="preserve">    authorized by the CPUC in Decision D.12-11-051 or subsequent decision.</t>
  </si>
  <si>
    <t xml:space="preserve">3) Beginning with Prior Year 2012, any amount of Supplemental Executive Retirement Plan ("SERP") in excess of the amount </t>
  </si>
  <si>
    <t>4) Beginning with Prior Year 2012, any amount of NOIC in excess of the amount authorized by the CPUC in Decision D.12-11-051 or subsequent decision.</t>
  </si>
  <si>
    <t>5) Any Spot Bonus costs.</t>
  </si>
  <si>
    <t>6) Any Awards to Celebrate Excellence  ("ACE") costs.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</si>
  <si>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</si>
  <si>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</si>
  <si>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</si>
  <si>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Transmission NOIC (Note 3)</t>
  </si>
  <si>
    <t>Distribution NOIC (Note 3)</t>
  </si>
  <si>
    <t>Total TDBU NOIC</t>
  </si>
  <si>
    <t>Transmission NOIC (Note 4)</t>
  </si>
  <si>
    <t>Distribution NOIC (Note 4)</t>
  </si>
  <si>
    <t>E: Add NOIC annual payout</t>
  </si>
  <si>
    <t>the Transmission NOIC Percentage calculated below.  Distribution NOIC equals Total TDBU NOIC times the Distribution NOIC Percentage below.</t>
  </si>
  <si>
    <t>Total TDBU NOIC is on Line:</t>
  </si>
  <si>
    <t>Transmission NOIC Percentage:</t>
  </si>
  <si>
    <t>Distribution NOIC Percentage:</t>
  </si>
  <si>
    <t xml:space="preserve">4) NOIC attributable to ISO Transmission (Column 7) is calculated utilizing a percentage equal to the ratio of total ISO O&amp;M Labor Expenses in column 7 (exclusive of NOIC) to </t>
  </si>
  <si>
    <t>the total labor expenses in column 3 (exclusive of NOIC).  That allocator, which is identified below, is then applied to the value in Column 3 to arrive at the NOIC attributable to ISO Transmission in Column 7.</t>
  </si>
  <si>
    <t>Less A&amp;G NOIC</t>
  </si>
  <si>
    <t>NOIC wo A&amp;G NOIC</t>
  </si>
  <si>
    <t>Total non-A&amp;G W&amp;S with NOIC</t>
  </si>
  <si>
    <t>3) Total TDBU NOIC is allocated to Transmission and Distribution in proportion to labor in the respective functions.  Transmission NOIC ("Non-Officer Incentive Compensation") equals Total TDBU NOIC times</t>
  </si>
  <si>
    <t>Total NOIC (Non-Officer Incentive Compensation)</t>
  </si>
  <si>
    <t>dividing adopted Uncollectibles expense by Total Operating revenues less Uncollectibles Expense.  Resulting FF &amp; U</t>
  </si>
  <si>
    <t>3) Enter ISO portion of plant in Column 2, "Transmission Plant - ISO, or "Distribution Plant - ISO".</t>
  </si>
  <si>
    <t>Depreciation Rates (Percent per year)  See "18-DepRates" and Instruction 1.</t>
  </si>
  <si>
    <t>17a</t>
  </si>
  <si>
    <t>17b</t>
  </si>
  <si>
    <t>17c</t>
  </si>
  <si>
    <t>17d</t>
  </si>
  <si>
    <t>17e</t>
  </si>
  <si>
    <t>17f</t>
  </si>
  <si>
    <t>17g</t>
  </si>
  <si>
    <t>17h</t>
  </si>
  <si>
    <t>17i</t>
  </si>
  <si>
    <t>17j</t>
  </si>
  <si>
    <t>17k</t>
  </si>
  <si>
    <t>17l</t>
  </si>
  <si>
    <t>17m</t>
  </si>
  <si>
    <t>1) Depreciation rates on Lines 17a-17m input from Schedule 18.  However, in the event of a mid-year change in depreciation rates approved by the Commission,</t>
  </si>
  <si>
    <t xml:space="preserve">the rates stated on Schedule 18 will represent end of Prior Year rates.  To correctly calculate depreciation expense for Transmission Plant - ISO for the entire  </t>
  </si>
  <si>
    <t xml:space="preserve">Prior Year, input depreciation rates from Schedule 18 only for those months during which the new rates were in effect, and input previous </t>
  </si>
  <si>
    <t>effective rates in the months for which they were in effect.</t>
  </si>
  <si>
    <t xml:space="preserve">5) Enter any One Time Adjustments on Column 4, Line 11 (or other appropriate).  If SCE is owed enter as positive, if SCE is to return to customers enter as negative.  </t>
  </si>
  <si>
    <t>6) Fill in matrix of all retail revenues from Prior Year in table on lines 92 to 103.</t>
  </si>
  <si>
    <t>7) Enter Total Sales to Ultimate Consumers on line 106 and verify that it equals the total on line 104.</t>
  </si>
  <si>
    <t>c) Reliability Services Revenue.</t>
  </si>
  <si>
    <t>b) Transmission Access Charge Balancing Account Adjustment.</t>
  </si>
  <si>
    <t xml:space="preserve">a) Transmission Revenue Balancing Account Adjustment revenue. </t>
  </si>
  <si>
    <t>1) Not Used</t>
  </si>
  <si>
    <t>2) Not Used</t>
  </si>
  <si>
    <t xml:space="preserve">6) </t>
  </si>
  <si>
    <t xml:space="preserve">7) </t>
  </si>
  <si>
    <t xml:space="preserve">2) </t>
  </si>
  <si>
    <t>3) Update notes 9 and 10 as necessary.</t>
  </si>
  <si>
    <t>a) Depreciation Expense (on Lines 40 to 51) for the same month;</t>
  </si>
  <si>
    <t xml:space="preserve">removes the interest income/expense amounts previously recorded and included in current tax expense.  The purpose of the adjustment is to reflect only income </t>
  </si>
  <si>
    <t>tax amounts without any interest income/expense amounts.  The amount is directly from SCE's accounting system.</t>
  </si>
  <si>
    <t>Mono Power Company is a subsidiary company.  Net Earnings are reported on Acct 418.1, pg 225.11e.  Revenues and costs shall be non-ISO.</t>
  </si>
  <si>
    <t>SCE Capital Company is a subsidiary company.  Net Earnings are reported on Acct 418.1, pg 225.23e.  Revenues and costs shall be non-ISO.</t>
  </si>
  <si>
    <t>3) Includes recorded Transmission Plant-In-Service additions, retirements, transfers and adjustments.  From SCE internal acounting records.</t>
  </si>
  <si>
    <t>3) Total annual amortization associated with events listed in note 10 on 5-ROR-2.</t>
  </si>
  <si>
    <t>4) Total annual amortization associated with preferred equity issues listed in note 9 on 5-ROR-2.</t>
  </si>
  <si>
    <t>Note 2: Adjustment to exclude interest component related portion of Federal Income Taxes Payable on Line 805.  The Interest Income Reclassification adjustment</t>
  </si>
  <si>
    <t>Sum of Column D, Line 43 and Column G, Line 32</t>
  </si>
  <si>
    <t xml:space="preserve">Instruction 3: For any balances in account 190 relating to "Executive Incentive Comp" or "Executive Incentive Plan", the amount included in Column 3 "Gas, Generation or Other Related" shall be </t>
  </si>
  <si>
    <t>Instruction 4: Classify any ADIT line items relating to refunding and retirement of debt as Plant related (Column 5).</t>
  </si>
  <si>
    <t>Instruction 5: For any balances in account 190 relating to stock options, the entire amount is included in Column 3 “Gas, Generation or Other Related.”</t>
  </si>
  <si>
    <t>Accrual Rate</t>
  </si>
  <si>
    <t>18 Dep Rates L1</t>
  </si>
  <si>
    <t>18 Dep Rates L2</t>
  </si>
  <si>
    <t>18 Dep Rates L3</t>
  </si>
  <si>
    <t>18 Dep Rates L4</t>
  </si>
  <si>
    <t>18 Dep Rates L5</t>
  </si>
  <si>
    <t>18 Dep Rates L6</t>
  </si>
  <si>
    <t>18 Dep Rates L7</t>
  </si>
  <si>
    <t>18 Dep Rates L8</t>
  </si>
  <si>
    <t>18 Dep Rates L9</t>
  </si>
  <si>
    <t>18 Dep Rates L10</t>
  </si>
  <si>
    <t>1/16 (O&amp;M + A&amp;G)</t>
  </si>
  <si>
    <t>Income Taxes = [((RB * ER) + D) * (CTR/(1 – CTR))]  + CO/(1 – CTR)</t>
  </si>
  <si>
    <t>actual non-capitalized A&amp;G NOIC payout.</t>
  </si>
  <si>
    <t>Actual non-capitalized NOIC Payouts:</t>
  </si>
  <si>
    <t>Forecast 12-CP Retail Load:</t>
  </si>
  <si>
    <t>End of Year Amount</t>
  </si>
  <si>
    <t>Beginning of Year Amount</t>
  </si>
  <si>
    <t>2) Sum of project specific values from lines 53-73, 76-96, 99-119, 122-142, 145-165, 168-188, 191-211, 214-234, 237-257, 260-280,…</t>
  </si>
  <si>
    <t>2) Enter forecast project specific values on lines 53-73, 76-96, 99-119, 122-142, 145-165, 168-188, 191-211, 214-234, 237-257, 260-280,...</t>
  </si>
  <si>
    <t>Full Development of Retail and Wholesale Base TRRs</t>
  </si>
  <si>
    <t>Presentation of Prior Year CWIP and Forecast Period Incremental CWIP</t>
  </si>
  <si>
    <t>True Up TRR without Franchise Fees and Uncollectibles Expense included:</t>
  </si>
  <si>
    <t>k</t>
  </si>
  <si>
    <t xml:space="preserve">b) EOY General and Intangible Depreciation Reserve </t>
  </si>
  <si>
    <r>
      <t xml:space="preserve">Row </t>
    </r>
    <r>
      <rPr>
        <u/>
        <sz val="10"/>
        <rFont val="Arial"/>
        <family val="2"/>
      </rPr>
      <t>37</t>
    </r>
    <r>
      <rPr>
        <sz val="10"/>
        <rFont val="Arial"/>
        <family val="2"/>
      </rPr>
      <t>, Column i</t>
    </r>
  </si>
  <si>
    <r>
      <t xml:space="preserve">Row </t>
    </r>
    <r>
      <rPr>
        <u/>
        <sz val="10"/>
        <rFont val="Arial"/>
        <family val="2"/>
      </rPr>
      <t>5</t>
    </r>
    <r>
      <rPr>
        <sz val="10"/>
        <rFont val="Arial"/>
        <family val="2"/>
      </rPr>
      <t>, Column i</t>
    </r>
  </si>
  <si>
    <r>
      <t xml:space="preserve">Row </t>
    </r>
    <r>
      <rPr>
        <u/>
        <sz val="10"/>
        <rFont val="Arial"/>
        <family val="2"/>
      </rPr>
      <t>7</t>
    </r>
    <r>
      <rPr>
        <sz val="10"/>
        <rFont val="Arial"/>
        <family val="2"/>
      </rPr>
      <t>, Column i</t>
    </r>
  </si>
  <si>
    <r>
      <t xml:space="preserve">Row </t>
    </r>
    <r>
      <rPr>
        <u/>
        <sz val="10"/>
        <rFont val="Arial"/>
        <family val="2"/>
      </rPr>
      <t>8</t>
    </r>
    <r>
      <rPr>
        <sz val="10"/>
        <rFont val="Arial"/>
        <family val="2"/>
      </rPr>
      <t>, Column i</t>
    </r>
  </si>
  <si>
    <r>
      <t xml:space="preserve">Row </t>
    </r>
    <r>
      <rPr>
        <u/>
        <sz val="10"/>
        <rFont val="Arial"/>
        <family val="2"/>
      </rPr>
      <t>23</t>
    </r>
    <r>
      <rPr>
        <sz val="10"/>
        <rFont val="Arial"/>
        <family val="2"/>
      </rPr>
      <t>, Column i</t>
    </r>
  </si>
  <si>
    <r>
      <t xml:space="preserve">Row </t>
    </r>
    <r>
      <rPr>
        <u/>
        <sz val="10"/>
        <rFont val="Arial"/>
        <family val="2"/>
      </rPr>
      <t>9</t>
    </r>
    <r>
      <rPr>
        <sz val="10"/>
        <rFont val="Arial"/>
        <family val="2"/>
      </rPr>
      <t>, Column i</t>
    </r>
  </si>
  <si>
    <r>
      <t xml:space="preserve">Row </t>
    </r>
    <r>
      <rPr>
        <u/>
        <sz val="10"/>
        <rFont val="Arial"/>
        <family val="2"/>
      </rPr>
      <t>39</t>
    </r>
    <r>
      <rPr>
        <sz val="10"/>
        <rFont val="Arial"/>
        <family val="2"/>
      </rPr>
      <t>, Column i</t>
    </r>
  </si>
  <si>
    <t>Jan 1, 2011</t>
  </si>
  <si>
    <t>Dec 31, 2011</t>
  </si>
  <si>
    <t>NA</t>
  </si>
  <si>
    <t>136 FERC ¶ 61,074</t>
  </si>
  <si>
    <t>Series A Pref., 5.349% initial rate</t>
  </si>
  <si>
    <t>Dividend rate is variable after 4/30/2010</t>
  </si>
  <si>
    <t>Series B Pref., 6.125%</t>
  </si>
  <si>
    <t>Series C Pref., 6.000%</t>
  </si>
  <si>
    <t>Series D Pref., 6.500%</t>
  </si>
  <si>
    <t>8.540% Preferred, premium</t>
  </si>
  <si>
    <t>November 1985</t>
  </si>
  <si>
    <t>Net gain from open-market purchase of 67,400 shares in November 1985</t>
  </si>
  <si>
    <t>12.000% Preferred, redemption</t>
  </si>
  <si>
    <t>February 1986</t>
  </si>
  <si>
    <t>Redemption premium paid to holders (so loss to company)</t>
  </si>
  <si>
    <t>Initial issue discount</t>
  </si>
  <si>
    <t>Dec 2010</t>
  </si>
  <si>
    <t>Jan 2011</t>
  </si>
  <si>
    <t>Feb 2011</t>
  </si>
  <si>
    <t>Mar 2011</t>
  </si>
  <si>
    <t>Apr 2011</t>
  </si>
  <si>
    <t>May 2011</t>
  </si>
  <si>
    <t>Jun 2011</t>
  </si>
  <si>
    <t>Jul 2011</t>
  </si>
  <si>
    <t>Aug 2011</t>
  </si>
  <si>
    <t>Sep 2011</t>
  </si>
  <si>
    <t>Oct 2011</t>
  </si>
  <si>
    <t>Nov 2011</t>
  </si>
  <si>
    <t>Dec 2011</t>
  </si>
  <si>
    <t>Amort of Debt Issuance Cost</t>
  </si>
  <si>
    <t>C: Relates to all Regulated Electric Property</t>
  </si>
  <si>
    <t>ECAC</t>
  </si>
  <si>
    <t>Relates Entirely to CPUC Balancing Account Recovery</t>
  </si>
  <si>
    <t>Relicensing Fees</t>
  </si>
  <si>
    <t>Relates to Generation Relicensing Fees</t>
  </si>
  <si>
    <t>AC Def Inc Tax - Exchg Energy</t>
  </si>
  <si>
    <t>AC Def Inc Tax - ECAC Incent</t>
  </si>
  <si>
    <t>Yuma Axis Generating Stn</t>
  </si>
  <si>
    <t>Executive Incentive Comp</t>
  </si>
  <si>
    <t>C: Relates to employees in all functions</t>
  </si>
  <si>
    <t>Public Purpose Program Aid &amp; Statutory Costs</t>
  </si>
  <si>
    <t>Acc charges</t>
  </si>
  <si>
    <t>Relates to PVNGS CPUC Cost Recovery</t>
  </si>
  <si>
    <t>DIT - APS Right of Way</t>
  </si>
  <si>
    <t>Relates to 100% ISO facilities</t>
  </si>
  <si>
    <t>Corp Name Change</t>
  </si>
  <si>
    <t>QF termination payments</t>
  </si>
  <si>
    <t>Power Procurement Costs B/A - State PUC</t>
  </si>
  <si>
    <t>Mescalero Fuel Storage</t>
  </si>
  <si>
    <t>Relates to Generation Costs</t>
  </si>
  <si>
    <t>Photovoltaic Facilities</t>
  </si>
  <si>
    <t>Uncollectible Accts. Exp.</t>
  </si>
  <si>
    <t>Component of Working Capital Rate Base Adj.</t>
  </si>
  <si>
    <t>CCFT - TSB -FAS 109</t>
  </si>
  <si>
    <t>Relates to Telecom Business Costs</t>
  </si>
  <si>
    <t xml:space="preserve">RAR Rollforward </t>
  </si>
  <si>
    <t>Relates to employees in all functions</t>
  </si>
  <si>
    <t>Prepaid Expenses</t>
  </si>
  <si>
    <t>Relates to Nuclear Generation Insurance Costs</t>
  </si>
  <si>
    <t>Bond Discount Amort</t>
  </si>
  <si>
    <t>CCFT - Electric</t>
  </si>
  <si>
    <t>Non-Rate Base FAS 109 Tax Flow-Through</t>
  </si>
  <si>
    <t>Decom Net Earn - Non Qua</t>
  </si>
  <si>
    <t>Def Tax Flow Thru ITC</t>
  </si>
  <si>
    <t>Not Component of Rate Base Per IRC §46(f)(2)</t>
  </si>
  <si>
    <t>Def Tax ITC 2-Yr Average</t>
  </si>
  <si>
    <t>Executive Incentive Plan</t>
  </si>
  <si>
    <t>Pension Reserve</t>
  </si>
  <si>
    <t>Uncollectible Accounts E</t>
  </si>
  <si>
    <t>Exec Retrmnt Provision - FAS109</t>
  </si>
  <si>
    <t>Relates to Power Procurement Costs</t>
  </si>
  <si>
    <t>ARAM</t>
  </si>
  <si>
    <t>Ins - Inj/Damages Prov</t>
  </si>
  <si>
    <t>Misc Def Tax</t>
  </si>
  <si>
    <t>Unrealized Gain - Decomm</t>
  </si>
  <si>
    <t>Relates to Nuclear Decommissioning Costs</t>
  </si>
  <si>
    <t>Hazardous Waste</t>
  </si>
  <si>
    <t>Accrued Vacation</t>
  </si>
  <si>
    <t>Health Care - IBNR</t>
  </si>
  <si>
    <t>Uncollec Accts-Claims</t>
  </si>
  <si>
    <t>Def Tax - CCFT Base Rates - R.L.</t>
  </si>
  <si>
    <t>Relates to all Regulated Electric Property</t>
  </si>
  <si>
    <t>Ins Res/Casualty Loss</t>
  </si>
  <si>
    <t>Stock Options Accrue to APIC</t>
  </si>
  <si>
    <t>Relates to executive compensation</t>
  </si>
  <si>
    <t>Decomm NQ Expenses</t>
  </si>
  <si>
    <t>DIT - SFAS 158 - Short Term</t>
  </si>
  <si>
    <t>Exclude interest-related debt costs</t>
  </si>
  <si>
    <t>GRC Marine Mitigation</t>
  </si>
  <si>
    <t>Nuc Decomm Adj Mech (NDAM)</t>
  </si>
  <si>
    <t>Pub Purp Prg Adj Mech (PPPAM)</t>
  </si>
  <si>
    <t>DIT - SRPIM</t>
  </si>
  <si>
    <t>DIT WECC Statutory Costs</t>
  </si>
  <si>
    <t xml:space="preserve">Base Revenue Requirement </t>
  </si>
  <si>
    <t>Demand Responsiveness Memo</t>
  </si>
  <si>
    <t>DIT - FIN Reporting Reserves</t>
  </si>
  <si>
    <t>Nuclear Fuel</t>
  </si>
  <si>
    <t>NQ Decom. Withdraws</t>
  </si>
  <si>
    <t>R&amp;D Overcollection</t>
  </si>
  <si>
    <t>DSMAC Expenses</t>
  </si>
  <si>
    <t>Cont in Aid of Const</t>
  </si>
  <si>
    <t>Relates to CIAC Non-ISO Property Costs</t>
  </si>
  <si>
    <t>Int Capitalized - AFUDC</t>
  </si>
  <si>
    <t>ITCC - CIAC - State</t>
  </si>
  <si>
    <t>PBOP 401H Amortization</t>
  </si>
  <si>
    <t>C: Relates to book/tax deduction timing differences</t>
  </si>
  <si>
    <t>Fixed Costs</t>
  </si>
  <si>
    <t>LSFO Differential</t>
  </si>
  <si>
    <t>Relates to Generation Fuel Costs</t>
  </si>
  <si>
    <t>DFO Differential</t>
  </si>
  <si>
    <t>ADIT - Environ Remed</t>
  </si>
  <si>
    <t xml:space="preserve">DIT DSM-ENERGY EFFICIENCY </t>
  </si>
  <si>
    <t>DIT DSM-LOW INCOME</t>
  </si>
  <si>
    <t>DIT FIRM TRANSMISSION RIGHTS BA</t>
  </si>
  <si>
    <t>SOLAR INVESTMENT TAX CREDIT</t>
  </si>
  <si>
    <t>Non-Rate Base FAS 109 Gross Up - Generation</t>
  </si>
  <si>
    <t>MountainView Generating Station</t>
  </si>
  <si>
    <t>Marine Mitigation</t>
  </si>
  <si>
    <t>DIT MISC Reg Liab/Asset</t>
  </si>
  <si>
    <t>MRTUMA</t>
  </si>
  <si>
    <t>FHPMA LT</t>
  </si>
  <si>
    <t>FC Cpital LT</t>
  </si>
  <si>
    <t>DIT Renewable Portfolio STD Costs MA</t>
  </si>
  <si>
    <t>STATE RATE ADJUSTMENT</t>
  </si>
  <si>
    <t>NUCLEAR FUEL (STATE)</t>
  </si>
  <si>
    <t>CREDIT CARRYFORWARDS</t>
  </si>
  <si>
    <t>Not Component of Rate Base</t>
  </si>
  <si>
    <t>CHARITABLE CONTRIBUTION CARRYFORWARDS</t>
  </si>
  <si>
    <t>EMS</t>
  </si>
  <si>
    <t>DIT - RAR Rollforward - State</t>
  </si>
  <si>
    <t>Gas and Other Non-ISO Related Costs</t>
  </si>
  <si>
    <t>DIT - RAR Rollforward - Federal</t>
  </si>
  <si>
    <t>Ad Val Lien Date-Other</t>
  </si>
  <si>
    <t>CCFT - Gas</t>
  </si>
  <si>
    <t>CCFT - Other</t>
  </si>
  <si>
    <t>CCFT - Water</t>
  </si>
  <si>
    <t>Def Tax - Etiwanda Wst Wtr</t>
  </si>
  <si>
    <t>Rollforward Orig Issue State 09 May Filing</t>
  </si>
  <si>
    <t>Rollforward of settled audit ATL NONRB-Fed</t>
  </si>
  <si>
    <t>Rollforward of settled audit ATL NONRB-State</t>
  </si>
  <si>
    <t>Residential Energy Disconnections MA (REDMA) - LT</t>
  </si>
  <si>
    <t>Palo Verde O&amp;M</t>
  </si>
  <si>
    <t>CCA BA</t>
  </si>
  <si>
    <t>Capital Balancing Accounts</t>
  </si>
  <si>
    <t>Reclass Acct 190 Credit and Acct 283 Debit Balances</t>
  </si>
  <si>
    <t>Other - Offset Reclass Between Accounts</t>
  </si>
  <si>
    <t>Def Inc Tax-Other Prop Opr Inc</t>
  </si>
  <si>
    <t>Acc Def Inc Tax-So Reas Rev</t>
  </si>
  <si>
    <t>Acc Def Inc Tax-Acrs Opr Inc</t>
  </si>
  <si>
    <t>Property-Related CPUC Costs</t>
  </si>
  <si>
    <t xml:space="preserve">Fully Normalized Deferred Tax </t>
  </si>
  <si>
    <t>Property-Related FERC Costs</t>
  </si>
  <si>
    <t>Acc Def Inc Tax-Direct Access</t>
  </si>
  <si>
    <t>DIT - 605 Freeway</t>
  </si>
  <si>
    <t>Pre-'98 T&amp;D State PUC-Related Costs</t>
  </si>
  <si>
    <t>Def Inc Tax Songs 2&amp;3 ICIP</t>
  </si>
  <si>
    <t>Relates to Nuclear Generation Costs</t>
  </si>
  <si>
    <t>Acc Def Inc Tax-Acrs ICIP PV</t>
  </si>
  <si>
    <t>ACRS - Gas &amp; Water</t>
  </si>
  <si>
    <t>Acc Def Inc Tax-AFUDC</t>
  </si>
  <si>
    <t>Repairs 3115 - Retirement Adj</t>
  </si>
  <si>
    <t>Repairs 3115 - FERC Deduction</t>
  </si>
  <si>
    <t>MISC_Year 2009</t>
  </si>
  <si>
    <t>Relates to Steam Generation Costs</t>
  </si>
  <si>
    <t>Def Tax LT - Prop</t>
  </si>
  <si>
    <t>Fully Normalized Deferred Tax - Book</t>
  </si>
  <si>
    <t>Bonus Depreciation CPUC Adj</t>
  </si>
  <si>
    <t>Street Lights</t>
  </si>
  <si>
    <t>Property-Related Def Tax Adjust</t>
  </si>
  <si>
    <t>DPV2 ADIT - Abandonment</t>
  </si>
  <si>
    <t>Def Tax State - Other (GSI)</t>
  </si>
  <si>
    <t>C: FERC-Related state deductions</t>
  </si>
  <si>
    <t>Lease Acctng - PPBU - Short-term</t>
  </si>
  <si>
    <t>Reg Asset - Deferred Tax - Temp</t>
  </si>
  <si>
    <t>Retail Costs - State PUC</t>
  </si>
  <si>
    <t>Solar Photovoltaic Program MA (SPVPMA)</t>
  </si>
  <si>
    <t>Balancing Account Overcollection</t>
  </si>
  <si>
    <t>EDRA</t>
  </si>
  <si>
    <t>Payroll Tax</t>
  </si>
  <si>
    <t>Mohave Transition Costs</t>
  </si>
  <si>
    <t>Ad Valorem Lien Date Adj-Electric</t>
  </si>
  <si>
    <t>Firm Transmission Rights (Other)</t>
  </si>
  <si>
    <t>Procurement Energy EFF BA</t>
  </si>
  <si>
    <t>Haz Waste Bal Acct. - 182.376 &amp; 254.376</t>
  </si>
  <si>
    <t>Ad Valorem Lien Date - Plant Sale</t>
  </si>
  <si>
    <t>Real Time Energy Metering Account</t>
  </si>
  <si>
    <t>CARE Adjustment (Formerly LISAC)</t>
  </si>
  <si>
    <t>RSBA</t>
  </si>
  <si>
    <t>Relates Entirely to FERC Balancing Account Recovery</t>
  </si>
  <si>
    <t>ESMA - Dynergy</t>
  </si>
  <si>
    <t>ESMA - PS Colorado</t>
  </si>
  <si>
    <t>ESMA - Duke</t>
  </si>
  <si>
    <t>ESMA - Reliant</t>
  </si>
  <si>
    <t>ESMA - Enron Settlement</t>
  </si>
  <si>
    <t>ESMA - PS Colorado Settlement</t>
  </si>
  <si>
    <t>Pension Cost Balancing Account</t>
  </si>
  <si>
    <t>Mohave B/A</t>
  </si>
  <si>
    <t>Project Devel Div. M/A</t>
  </si>
  <si>
    <t>Compl. Filings Audit M/A - Qtrly</t>
  </si>
  <si>
    <t>DIT DOE Litigation MEMO Account - New 2008</t>
  </si>
  <si>
    <t>CWIP Balancing Account - ST</t>
  </si>
  <si>
    <t>FERC-Related Balancing Account</t>
  </si>
  <si>
    <t>New System Generation M/A - ST</t>
  </si>
  <si>
    <t>DIT AIMMA</t>
  </si>
  <si>
    <t>LT Proc. Plan Tech Assistance M/A (LTAMA)</t>
  </si>
  <si>
    <t>NDSCMA - (New 10/08)</t>
  </si>
  <si>
    <t>Amortization of Debt Expense</t>
  </si>
  <si>
    <t>Refundable Receivable Line Extension</t>
  </si>
  <si>
    <t>Relates to Refundable Distribution Costs</t>
  </si>
  <si>
    <t>DOE Decontamination &amp; Decommissioning</t>
  </si>
  <si>
    <t>Cum. Effect - FAS 109-SONGS NUC DBD Csts</t>
  </si>
  <si>
    <t>263A Adjustment</t>
  </si>
  <si>
    <t>AFUDC - Equity</t>
  </si>
  <si>
    <t>CIAC-Deferred Rev-FAS 109 Gross-up</t>
  </si>
  <si>
    <t>Non-Rate Base FAS 109 Tax Flow-Thru - CIAC</t>
  </si>
  <si>
    <t>Depreciation - Cal Electric</t>
  </si>
  <si>
    <t>Non-Rate Base FAS 109 Tax Flow-Thru - State Deprec</t>
  </si>
  <si>
    <t>Removal Costs - Electric</t>
  </si>
  <si>
    <t>Non-Rate Base FAS 109 Tax Flow-Thru - Removal</t>
  </si>
  <si>
    <t>Repair Allowance</t>
  </si>
  <si>
    <t>Non-Rate Base FAS 109 Tax Flow-Thru - Repair</t>
  </si>
  <si>
    <t>Right of Way Amort.</t>
  </si>
  <si>
    <t>Non-Rate Base FAS 109 Tax Flow-Thru - ROW</t>
  </si>
  <si>
    <t>Unreal Gain - Decom - Q - Invest</t>
  </si>
  <si>
    <t>Non-Rate Base FAS 109 Tax Flow-Thru - Nuclear</t>
  </si>
  <si>
    <t>Capitalized Software - Others - NEW IN 11/07</t>
  </si>
  <si>
    <t>Non-Rate Base FAS 109 Tax Flow-Thru - Software</t>
  </si>
  <si>
    <t>Capitalized Software Costs -Tax</t>
  </si>
  <si>
    <t>Capitalized Software Costs</t>
  </si>
  <si>
    <t>Repair - CPUC Repair Deduction</t>
  </si>
  <si>
    <t>Property-Related CPUC Costs - Repair</t>
  </si>
  <si>
    <t>Repair - Contra Deferreds/Repair Deduction Reserve</t>
  </si>
  <si>
    <t>Capitalized Software - ERP (Flowthru) - NEW IN 11/07</t>
  </si>
  <si>
    <t>Capitalized Software - ERP</t>
  </si>
  <si>
    <t>Nuclear Unit Deferred Chges</t>
  </si>
  <si>
    <t>ITC - Deferred Tax - Plant Sale</t>
  </si>
  <si>
    <t xml:space="preserve">Radio Frequency </t>
  </si>
  <si>
    <t>Non-Rate Base FAS 109 Tax Flow-Thru - Frequency</t>
  </si>
  <si>
    <t>Decomm Trust Earnings - Book</t>
  </si>
  <si>
    <t>Contribution to Qualified Decommissioning Trust</t>
  </si>
  <si>
    <t>Depreciation - Book - Plant Sale</t>
  </si>
  <si>
    <t>Relates to Sale of Generation Facilities</t>
  </si>
  <si>
    <t>Environmental Remediation</t>
  </si>
  <si>
    <t>SFAS 158 - Long Term</t>
  </si>
  <si>
    <t>Non-Rate Base FAS 109 Tax Flow-Thru</t>
  </si>
  <si>
    <t>FERC South Georgia</t>
  </si>
  <si>
    <t>Non-Rate Base FAS 109 Tax Flow-Thru - SGA</t>
  </si>
  <si>
    <t xml:space="preserve">Palo Verde Common </t>
  </si>
  <si>
    <t>Catastrophic Memo Account</t>
  </si>
  <si>
    <t>Refunding &amp; Retirement of Debt</t>
  </si>
  <si>
    <t>C: Relates to debt</t>
  </si>
  <si>
    <t>CONTRA DIT - CCFT (STATE - S/T)</t>
  </si>
  <si>
    <t>FIN 48 exclusion for FERC</t>
  </si>
  <si>
    <t>Four Corners Capital</t>
  </si>
  <si>
    <t>Medical B/A (new 12/08)</t>
  </si>
  <si>
    <t>HYDROGEN ENERGY CALIFORNIA ACCOUNT</t>
  </si>
  <si>
    <t>SGARRAMA</t>
  </si>
  <si>
    <t>Ad Valorem Lien Date Adj-Gas</t>
  </si>
  <si>
    <t>Depreciation - Cal - Gas</t>
  </si>
  <si>
    <t>GCAC</t>
  </si>
  <si>
    <t>Ad Valorem Lien Date Adj-Water</t>
  </si>
  <si>
    <t>ENVEST - Bad Debt</t>
  </si>
  <si>
    <t>CFC Capital Loss</t>
  </si>
  <si>
    <t>Depreciation - Book - Other</t>
  </si>
  <si>
    <t>Depreciation - Cal Water</t>
  </si>
  <si>
    <t>Executive Retirement Provision</t>
  </si>
  <si>
    <t>Capitalized Software Costs - Normalized</t>
  </si>
  <si>
    <t>Depreciation - Book - Telecom</t>
  </si>
  <si>
    <t>Telecom - Deferred Tax on Reg Asset</t>
  </si>
  <si>
    <t>Alberhill</t>
  </si>
  <si>
    <t>Sub</t>
  </si>
  <si>
    <t>DPV2 Arizona</t>
  </si>
  <si>
    <t>ER12-239</t>
  </si>
  <si>
    <t>121 FERC ¶ 61,168 at P 57</t>
  </si>
  <si>
    <t>121 FERC ¶ 61,168 at P 129</t>
  </si>
  <si>
    <t>-------</t>
  </si>
  <si>
    <t>121 FERC ¶ 61,168 at P 71</t>
  </si>
  <si>
    <t>121 FERC ¶ 61,168 at 129; modified by ER10-160 Settlement, see</t>
  </si>
  <si>
    <t xml:space="preserve"> P 7 and P 11</t>
  </si>
  <si>
    <t>121 FERC ¶ 61,168 at P 57; modified by ER10-160 Settlement, see</t>
  </si>
  <si>
    <t>P2 and P3</t>
  </si>
  <si>
    <t xml:space="preserve">121 FERC ¶ 61,168 at P 129; modified by ER10-160 Settlement, see </t>
  </si>
  <si>
    <t>P 3 and P 7</t>
  </si>
  <si>
    <t>129 FERC ¶ 61,246 at P 55, and 133 FERC ¶ 61,108 at P 92</t>
  </si>
  <si>
    <t>133 FERC ¶ 61,108 at P 98</t>
  </si>
  <si>
    <t>129 FERC ¶ 61,246 at PP 68-69, and 133 FERC ¶ 61,108 at PP 85-86</t>
  </si>
  <si>
    <t>133 FERC ¶ 61,107 at P 76</t>
  </si>
  <si>
    <t>133 FERC ¶ 61,107 at P 102</t>
  </si>
  <si>
    <t>133 FERC ¶ 61,107 at P 88</t>
  </si>
  <si>
    <t>134 FERC ¶ 61,181 at P 79</t>
  </si>
  <si>
    <t>12ccc</t>
  </si>
  <si>
    <t>Grant Amortization</t>
  </si>
  <si>
    <t>CPUC D. 09-03-025</t>
  </si>
  <si>
    <t>Internal Revenue Code Section 11(b)(1)(D)</t>
  </si>
  <si>
    <t xml:space="preserve">California Code, Division 2, Part 11, Chapter 2, Article 2, Section 23151(e) </t>
  </si>
  <si>
    <t>New Mexico Statutes, Chapter 7, Article 2A</t>
  </si>
  <si>
    <t>Arizona Statute, Title 43, Part 43.1111</t>
  </si>
  <si>
    <t>DC Code, Division VIII, Title 47, Part 47-1807.02(a)(4)</t>
  </si>
  <si>
    <t>2009-2011</t>
  </si>
  <si>
    <t>present</t>
  </si>
  <si>
    <t>CPUC D. 09-03-025 Appendix C, page 2</t>
  </si>
  <si>
    <t>2012 TRBAA</t>
  </si>
  <si>
    <t>ER12-236</t>
  </si>
  <si>
    <t xml:space="preserve">All rate options, including D, D-APS, D-APS-E, D-CARE, DE, DM, DMS-1, DMS-2, DMS-3, DS, </t>
  </si>
  <si>
    <t xml:space="preserve">     TOU-D-1, TOU-D-2, and TOU-EV1, TOU-D-T and TOU-D-TEV</t>
  </si>
  <si>
    <t>All rate options, including GS-1, GS-APS, GS-APS-E, TOU-EV-3, and TOU-GS-1.</t>
  </si>
  <si>
    <t>All rate options, including TC-1, WTR, and Wi-Fi-1.</t>
  </si>
  <si>
    <t xml:space="preserve">All rate options, including GS-2, GS-APS, GS-APS-E, and TOU-EV-4. </t>
  </si>
  <si>
    <t xml:space="preserve">All rate options, including TOU-GS-3 and TOU-GS-3-SOP </t>
  </si>
  <si>
    <t>All rate options, including TOU-8, TOU-8-BU and RTP-2 based on voltage of service</t>
  </si>
  <si>
    <t>All rate options, including PA-1.</t>
  </si>
  <si>
    <t>All rate options, including PA-2.</t>
  </si>
  <si>
    <t>All rate options, including TOU-PA, PA-RTP, and TOU-PA-SOP</t>
  </si>
  <si>
    <t>All rate options, including TOU-PA-5.</t>
  </si>
  <si>
    <t>All rate options, including AL-2, DWL, LS-1, LS-2, LS-3, and OL-1.</t>
  </si>
  <si>
    <t>10x</t>
  </si>
  <si>
    <t>Op Misc Land/Fac Rev</t>
  </si>
  <si>
    <t>Recorded Average Sales (2008 - 2010) - GWh</t>
  </si>
  <si>
    <t>G: Exclude any amount of ACE awards or Spot Bonuses in O&amp;M accounts 560-592..</t>
  </si>
  <si>
    <t>3) Devers to Col. River</t>
  </si>
  <si>
    <t>7, 17</t>
  </si>
  <si>
    <t>Exhibit G-2</t>
  </si>
  <si>
    <t>divided by total labor in these same accounts (column 3):</t>
  </si>
  <si>
    <t>Straddle Subs (Cross 200 kV boundary):</t>
  </si>
  <si>
    <t>Formula Rate Spreadsheet for October 1, 2012 through December 31, 2012</t>
  </si>
  <si>
    <t>Gross Plant that can directly be determined to be HV or LV:</t>
  </si>
  <si>
    <t>Settlement in ER11-3697</t>
  </si>
  <si>
    <t xml:space="preserve">1) No change in Return on Common Equity will be made absent a Section 205 filing at the Commission. </t>
  </si>
  <si>
    <t>AFCRCWIP = CLTD  + (COS * (1/(1 - CTR)))</t>
  </si>
  <si>
    <t xml:space="preserve">Year </t>
  </si>
  <si>
    <t>= Sum (Cols. 2-14)/13</t>
  </si>
  <si>
    <t>Reacquired Bonds -- Account 222 (Note 2): enter - of FF1</t>
  </si>
  <si>
    <t xml:space="preserve">Unamortized Issuance Costs (Note 9): enter negative </t>
  </si>
  <si>
    <t>Unappropriated Undist. Sub. Earnings -- Acct. 216.1 (Note 12):  enter - of FF1</t>
  </si>
  <si>
    <t>Accumulated Other Comprehensive Loss -- Account 219 (Note 13): enter - of FF1</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</si>
</sst>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
    <numFmt numFmtId="165" formatCode="0.0000%"/>
    <numFmt numFmtId="166" formatCode="&quot;$&quot;#,##0.00"/>
    <numFmt numFmtId="167" formatCode="_(* #,##0_);_(* \(#,##0\);_(* &quot;-&quot;??_);_(@_)"/>
    <numFmt numFmtId="168" formatCode="0.000%"/>
    <numFmt numFmtId="169" formatCode="&quot;$&quot;#,##0.0000000"/>
    <numFmt numFmtId="170" formatCode="0.000"/>
    <numFmt numFmtId="171" formatCode="0.0%"/>
    <numFmt numFmtId="172" formatCode="#,##0.000"/>
    <numFmt numFmtId="173" formatCode="0.00000%"/>
    <numFmt numFmtId="174" formatCode="&quot;$&quot;#,##0.00000"/>
    <numFmt numFmtId="175" formatCode="0.0000"/>
    <numFmt numFmtId="176" formatCode="_(&quot;$&quot;* #,##0.00_);_(&quot;$&quot;* \(#,##0.00\);_(&quot;$&quot;* &quot;-&quot;_);_(@_)"/>
    <numFmt numFmtId="177" formatCode="_-* #,##0.00\ _D_M_-;\-* #,##0.00\ _D_M_-;_-* &quot;-&quot;??\ _D_M_-;_-@_-"/>
    <numFmt numFmtId="178" formatCode="_-* #,##0\ _D_M_-;\-* #,##0\ _D_M_-;_-* &quot;-&quot;??\ _D_M_-;_-@_-"/>
    <numFmt numFmtId="179" formatCode="_(&quot;$&quot;* #,##0_);_(&quot;$&quot;* \(#,##0\);_(&quot;$&quot;* &quot;-&quot;??_);_(@_)"/>
    <numFmt numFmtId="180" formatCode="#,##0.0_);[Red]\(#,##0.0\)"/>
    <numFmt numFmtId="181" formatCode="#,##0.0000"/>
    <numFmt numFmtId="182" formatCode="#,##0.0"/>
    <numFmt numFmtId="183" formatCode="_(* #,##0.00000_);_(* \(#,##0.00000\);_(* &quot;-&quot;??_);_(@_)"/>
    <numFmt numFmtId="184" formatCode="m/d/yy;@"/>
    <numFmt numFmtId="185" formatCode="&quot;$&quot;#,##0.000000"/>
  </numFmts>
  <fonts count="6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b/>
      <u/>
      <sz val="10"/>
      <name val="Arial"/>
      <family val="2"/>
    </font>
    <font>
      <b/>
      <sz val="10"/>
      <color indexed="13"/>
      <name val="Arial"/>
      <family val="2"/>
    </font>
    <font>
      <sz val="10"/>
      <color indexed="13"/>
      <name val="Arial"/>
      <family val="2"/>
    </font>
    <font>
      <u/>
      <sz val="10"/>
      <name val="Arial"/>
      <family val="2"/>
    </font>
    <font>
      <u/>
      <sz val="10"/>
      <name val="Arial"/>
      <family val="2"/>
    </font>
    <font>
      <u/>
      <sz val="10"/>
      <color indexed="12"/>
      <name val="Arial"/>
      <family val="2"/>
    </font>
    <font>
      <sz val="8"/>
      <name val="Times New Roman"/>
      <family val="1"/>
    </font>
    <font>
      <sz val="10"/>
      <name val="Times New Roman"/>
      <family val="1"/>
    </font>
    <font>
      <sz val="10"/>
      <name val="Calibri"/>
      <family val="2"/>
    </font>
    <font>
      <b/>
      <sz val="10"/>
      <name val="Calibri"/>
      <family val="2"/>
    </font>
    <font>
      <sz val="9"/>
      <name val="Arial"/>
      <family val="2"/>
    </font>
    <font>
      <u/>
      <sz val="9"/>
      <name val="Arial"/>
      <family val="2"/>
    </font>
    <font>
      <u val="singleAccounting"/>
      <sz val="10"/>
      <name val="Arial"/>
      <family val="2"/>
    </font>
    <font>
      <i/>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vertAlign val="superscript"/>
      <sz val="10"/>
      <name val="Arial"/>
      <family val="2"/>
    </font>
    <font>
      <b/>
      <vertAlign val="subscript"/>
      <sz val="10"/>
      <name val="Arial"/>
      <family val="2"/>
    </font>
    <font>
      <b/>
      <sz val="10"/>
      <name val="Times New Roman"/>
      <family val="1"/>
    </font>
    <font>
      <b/>
      <sz val="16"/>
      <name val="Arial"/>
      <family val="2"/>
    </font>
    <font>
      <b/>
      <sz val="11"/>
      <color theme="1"/>
      <name val="Calibri"/>
      <family val="2"/>
      <scheme val="minor"/>
    </font>
    <font>
      <sz val="10"/>
      <color rgb="FFFF0000"/>
      <name val="Arial"/>
      <family val="2"/>
    </font>
    <font>
      <sz val="10"/>
      <color theme="1"/>
      <name val="Arial"/>
      <family val="2"/>
    </font>
    <font>
      <b/>
      <sz val="10"/>
      <color theme="1"/>
      <name val="Arial"/>
      <family val="2"/>
    </font>
    <font>
      <b/>
      <u/>
      <sz val="10"/>
      <color theme="1"/>
      <name val="Arial"/>
      <family val="2"/>
    </font>
    <font>
      <b/>
      <u/>
      <sz val="11"/>
      <color theme="1"/>
      <name val="Calibri"/>
      <family val="2"/>
      <scheme val="minor"/>
    </font>
    <font>
      <u/>
      <sz val="11"/>
      <color theme="1"/>
      <name val="Calibri"/>
      <family val="2"/>
      <scheme val="minor"/>
    </font>
    <font>
      <b/>
      <sz val="10"/>
      <color rgb="FFFF0000"/>
      <name val="Arial"/>
      <family val="2"/>
    </font>
    <font>
      <u/>
      <sz val="10"/>
      <color theme="1"/>
      <name val="Arial"/>
      <family val="2"/>
    </font>
    <font>
      <sz val="11"/>
      <name val="Calibri"/>
      <family val="2"/>
      <scheme val="minor"/>
    </font>
    <font>
      <b/>
      <sz val="11"/>
      <name val="Calibri"/>
      <family val="2"/>
      <scheme val="minor"/>
    </font>
    <font>
      <sz val="10"/>
      <color theme="0"/>
      <name val="Arial"/>
      <family val="2"/>
    </font>
    <font>
      <sz val="18"/>
      <name val="Times New Roman"/>
      <family val="1"/>
    </font>
    <font>
      <sz val="10"/>
      <color theme="1"/>
      <name val="Calibri"/>
      <family val="2"/>
      <scheme val="minor"/>
    </font>
    <font>
      <b/>
      <i/>
      <sz val="10"/>
      <name val="Arial"/>
      <family val="2"/>
    </font>
    <font>
      <sz val="10"/>
      <name val="Calibri"/>
      <family val="2"/>
      <scheme val="minor"/>
    </font>
    <font>
      <sz val="10"/>
      <name val="Arial"/>
      <family val="2"/>
    </font>
    <font>
      <strike/>
      <sz val="10"/>
      <name val="Arial"/>
      <family val="2"/>
    </font>
    <font>
      <sz val="10"/>
      <color rgb="FF000000"/>
      <name val="Arial"/>
      <family val="2"/>
    </font>
    <font>
      <sz val="10"/>
      <color theme="1"/>
      <name val="Calibri"/>
      <family val="2"/>
    </font>
    <font>
      <sz val="12"/>
      <name val="Times New Roman"/>
      <family val="1"/>
    </font>
    <font>
      <b/>
      <sz val="20"/>
      <name val="Arial"/>
      <family val="2"/>
    </font>
    <font>
      <u/>
      <sz val="11"/>
      <name val="Calibri"/>
      <family val="2"/>
      <scheme val="minor"/>
    </font>
    <font>
      <b/>
      <sz val="9"/>
      <color indexed="81"/>
      <name val="Tahoma"/>
      <family val="2"/>
    </font>
    <font>
      <sz val="9"/>
      <color indexed="81"/>
      <name val="Tahoma"/>
      <family val="2"/>
    </font>
  </fonts>
  <fills count="38">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indexed="13"/>
        <bgColor indexed="64"/>
      </patternFill>
    </fill>
    <fill>
      <patternFill patternType="solid">
        <fgColor indexed="8"/>
        <bgColor indexed="64"/>
      </patternFill>
    </fill>
    <fill>
      <patternFill patternType="solid">
        <fgColor rgb="FFFFFF00"/>
        <bgColor indexed="64"/>
      </patternFill>
    </fill>
    <fill>
      <patternFill patternType="solid">
        <fgColor theme="1"/>
        <bgColor indexed="64"/>
      </patternFill>
    </fill>
  </fills>
  <borders count="18">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auto="1"/>
      </top>
      <bottom/>
      <diagonal/>
    </border>
    <border>
      <left/>
      <right/>
      <top/>
      <bottom style="double">
        <color indexed="64"/>
      </bottom>
      <diagonal/>
    </border>
    <border>
      <left/>
      <right/>
      <top style="thin">
        <color indexed="64"/>
      </top>
      <bottom style="double">
        <color indexed="64"/>
      </bottom>
      <diagonal/>
    </border>
  </borders>
  <cellStyleXfs count="125">
    <xf numFmtId="0" fontId="0" fillId="0" borderId="0"/>
    <xf numFmtId="0" fontId="27" fillId="8" borderId="0" applyNumberFormat="0" applyBorder="0" applyAlignment="0" applyProtection="0"/>
    <xf numFmtId="0" fontId="27" fillId="9" borderId="0" applyNumberFormat="0" applyBorder="0" applyAlignment="0" applyProtection="0"/>
    <xf numFmtId="0" fontId="28" fillId="10" borderId="0" applyNumberFormat="0" applyBorder="0" applyAlignment="0" applyProtection="0"/>
    <xf numFmtId="0" fontId="27" fillId="12" borderId="0" applyNumberFormat="0" applyBorder="0" applyAlignment="0" applyProtection="0"/>
    <xf numFmtId="0" fontId="27" fillId="13" borderId="0" applyNumberFormat="0" applyBorder="0" applyAlignment="0" applyProtection="0"/>
    <xf numFmtId="0" fontId="28" fillId="14"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8" fillId="18"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8" fillId="18"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8" fillId="9" borderId="0" applyNumberFormat="0" applyBorder="0" applyAlignment="0" applyProtection="0"/>
    <xf numFmtId="0" fontId="27" fillId="20" borderId="0" applyNumberFormat="0" applyBorder="0" applyAlignment="0" applyProtection="0"/>
    <xf numFmtId="0" fontId="27" fillId="13" borderId="0" applyNumberFormat="0" applyBorder="0" applyAlignment="0" applyProtection="0"/>
    <xf numFmtId="0" fontId="28" fillId="21" borderId="0" applyNumberFormat="0" applyBorder="0" applyAlignment="0" applyProtection="0"/>
    <xf numFmtId="43" fontId="9"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177" fontId="12" fillId="0" borderId="0" applyFont="0" applyFill="0" applyBorder="0" applyAlignment="0" applyProtection="0"/>
    <xf numFmtId="44" fontId="9" fillId="0" borderId="0" applyFont="0" applyFill="0" applyBorder="0" applyAlignment="0" applyProtection="0"/>
    <xf numFmtId="0" fontId="29" fillId="22"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0" fontId="18" fillId="0" borderId="0" applyNumberFormat="0" applyFill="0" applyBorder="0" applyAlignment="0" applyProtection="0">
      <alignment vertical="top"/>
      <protection locked="0"/>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38" fontId="19" fillId="0" borderId="0"/>
    <xf numFmtId="9" fontId="9" fillId="0" borderId="0" applyFont="0" applyFill="0" applyBorder="0" applyAlignment="0" applyProtection="0"/>
    <xf numFmtId="9" fontId="33" fillId="0" borderId="0" applyFont="0" applyFill="0" applyBorder="0" applyAlignment="0" applyProtection="0"/>
    <xf numFmtId="9" fontId="12" fillId="0" borderId="0" applyFont="0" applyFill="0" applyBorder="0" applyAlignment="0" applyProtection="0"/>
    <xf numFmtId="4" fontId="32" fillId="25" borderId="1" applyNumberFormat="0" applyProtection="0">
      <alignment vertical="center"/>
    </xf>
    <xf numFmtId="4" fontId="34" fillId="25" borderId="1" applyNumberFormat="0" applyProtection="0">
      <alignment vertical="center"/>
    </xf>
    <xf numFmtId="4" fontId="32" fillId="25" borderId="1" applyNumberFormat="0" applyProtection="0">
      <alignment horizontal="left" vertical="center" indent="1"/>
    </xf>
    <xf numFmtId="0" fontId="32" fillId="25" borderId="1" applyNumberFormat="0" applyProtection="0">
      <alignment horizontal="left" vertical="top" indent="1"/>
    </xf>
    <xf numFmtId="4" fontId="32" fillId="27" borderId="0" applyNumberFormat="0" applyProtection="0">
      <alignment horizontal="left" vertical="center" indent="1"/>
    </xf>
    <xf numFmtId="4" fontId="30" fillId="2" borderId="1" applyNumberFormat="0" applyProtection="0">
      <alignment horizontal="right" vertical="center"/>
    </xf>
    <xf numFmtId="4" fontId="30" fillId="4" borderId="1" applyNumberFormat="0" applyProtection="0">
      <alignment horizontal="right" vertical="center"/>
    </xf>
    <xf numFmtId="4" fontId="30" fillId="11" borderId="1" applyNumberFormat="0" applyProtection="0">
      <alignment horizontal="right" vertical="center"/>
    </xf>
    <xf numFmtId="4" fontId="30" fillId="6" borderId="1" applyNumberFormat="0" applyProtection="0">
      <alignment horizontal="right" vertical="center"/>
    </xf>
    <xf numFmtId="4" fontId="30" fillId="7" borderId="1" applyNumberFormat="0" applyProtection="0">
      <alignment horizontal="right" vertical="center"/>
    </xf>
    <xf numFmtId="4" fontId="30" fillId="19" borderId="1" applyNumberFormat="0" applyProtection="0">
      <alignment horizontal="right" vertical="center"/>
    </xf>
    <xf numFmtId="4" fontId="30" fillId="15" borderId="1" applyNumberFormat="0" applyProtection="0">
      <alignment horizontal="right" vertical="center"/>
    </xf>
    <xf numFmtId="4" fontId="30" fillId="28" borderId="1" applyNumberFormat="0" applyProtection="0">
      <alignment horizontal="right" vertical="center"/>
    </xf>
    <xf numFmtId="4" fontId="30" fillId="5" borderId="1" applyNumberFormat="0" applyProtection="0">
      <alignment horizontal="right" vertical="center"/>
    </xf>
    <xf numFmtId="4" fontId="32" fillId="29" borderId="2" applyNumberFormat="0" applyProtection="0">
      <alignment horizontal="left" vertical="center" indent="1"/>
    </xf>
    <xf numFmtId="4" fontId="30" fillId="30" borderId="0" applyNumberFormat="0" applyProtection="0">
      <alignment horizontal="left" vertical="center" indent="1"/>
    </xf>
    <xf numFmtId="4" fontId="35" fillId="31" borderId="0" applyNumberFormat="0" applyProtection="0">
      <alignment horizontal="left" vertical="center" indent="1"/>
    </xf>
    <xf numFmtId="4" fontId="30" fillId="27" borderId="1" applyNumberFormat="0" applyProtection="0">
      <alignment horizontal="right" vertical="center"/>
    </xf>
    <xf numFmtId="4" fontId="30" fillId="30" borderId="0" applyNumberFormat="0" applyProtection="0">
      <alignment horizontal="left" vertical="center" indent="1"/>
    </xf>
    <xf numFmtId="4" fontId="30" fillId="27" borderId="0" applyNumberFormat="0" applyProtection="0">
      <alignment horizontal="left" vertical="center" indent="1"/>
    </xf>
    <xf numFmtId="0" fontId="12" fillId="31" borderId="1" applyNumberFormat="0" applyProtection="0">
      <alignment horizontal="left" vertical="center" indent="1"/>
    </xf>
    <xf numFmtId="0" fontId="12" fillId="31" borderId="1" applyNumberFormat="0" applyProtection="0">
      <alignment horizontal="left" vertical="top" indent="1"/>
    </xf>
    <xf numFmtId="0" fontId="12" fillId="27" borderId="1" applyNumberFormat="0" applyProtection="0">
      <alignment horizontal="left" vertical="center" indent="1"/>
    </xf>
    <xf numFmtId="0" fontId="12" fillId="27" borderId="1" applyNumberFormat="0" applyProtection="0">
      <alignment horizontal="left" vertical="top" indent="1"/>
    </xf>
    <xf numFmtId="0" fontId="12" fillId="3" borderId="1" applyNumberFormat="0" applyProtection="0">
      <alignment horizontal="left" vertical="center" indent="1"/>
    </xf>
    <xf numFmtId="0" fontId="12" fillId="3" borderId="1" applyNumberFormat="0" applyProtection="0">
      <alignment horizontal="left" vertical="top" indent="1"/>
    </xf>
    <xf numFmtId="0" fontId="12" fillId="30" borderId="1" applyNumberFormat="0" applyProtection="0">
      <alignment horizontal="left" vertical="center" indent="1"/>
    </xf>
    <xf numFmtId="0" fontId="12" fillId="30" borderId="1" applyNumberFormat="0" applyProtection="0">
      <alignment horizontal="left" vertical="top" indent="1"/>
    </xf>
    <xf numFmtId="0" fontId="12" fillId="32" borderId="3" applyNumberFormat="0">
      <protection locked="0"/>
    </xf>
    <xf numFmtId="4" fontId="30" fillId="26" borderId="1" applyNumberFormat="0" applyProtection="0">
      <alignment vertical="center"/>
    </xf>
    <xf numFmtId="4" fontId="36" fillId="26" borderId="1" applyNumberFormat="0" applyProtection="0">
      <alignment vertical="center"/>
    </xf>
    <xf numFmtId="4" fontId="30" fillId="26" borderId="1" applyNumberFormat="0" applyProtection="0">
      <alignment horizontal="left" vertical="center" indent="1"/>
    </xf>
    <xf numFmtId="0" fontId="30" fillId="26" borderId="1" applyNumberFormat="0" applyProtection="0">
      <alignment horizontal="left" vertical="top" indent="1"/>
    </xf>
    <xf numFmtId="4" fontId="30" fillId="30" borderId="1" applyNumberFormat="0" applyProtection="0">
      <alignment horizontal="right" vertical="center"/>
    </xf>
    <xf numFmtId="4" fontId="36" fillId="30" borderId="1" applyNumberFormat="0" applyProtection="0">
      <alignment horizontal="right" vertical="center"/>
    </xf>
    <xf numFmtId="4" fontId="30" fillId="27" borderId="1" applyNumberFormat="0" applyProtection="0">
      <alignment horizontal="left" vertical="center" indent="1"/>
    </xf>
    <xf numFmtId="0" fontId="30" fillId="27" borderId="1" applyNumberFormat="0" applyProtection="0">
      <alignment horizontal="left" vertical="top" indent="1"/>
    </xf>
    <xf numFmtId="4" fontId="37" fillId="33" borderId="0" applyNumberFormat="0" applyProtection="0">
      <alignment horizontal="left" vertical="center" indent="1"/>
    </xf>
    <xf numFmtId="4" fontId="31" fillId="30" borderId="1" applyNumberFormat="0" applyProtection="0">
      <alignment horizontal="right" vertical="center"/>
    </xf>
    <xf numFmtId="0" fontId="38" fillId="0" borderId="0" applyNumberFormat="0" applyFill="0" applyBorder="0" applyAlignment="0" applyProtection="0"/>
    <xf numFmtId="0" fontId="9" fillId="0" borderId="0"/>
    <xf numFmtId="0" fontId="7" fillId="0" borderId="0"/>
    <xf numFmtId="0" fontId="7" fillId="0" borderId="0"/>
    <xf numFmtId="177" fontId="9" fillId="0" borderId="0" applyFont="0" applyFill="0" applyBorder="0" applyAlignment="0" applyProtection="0"/>
    <xf numFmtId="0" fontId="9" fillId="31" borderId="1" applyNumberFormat="0" applyProtection="0">
      <alignment horizontal="left" vertical="center" indent="1"/>
    </xf>
    <xf numFmtId="0" fontId="9" fillId="31" borderId="1" applyNumberFormat="0" applyProtection="0">
      <alignment horizontal="left" vertical="top" indent="1"/>
    </xf>
    <xf numFmtId="0" fontId="9" fillId="27" borderId="1" applyNumberFormat="0" applyProtection="0">
      <alignment horizontal="left" vertical="center" indent="1"/>
    </xf>
    <xf numFmtId="0" fontId="9" fillId="27" borderId="1" applyNumberFormat="0" applyProtection="0">
      <alignment horizontal="left" vertical="top" indent="1"/>
    </xf>
    <xf numFmtId="0" fontId="9" fillId="3" borderId="1" applyNumberFormat="0" applyProtection="0">
      <alignment horizontal="left" vertical="center" indent="1"/>
    </xf>
    <xf numFmtId="0" fontId="9" fillId="3" borderId="1" applyNumberFormat="0" applyProtection="0">
      <alignment horizontal="left" vertical="top" indent="1"/>
    </xf>
    <xf numFmtId="0" fontId="9" fillId="30" borderId="1" applyNumberFormat="0" applyProtection="0">
      <alignment horizontal="left" vertical="center" indent="1"/>
    </xf>
    <xf numFmtId="0" fontId="9" fillId="30" borderId="1" applyNumberFormat="0" applyProtection="0">
      <alignment horizontal="left" vertical="top" indent="1"/>
    </xf>
    <xf numFmtId="0" fontId="9" fillId="32" borderId="3" applyNumberFormat="0">
      <protection locked="0"/>
    </xf>
    <xf numFmtId="0" fontId="59"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7" fontId="9" fillId="0" borderId="0" applyFont="0" applyFill="0" applyBorder="0" applyAlignment="0" applyProtection="0"/>
    <xf numFmtId="44"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0" fontId="9" fillId="0" borderId="0"/>
    <xf numFmtId="0" fontId="9" fillId="0" borderId="0"/>
    <xf numFmtId="0" fontId="6" fillId="0" borderId="0"/>
    <xf numFmtId="0" fontId="6" fillId="0" borderId="0"/>
    <xf numFmtId="0" fontId="5" fillId="0" borderId="0"/>
    <xf numFmtId="0" fontId="5"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cellStyleXfs>
  <cellXfs count="1291">
    <xf numFmtId="0" fontId="0" fillId="0" borderId="0" xfId="0"/>
    <xf numFmtId="0" fontId="10" fillId="0" borderId="0" xfId="0" applyFont="1"/>
    <xf numFmtId="0" fontId="10" fillId="0" borderId="0" xfId="0" applyFont="1" applyAlignment="1">
      <alignment horizontal="center"/>
    </xf>
    <xf numFmtId="0" fontId="13" fillId="0" borderId="0" xfId="0" applyFont="1" applyAlignment="1">
      <alignment horizontal="center"/>
    </xf>
    <xf numFmtId="0" fontId="10" fillId="0" borderId="0" xfId="0" quotePrefix="1" applyFont="1" applyAlignment="1">
      <alignment horizontal="center"/>
    </xf>
    <xf numFmtId="0" fontId="12" fillId="0" borderId="0" xfId="0" applyFont="1" applyFill="1" applyBorder="1" applyAlignment="1">
      <alignment horizontal="left" indent="1"/>
    </xf>
    <xf numFmtId="164" fontId="0" fillId="34" borderId="0" xfId="0" applyNumberFormat="1" applyFill="1"/>
    <xf numFmtId="164" fontId="0" fillId="0" borderId="0" xfId="0" applyNumberFormat="1"/>
    <xf numFmtId="165" fontId="0" fillId="0" borderId="0" xfId="0" applyNumberFormat="1"/>
    <xf numFmtId="0" fontId="0" fillId="35" borderId="0" xfId="0" applyFill="1"/>
    <xf numFmtId="0" fontId="14" fillId="35" borderId="0" xfId="0" applyFont="1" applyFill="1"/>
    <xf numFmtId="0" fontId="15" fillId="35" borderId="0" xfId="0" applyFont="1" applyFill="1"/>
    <xf numFmtId="0" fontId="12" fillId="0" borderId="0" xfId="0" applyFont="1"/>
    <xf numFmtId="0" fontId="12" fillId="0" borderId="0" xfId="0" applyFont="1" applyAlignment="1">
      <alignment horizontal="left" indent="1"/>
    </xf>
    <xf numFmtId="0" fontId="0" fillId="0" borderId="0" xfId="0" applyFill="1"/>
    <xf numFmtId="0" fontId="12" fillId="0" borderId="0" xfId="0" applyFont="1" applyFill="1"/>
    <xf numFmtId="0" fontId="0" fillId="0" borderId="0" xfId="0" applyAlignment="1">
      <alignment horizontal="left" indent="1"/>
    </xf>
    <xf numFmtId="0" fontId="12" fillId="0" borderId="0" xfId="28" applyFont="1"/>
    <xf numFmtId="0" fontId="12" fillId="0" borderId="0" xfId="28" applyFont="1" applyBorder="1" applyAlignment="1"/>
    <xf numFmtId="0" fontId="12" fillId="0" borderId="0" xfId="28" applyFont="1" applyBorder="1"/>
    <xf numFmtId="0" fontId="12" fillId="0" borderId="0" xfId="28" applyFont="1" applyBorder="1" applyAlignment="1">
      <alignment horizontal="left"/>
    </xf>
    <xf numFmtId="0" fontId="12" fillId="0" borderId="0" xfId="28" applyNumberFormat="1" applyFont="1" applyFill="1" applyBorder="1" applyAlignment="1">
      <alignment horizontal="left"/>
    </xf>
    <xf numFmtId="0" fontId="10" fillId="0" borderId="0" xfId="28" applyNumberFormat="1" applyFont="1" applyFill="1" applyBorder="1" applyAlignment="1">
      <alignment horizontal="left"/>
    </xf>
    <xf numFmtId="3" fontId="12" fillId="0" borderId="0" xfId="28" applyNumberFormat="1" applyFont="1" applyFill="1" applyBorder="1" applyAlignment="1"/>
    <xf numFmtId="1" fontId="12" fillId="0" borderId="0" xfId="28" applyNumberFormat="1" applyFont="1" applyFill="1" applyBorder="1" applyAlignment="1">
      <alignment horizontal="center"/>
    </xf>
    <xf numFmtId="0" fontId="13" fillId="0" borderId="0" xfId="28" applyFont="1" applyBorder="1" applyAlignment="1">
      <alignment horizontal="center"/>
    </xf>
    <xf numFmtId="0" fontId="10" fillId="0" borderId="0" xfId="28" applyFont="1" applyAlignment="1">
      <alignment horizontal="center"/>
    </xf>
    <xf numFmtId="167" fontId="12" fillId="0" borderId="0" xfId="28" applyNumberFormat="1" applyFont="1" applyFill="1" applyBorder="1" applyAlignment="1">
      <alignment horizontal="right"/>
    </xf>
    <xf numFmtId="167" fontId="12" fillId="0" borderId="0" xfId="20" applyNumberFormat="1" applyFont="1" applyFill="1" applyBorder="1" applyAlignment="1">
      <alignment horizontal="right"/>
    </xf>
    <xf numFmtId="0" fontId="13" fillId="0" borderId="0" xfId="28" applyFont="1" applyFill="1" applyBorder="1" applyAlignment="1">
      <alignment horizontal="center"/>
    </xf>
    <xf numFmtId="3" fontId="12" fillId="0" borderId="0" xfId="28" applyNumberFormat="1" applyFont="1" applyFill="1" applyBorder="1" applyAlignment="1">
      <alignment horizontal="left" indent="1"/>
    </xf>
    <xf numFmtId="0" fontId="13" fillId="0" borderId="0" xfId="28" applyFont="1" applyAlignment="1">
      <alignment horizontal="center"/>
    </xf>
    <xf numFmtId="0" fontId="12" fillId="0" borderId="0" xfId="28" applyFont="1" applyBorder="1" applyAlignment="1">
      <alignment horizontal="right"/>
    </xf>
    <xf numFmtId="164" fontId="12" fillId="0" borderId="0" xfId="20" applyNumberFormat="1" applyFont="1" applyFill="1" applyBorder="1" applyAlignment="1">
      <alignment horizontal="right"/>
    </xf>
    <xf numFmtId="0" fontId="12" fillId="0" borderId="0" xfId="28" applyNumberFormat="1" applyFont="1" applyFill="1" applyBorder="1" applyAlignment="1">
      <alignment horizontal="right"/>
    </xf>
    <xf numFmtId="167" fontId="12" fillId="0" borderId="0" xfId="28" quotePrefix="1" applyNumberFormat="1" applyFont="1" applyFill="1" applyBorder="1" applyAlignment="1">
      <alignment horizontal="left" indent="1"/>
    </xf>
    <xf numFmtId="165" fontId="16" fillId="0" borderId="0" xfId="20" applyNumberFormat="1" applyFont="1" applyFill="1" applyBorder="1" applyAlignment="1">
      <alignment horizontal="right"/>
    </xf>
    <xf numFmtId="0" fontId="0" fillId="0" borderId="0" xfId="0" applyAlignment="1">
      <alignment horizontal="right"/>
    </xf>
    <xf numFmtId="0" fontId="14" fillId="35" borderId="0" xfId="0" applyFont="1" applyFill="1" applyBorder="1"/>
    <xf numFmtId="0" fontId="15" fillId="35" borderId="0" xfId="0" applyFont="1" applyFill="1" applyBorder="1"/>
    <xf numFmtId="0" fontId="10" fillId="0" borderId="0" xfId="0" applyFont="1" applyFill="1" applyBorder="1"/>
    <xf numFmtId="0" fontId="12" fillId="0" borderId="0" xfId="0" applyFont="1" applyFill="1" applyBorder="1"/>
    <xf numFmtId="3" fontId="12" fillId="0" borderId="0" xfId="28" applyNumberFormat="1" applyFont="1" applyFill="1" applyBorder="1" applyAlignment="1">
      <alignment horizontal="left"/>
    </xf>
    <xf numFmtId="10" fontId="0" fillId="0" borderId="0" xfId="0" applyNumberFormat="1"/>
    <xf numFmtId="0" fontId="0" fillId="34" borderId="0" xfId="0" applyFill="1"/>
    <xf numFmtId="0" fontId="10" fillId="0" borderId="0" xfId="0" applyFont="1" applyFill="1"/>
    <xf numFmtId="0" fontId="16" fillId="0" borderId="0" xfId="0" applyFont="1" applyFill="1"/>
    <xf numFmtId="0" fontId="12" fillId="0" borderId="0" xfId="0" applyFont="1" applyFill="1" applyAlignment="1">
      <alignment horizontal="left" indent="1"/>
    </xf>
    <xf numFmtId="164" fontId="12" fillId="0" borderId="0" xfId="0" applyNumberFormat="1" applyFont="1" applyFill="1"/>
    <xf numFmtId="165" fontId="12" fillId="0" borderId="0" xfId="0" applyNumberFormat="1" applyFont="1" applyFill="1"/>
    <xf numFmtId="165" fontId="16" fillId="0" borderId="0" xfId="0" applyNumberFormat="1" applyFont="1" applyFill="1"/>
    <xf numFmtId="165" fontId="0" fillId="34" borderId="0" xfId="0" applyNumberFormat="1" applyFill="1"/>
    <xf numFmtId="0" fontId="12" fillId="0" borderId="0" xfId="0" applyFont="1" applyAlignment="1">
      <alignment horizontal="left"/>
    </xf>
    <xf numFmtId="0" fontId="13" fillId="0" borderId="0" xfId="0" applyFont="1"/>
    <xf numFmtId="0" fontId="0" fillId="0" borderId="0" xfId="0" quotePrefix="1"/>
    <xf numFmtId="0" fontId="13" fillId="0" borderId="0" xfId="0" applyFont="1" applyAlignment="1">
      <alignment horizontal="left"/>
    </xf>
    <xf numFmtId="0" fontId="0" fillId="0" borderId="0" xfId="0" quotePrefix="1" applyAlignment="1">
      <alignment horizontal="center"/>
    </xf>
    <xf numFmtId="0" fontId="10" fillId="0" borderId="0" xfId="0" applyFont="1" applyAlignment="1">
      <alignment horizontal="left" indent="2"/>
    </xf>
    <xf numFmtId="0" fontId="0" fillId="0" borderId="0" xfId="0" applyAlignment="1">
      <alignment horizontal="right" indent="1"/>
    </xf>
    <xf numFmtId="164" fontId="17" fillId="0" borderId="0" xfId="0" applyNumberFormat="1" applyFont="1"/>
    <xf numFmtId="164" fontId="16" fillId="0" borderId="0" xfId="0" applyNumberFormat="1" applyFont="1" applyAlignment="1">
      <alignment horizontal="right"/>
    </xf>
    <xf numFmtId="164" fontId="12" fillId="0" borderId="0" xfId="0" applyNumberFormat="1" applyFont="1" applyAlignment="1">
      <alignment horizontal="right"/>
    </xf>
    <xf numFmtId="0" fontId="0" fillId="0" borderId="0" xfId="0" applyBorder="1"/>
    <xf numFmtId="0" fontId="0" fillId="0" borderId="0" xfId="0" applyAlignment="1">
      <alignment horizontal="center"/>
    </xf>
    <xf numFmtId="0" fontId="13" fillId="0" borderId="0" xfId="0" applyFont="1" applyBorder="1" applyAlignment="1">
      <alignment horizontal="center"/>
    </xf>
    <xf numFmtId="164" fontId="0" fillId="0" borderId="0" xfId="0" applyNumberFormat="1" applyFill="1"/>
    <xf numFmtId="3" fontId="12" fillId="0" borderId="0" xfId="0" applyNumberFormat="1" applyFont="1" applyFill="1"/>
    <xf numFmtId="0" fontId="0" fillId="0" borderId="0" xfId="0" applyAlignment="1">
      <alignment horizontal="left"/>
    </xf>
    <xf numFmtId="0" fontId="12" fillId="0" borderId="0" xfId="0" applyFont="1" applyFill="1" applyBorder="1" applyAlignment="1">
      <alignment horizontal="left"/>
    </xf>
    <xf numFmtId="165" fontId="0" fillId="0" borderId="0" xfId="0" applyNumberFormat="1" applyFill="1"/>
    <xf numFmtId="0" fontId="10" fillId="0" borderId="0" xfId="0" applyFont="1" applyAlignment="1">
      <alignment horizontal="right"/>
    </xf>
    <xf numFmtId="0" fontId="12" fillId="0" borderId="0" xfId="0" quotePrefix="1" applyFont="1" applyFill="1" applyAlignment="1">
      <alignment horizontal="left" indent="1"/>
    </xf>
    <xf numFmtId="0" fontId="10" fillId="0" borderId="0" xfId="0" applyFont="1" applyAlignment="1">
      <alignment horizontal="left" indent="1"/>
    </xf>
    <xf numFmtId="166" fontId="0" fillId="0" borderId="0" xfId="0" applyNumberFormat="1"/>
    <xf numFmtId="0" fontId="12" fillId="0" borderId="0" xfId="0" applyFont="1" applyFill="1" applyBorder="1" applyAlignment="1">
      <alignment vertical="top"/>
    </xf>
    <xf numFmtId="166" fontId="0" fillId="0" borderId="0" xfId="0" applyNumberFormat="1" applyAlignment="1"/>
    <xf numFmtId="164" fontId="10" fillId="0" borderId="0" xfId="0" applyNumberFormat="1" applyFont="1"/>
    <xf numFmtId="167" fontId="10" fillId="0" borderId="0" xfId="20" applyNumberFormat="1" applyFont="1" applyFill="1" applyBorder="1" applyAlignment="1">
      <alignment horizontal="center"/>
    </xf>
    <xf numFmtId="0" fontId="16" fillId="0" borderId="0" xfId="0" applyFont="1"/>
    <xf numFmtId="0" fontId="12" fillId="0" borderId="0" xfId="28" applyFont="1" applyBorder="1" applyAlignment="1">
      <alignment horizontal="left" indent="1"/>
    </xf>
    <xf numFmtId="10" fontId="0" fillId="0" borderId="0" xfId="0" applyNumberFormat="1" applyFill="1"/>
    <xf numFmtId="0" fontId="0" fillId="0" borderId="0" xfId="0" applyFill="1" applyAlignment="1">
      <alignment horizontal="right"/>
    </xf>
    <xf numFmtId="164" fontId="0" fillId="34" borderId="0" xfId="0" applyNumberFormat="1" applyFill="1" applyAlignment="1"/>
    <xf numFmtId="165" fontId="17" fillId="0" borderId="0" xfId="0" applyNumberFormat="1" applyFont="1"/>
    <xf numFmtId="3" fontId="0" fillId="0" borderId="0" xfId="0" applyNumberFormat="1" applyAlignment="1">
      <alignment horizontal="center"/>
    </xf>
    <xf numFmtId="0" fontId="10" fillId="0" borderId="0" xfId="0" applyFont="1" applyAlignment="1">
      <alignment horizontal="left"/>
    </xf>
    <xf numFmtId="0" fontId="13" fillId="0" borderId="0" xfId="0" quotePrefix="1" applyFont="1" applyAlignment="1">
      <alignment horizontal="center"/>
    </xf>
    <xf numFmtId="1" fontId="12" fillId="0" borderId="0" xfId="28" applyNumberFormat="1" applyFont="1" applyFill="1" applyBorder="1" applyAlignment="1">
      <alignment horizontal="right"/>
    </xf>
    <xf numFmtId="0" fontId="12" fillId="0" borderId="0" xfId="0" applyFont="1" applyBorder="1" applyAlignment="1">
      <alignment vertical="top"/>
    </xf>
    <xf numFmtId="0" fontId="12" fillId="0" borderId="0" xfId="0" applyFont="1" applyAlignment="1">
      <alignment horizontal="center"/>
    </xf>
    <xf numFmtId="173" fontId="0" fillId="34" borderId="0" xfId="0" applyNumberFormat="1" applyFill="1"/>
    <xf numFmtId="164" fontId="12" fillId="0" borderId="0" xfId="0" applyNumberFormat="1" applyFont="1" applyAlignment="1">
      <alignment horizontal="center"/>
    </xf>
    <xf numFmtId="0" fontId="10" fillId="0" borderId="0" xfId="0" applyFont="1" applyAlignment="1">
      <alignment wrapText="1"/>
    </xf>
    <xf numFmtId="164" fontId="16" fillId="0" borderId="0" xfId="0" applyNumberFormat="1" applyFont="1"/>
    <xf numFmtId="174" fontId="0" fillId="0" borderId="0" xfId="0" applyNumberFormat="1"/>
    <xf numFmtId="169" fontId="0" fillId="0" borderId="0" xfId="0" applyNumberFormat="1"/>
    <xf numFmtId="0" fontId="12" fillId="0" borderId="0" xfId="0" applyFont="1" applyAlignment="1">
      <alignment horizontal="right"/>
    </xf>
    <xf numFmtId="0" fontId="12" fillId="36" borderId="0" xfId="0" applyFont="1" applyFill="1" applyAlignment="1">
      <alignment horizontal="left" indent="1"/>
    </xf>
    <xf numFmtId="0" fontId="12" fillId="0" borderId="0" xfId="0" quotePrefix="1" applyFont="1" applyAlignment="1">
      <alignment horizontal="center"/>
    </xf>
    <xf numFmtId="0" fontId="0" fillId="36" borderId="0" xfId="0" applyFill="1"/>
    <xf numFmtId="2" fontId="0" fillId="0" borderId="0" xfId="0" applyNumberFormat="1"/>
    <xf numFmtId="0" fontId="12" fillId="0" borderId="0" xfId="0" applyFont="1" applyAlignment="1">
      <alignment horizontal="left" indent="2"/>
    </xf>
    <xf numFmtId="3" fontId="0" fillId="36" borderId="0" xfId="0" applyNumberFormat="1" applyFill="1"/>
    <xf numFmtId="3" fontId="0" fillId="0" borderId="0" xfId="0" applyNumberFormat="1"/>
    <xf numFmtId="3" fontId="16" fillId="36" borderId="0" xfId="0" applyNumberFormat="1" applyFont="1" applyFill="1"/>
    <xf numFmtId="164" fontId="12" fillId="0" borderId="0" xfId="0" applyNumberFormat="1" applyFont="1"/>
    <xf numFmtId="164" fontId="17" fillId="0" borderId="0" xfId="0" applyNumberFormat="1" applyFont="1" applyFill="1"/>
    <xf numFmtId="0" fontId="10" fillId="0" borderId="0" xfId="0" applyFont="1" applyAlignment="1">
      <alignment horizontal="left" indent="3"/>
    </xf>
    <xf numFmtId="164" fontId="12" fillId="0" borderId="0" xfId="0" quotePrefix="1" applyNumberFormat="1" applyFont="1" applyFill="1" applyAlignment="1">
      <alignment horizontal="right"/>
    </xf>
    <xf numFmtId="164" fontId="12" fillId="0" borderId="0" xfId="0" applyNumberFormat="1" applyFont="1" applyFill="1" applyAlignment="1">
      <alignment horizontal="right"/>
    </xf>
    <xf numFmtId="0" fontId="12" fillId="0" borderId="0" xfId="0" applyFont="1" applyFill="1" applyAlignment="1">
      <alignment horizontal="center"/>
    </xf>
    <xf numFmtId="164" fontId="0" fillId="36" borderId="0" xfId="0" applyNumberFormat="1" applyFill="1"/>
    <xf numFmtId="164" fontId="16" fillId="34" borderId="0" xfId="0" applyNumberFormat="1" applyFont="1" applyFill="1"/>
    <xf numFmtId="168" fontId="12" fillId="0" borderId="0" xfId="20" applyNumberFormat="1" applyFont="1" applyFill="1" applyBorder="1" applyAlignment="1">
      <alignment horizontal="right"/>
    </xf>
    <xf numFmtId="0" fontId="12" fillId="0" borderId="0" xfId="0" applyFont="1" applyFill="1" applyAlignment="1">
      <alignment horizontal="left"/>
    </xf>
    <xf numFmtId="0" fontId="10" fillId="0" borderId="0" xfId="0" applyFont="1" applyFill="1" applyAlignment="1">
      <alignment horizontal="center"/>
    </xf>
    <xf numFmtId="164" fontId="16" fillId="0" borderId="0" xfId="0" applyNumberFormat="1" applyFont="1" applyFill="1"/>
    <xf numFmtId="3" fontId="0" fillId="0" borderId="0" xfId="0" applyNumberFormat="1" applyFill="1"/>
    <xf numFmtId="0" fontId="0" fillId="0" borderId="0" xfId="0" applyFill="1" applyAlignment="1">
      <alignment horizontal="left" indent="1"/>
    </xf>
    <xf numFmtId="0" fontId="12" fillId="0" borderId="0" xfId="0" quotePrefix="1" applyFont="1" applyAlignment="1">
      <alignment horizontal="left" indent="1"/>
    </xf>
    <xf numFmtId="0" fontId="12" fillId="36" borderId="0" xfId="0" applyFont="1" applyFill="1"/>
    <xf numFmtId="164" fontId="16" fillId="36" borderId="0" xfId="0" applyNumberFormat="1" applyFont="1" applyFill="1"/>
    <xf numFmtId="166" fontId="12" fillId="0" borderId="0" xfId="0" applyNumberFormat="1" applyFont="1" applyAlignment="1">
      <alignment horizontal="left" indent="1"/>
    </xf>
    <xf numFmtId="0" fontId="16" fillId="0" borderId="0" xfId="0" applyFont="1" applyAlignment="1">
      <alignment horizontal="center"/>
    </xf>
    <xf numFmtId="164" fontId="17" fillId="36" borderId="0" xfId="0" applyNumberFormat="1" applyFont="1" applyFill="1"/>
    <xf numFmtId="0" fontId="0" fillId="37" borderId="0" xfId="0" applyFill="1"/>
    <xf numFmtId="0" fontId="13" fillId="0" borderId="0" xfId="0" applyFont="1" applyFill="1" applyBorder="1" applyAlignment="1">
      <alignment horizontal="center"/>
    </xf>
    <xf numFmtId="0" fontId="14" fillId="0" borderId="0" xfId="0" applyFont="1" applyFill="1" applyBorder="1"/>
    <xf numFmtId="0" fontId="15" fillId="0" borderId="0" xfId="0" applyFont="1" applyFill="1" applyBorder="1"/>
    <xf numFmtId="0" fontId="13" fillId="0" borderId="0" xfId="0" applyFont="1" applyFill="1" applyAlignment="1">
      <alignment horizontal="center"/>
    </xf>
    <xf numFmtId="168" fontId="12" fillId="0" borderId="0" xfId="0" applyNumberFormat="1" applyFont="1"/>
    <xf numFmtId="0" fontId="21" fillId="0" borderId="0" xfId="34" applyFont="1"/>
    <xf numFmtId="167" fontId="21" fillId="0" borderId="0" xfId="19" applyNumberFormat="1" applyFont="1" applyBorder="1"/>
    <xf numFmtId="0" fontId="21" fillId="0" borderId="0" xfId="34" applyFont="1" applyBorder="1" applyAlignment="1">
      <alignment horizontal="left"/>
    </xf>
    <xf numFmtId="0" fontId="21" fillId="0" borderId="0" xfId="34" applyFont="1" applyBorder="1"/>
    <xf numFmtId="10" fontId="21" fillId="0" borderId="0" xfId="37" applyNumberFormat="1" applyFont="1" applyBorder="1" applyAlignment="1">
      <alignment horizontal="left" indent="3"/>
    </xf>
    <xf numFmtId="0" fontId="21" fillId="0" borderId="0" xfId="34" applyFont="1" applyBorder="1" applyAlignment="1">
      <alignment horizontal="right" wrapText="1"/>
    </xf>
    <xf numFmtId="42" fontId="21" fillId="0" borderId="0" xfId="34" applyNumberFormat="1" applyFont="1"/>
    <xf numFmtId="176" fontId="21" fillId="0" borderId="0" xfId="34" applyNumberFormat="1" applyFont="1"/>
    <xf numFmtId="0" fontId="22" fillId="0" borderId="0" xfId="34" applyFont="1"/>
    <xf numFmtId="0" fontId="22" fillId="0" borderId="0" xfId="34" applyFont="1" applyBorder="1" applyAlignment="1">
      <alignment vertical="center" wrapText="1"/>
    </xf>
    <xf numFmtId="42" fontId="22" fillId="0" borderId="0" xfId="19" applyNumberFormat="1" applyFont="1" applyBorder="1" applyAlignment="1">
      <alignment vertical="center"/>
    </xf>
    <xf numFmtId="171" fontId="22" fillId="0" borderId="0" xfId="37" applyNumberFormat="1" applyFont="1" applyBorder="1" applyAlignment="1">
      <alignment horizontal="center" vertical="center"/>
    </xf>
    <xf numFmtId="42" fontId="0" fillId="0" borderId="0" xfId="0" applyNumberFormat="1"/>
    <xf numFmtId="164" fontId="21" fillId="0" borderId="0" xfId="19" applyNumberFormat="1" applyFont="1" applyBorder="1"/>
    <xf numFmtId="3" fontId="12" fillId="0" borderId="0" xfId="0" applyNumberFormat="1" applyFont="1"/>
    <xf numFmtId="0" fontId="21" fillId="0" borderId="0" xfId="28" applyFont="1"/>
    <xf numFmtId="164" fontId="0" fillId="0" borderId="0" xfId="0" applyNumberFormat="1" applyAlignment="1">
      <alignment horizontal="right" indent="1"/>
    </xf>
    <xf numFmtId="164" fontId="0" fillId="0" borderId="0" xfId="0" applyNumberFormat="1" applyAlignment="1"/>
    <xf numFmtId="164" fontId="16" fillId="36" borderId="0" xfId="0" applyNumberFormat="1" applyFont="1" applyFill="1" applyAlignment="1"/>
    <xf numFmtId="165" fontId="23" fillId="0" borderId="0" xfId="0" applyNumberFormat="1" applyFont="1"/>
    <xf numFmtId="165" fontId="24" fillId="0" borderId="0" xfId="0" applyNumberFormat="1" applyFont="1"/>
    <xf numFmtId="166" fontId="0" fillId="0" borderId="0" xfId="0" applyNumberFormat="1" applyFill="1"/>
    <xf numFmtId="166" fontId="12" fillId="0" borderId="0" xfId="0" applyNumberFormat="1" applyFont="1" applyFill="1" applyAlignment="1">
      <alignment horizontal="left" indent="1"/>
    </xf>
    <xf numFmtId="1" fontId="12" fillId="36" borderId="0" xfId="28" applyNumberFormat="1" applyFont="1" applyFill="1" applyBorder="1" applyAlignment="1">
      <alignment horizontal="center"/>
    </xf>
    <xf numFmtId="0" fontId="12" fillId="0" borderId="0" xfId="28" applyNumberFormat="1" applyFont="1" applyFill="1" applyBorder="1" applyAlignment="1">
      <alignment horizontal="left" indent="1"/>
    </xf>
    <xf numFmtId="0" fontId="0" fillId="36" borderId="0" xfId="0" quotePrefix="1" applyFill="1" applyAlignment="1">
      <alignment horizontal="center"/>
    </xf>
    <xf numFmtId="0" fontId="0" fillId="36" borderId="0" xfId="0" applyFill="1" applyAlignment="1">
      <alignment horizontal="center"/>
    </xf>
    <xf numFmtId="0" fontId="12" fillId="0" borderId="0" xfId="28" applyNumberFormat="1" applyFont="1" applyFill="1" applyBorder="1" applyAlignment="1">
      <alignment horizontal="left" indent="2"/>
    </xf>
    <xf numFmtId="0" fontId="10" fillId="0" borderId="0" xfId="0" quotePrefix="1" applyFont="1" applyAlignment="1">
      <alignment horizontal="right"/>
    </xf>
    <xf numFmtId="164" fontId="12" fillId="0" borderId="0" xfId="19" applyNumberFormat="1" applyFont="1" applyBorder="1"/>
    <xf numFmtId="164" fontId="16" fillId="36" borderId="0" xfId="19" applyNumberFormat="1" applyFont="1" applyFill="1" applyBorder="1"/>
    <xf numFmtId="164" fontId="12" fillId="0" borderId="0" xfId="0" applyNumberFormat="1" applyFont="1" applyAlignment="1">
      <alignment horizontal="left" indent="1"/>
    </xf>
    <xf numFmtId="164" fontId="12" fillId="0" borderId="0" xfId="19" applyNumberFormat="1" applyFont="1" applyBorder="1" applyAlignment="1">
      <alignment horizontal="left" indent="1"/>
    </xf>
    <xf numFmtId="10" fontId="12" fillId="0" borderId="0" xfId="37" applyNumberFormat="1" applyFont="1" applyBorder="1" applyAlignment="1">
      <alignment horizontal="center"/>
    </xf>
    <xf numFmtId="10" fontId="16" fillId="0" borderId="0" xfId="37" applyNumberFormat="1" applyFont="1" applyBorder="1" applyAlignment="1">
      <alignment horizontal="center"/>
    </xf>
    <xf numFmtId="164" fontId="10" fillId="0" borderId="0" xfId="19" applyNumberFormat="1" applyFont="1" applyBorder="1" applyAlignment="1">
      <alignment vertical="center"/>
    </xf>
    <xf numFmtId="10" fontId="10" fillId="0" borderId="0" xfId="37" applyNumberFormat="1" applyFont="1" applyBorder="1" applyAlignment="1">
      <alignment horizontal="center" vertical="center"/>
    </xf>
    <xf numFmtId="0" fontId="13" fillId="0" borderId="0" xfId="34" applyFont="1" applyAlignment="1">
      <alignment horizontal="center"/>
    </xf>
    <xf numFmtId="0" fontId="10" fillId="0" borderId="0" xfId="34" applyFont="1" applyBorder="1"/>
    <xf numFmtId="0" fontId="12" fillId="0" borderId="0" xfId="34" applyFont="1" applyBorder="1" applyAlignment="1">
      <alignment horizontal="left" indent="2"/>
    </xf>
    <xf numFmtId="0" fontId="10" fillId="0" borderId="0" xfId="34" applyFont="1" applyBorder="1" applyAlignment="1">
      <alignment horizontal="left"/>
    </xf>
    <xf numFmtId="0" fontId="10" fillId="0" borderId="0" xfId="34" applyFont="1" applyBorder="1" applyAlignment="1">
      <alignment horizontal="left" wrapText="1"/>
    </xf>
    <xf numFmtId="0" fontId="12" fillId="0" borderId="0" xfId="34" applyFont="1" applyBorder="1" applyAlignment="1">
      <alignment horizontal="left" wrapText="1"/>
    </xf>
    <xf numFmtId="0" fontId="10" fillId="0" borderId="0" xfId="34" applyFont="1" applyBorder="1" applyAlignment="1">
      <alignment vertical="center" wrapText="1"/>
    </xf>
    <xf numFmtId="0" fontId="10" fillId="0" borderId="0" xfId="34" applyFont="1"/>
    <xf numFmtId="0" fontId="10" fillId="0" borderId="0" xfId="34" applyFont="1" applyAlignment="1">
      <alignment horizontal="center"/>
    </xf>
    <xf numFmtId="0" fontId="12" fillId="0" borderId="0" xfId="34" applyFont="1"/>
    <xf numFmtId="0" fontId="12" fillId="36" borderId="0" xfId="34" applyFont="1" applyFill="1"/>
    <xf numFmtId="0" fontId="13" fillId="0" borderId="0" xfId="34" applyFont="1" applyFill="1" applyAlignment="1">
      <alignment horizontal="center"/>
    </xf>
    <xf numFmtId="167" fontId="12" fillId="0" borderId="0" xfId="19" applyNumberFormat="1" applyFont="1" applyBorder="1"/>
    <xf numFmtId="171" fontId="12" fillId="0" borderId="0" xfId="37" applyNumberFormat="1" applyFont="1" applyBorder="1" applyAlignment="1">
      <alignment horizontal="left" indent="3"/>
    </xf>
    <xf numFmtId="0" fontId="12" fillId="0" borderId="0" xfId="34" applyFont="1" applyBorder="1" applyAlignment="1">
      <alignment horizontal="left"/>
    </xf>
    <xf numFmtId="41" fontId="12" fillId="0" borderId="0" xfId="19" applyNumberFormat="1" applyFont="1" applyBorder="1"/>
    <xf numFmtId="41" fontId="12" fillId="0" borderId="0" xfId="34" applyNumberFormat="1" applyFont="1" applyBorder="1"/>
    <xf numFmtId="10" fontId="12" fillId="0" borderId="0" xfId="34" applyNumberFormat="1" applyFont="1" applyBorder="1" applyAlignment="1">
      <alignment horizontal="center"/>
    </xf>
    <xf numFmtId="10" fontId="12" fillId="0" borderId="0" xfId="37" applyNumberFormat="1" applyFont="1" applyFill="1" applyBorder="1" applyAlignment="1">
      <alignment horizontal="center"/>
    </xf>
    <xf numFmtId="5" fontId="16" fillId="36" borderId="0" xfId="19" applyNumberFormat="1" applyFont="1" applyFill="1" applyBorder="1"/>
    <xf numFmtId="10" fontId="16" fillId="0" borderId="0" xfId="37" applyNumberFormat="1" applyFont="1" applyFill="1" applyBorder="1" applyAlignment="1">
      <alignment horizontal="center"/>
    </xf>
    <xf numFmtId="0" fontId="12" fillId="0" borderId="0" xfId="34" applyFont="1" applyBorder="1" applyAlignment="1">
      <alignment horizontal="right" wrapText="1"/>
    </xf>
    <xf numFmtId="0" fontId="10" fillId="0" borderId="0" xfId="34" applyFont="1" applyBorder="1" applyAlignment="1">
      <alignment horizontal="left" vertical="center" wrapText="1"/>
    </xf>
    <xf numFmtId="0" fontId="44" fillId="36" borderId="0" xfId="34" applyFont="1" applyFill="1"/>
    <xf numFmtId="0" fontId="12" fillId="36" borderId="0" xfId="0" applyFont="1" applyFill="1" applyAlignment="1"/>
    <xf numFmtId="0" fontId="12" fillId="0" borderId="0" xfId="0" quotePrefix="1" applyFont="1" applyAlignment="1">
      <alignment horizontal="center" vertical="justify"/>
    </xf>
    <xf numFmtId="0" fontId="10" fillId="36" borderId="0" xfId="0" applyFont="1" applyFill="1" applyAlignment="1">
      <alignment horizontal="center"/>
    </xf>
    <xf numFmtId="0" fontId="13" fillId="36" borderId="0" xfId="0" applyFont="1" applyFill="1" applyAlignment="1">
      <alignment horizontal="center"/>
    </xf>
    <xf numFmtId="0" fontId="10" fillId="0" borderId="0" xfId="28" applyFont="1" applyFill="1" applyBorder="1" applyAlignment="1">
      <alignment horizontal="left"/>
    </xf>
    <xf numFmtId="1" fontId="12" fillId="0" borderId="0" xfId="28" quotePrefix="1" applyNumberFormat="1" applyFont="1" applyFill="1" applyBorder="1" applyAlignment="1">
      <alignment horizontal="right"/>
    </xf>
    <xf numFmtId="164" fontId="12" fillId="0" borderId="0" xfId="0" quotePrefix="1" applyNumberFormat="1" applyFont="1" applyAlignment="1">
      <alignment horizontal="center"/>
    </xf>
    <xf numFmtId="0" fontId="10" fillId="0" borderId="0" xfId="0" applyFont="1" applyBorder="1" applyAlignment="1">
      <alignment horizontal="center"/>
    </xf>
    <xf numFmtId="0" fontId="10" fillId="0" borderId="3" xfId="0" applyFont="1" applyBorder="1" applyAlignment="1">
      <alignment horizontal="center"/>
    </xf>
    <xf numFmtId="0" fontId="10" fillId="0" borderId="3" xfId="0" applyFont="1" applyFill="1" applyBorder="1" applyAlignment="1">
      <alignment horizontal="center"/>
    </xf>
    <xf numFmtId="0" fontId="10" fillId="0" borderId="3" xfId="0" applyNumberFormat="1" applyFont="1" applyBorder="1" applyAlignment="1">
      <alignment horizontal="center" wrapText="1"/>
    </xf>
    <xf numFmtId="0" fontId="10" fillId="0" borderId="3" xfId="0" applyNumberFormat="1" applyFont="1" applyFill="1" applyBorder="1" applyAlignment="1">
      <alignment wrapText="1"/>
    </xf>
    <xf numFmtId="0" fontId="10" fillId="0" borderId="3" xfId="0" applyNumberFormat="1" applyFont="1" applyBorder="1" applyAlignment="1">
      <alignment wrapText="1"/>
    </xf>
    <xf numFmtId="0" fontId="10" fillId="0" borderId="3" xfId="0" applyFont="1" applyFill="1" applyBorder="1" applyAlignment="1">
      <alignment horizontal="center" wrapText="1"/>
    </xf>
    <xf numFmtId="0" fontId="10" fillId="0" borderId="3" xfId="0" applyFont="1" applyBorder="1" applyAlignment="1">
      <alignment horizontal="center" wrapText="1"/>
    </xf>
    <xf numFmtId="0" fontId="12" fillId="0" borderId="3" xfId="0" quotePrefix="1" applyNumberFormat="1" applyFont="1" applyFill="1" applyBorder="1" applyAlignment="1">
      <alignment horizontal="center"/>
    </xf>
    <xf numFmtId="0" fontId="12" fillId="0" borderId="3" xfId="0" quotePrefix="1" applyNumberFormat="1" applyFont="1" applyFill="1" applyBorder="1" applyAlignment="1">
      <alignment horizontal="left"/>
    </xf>
    <xf numFmtId="0" fontId="12" fillId="0" borderId="3" xfId="0" quotePrefix="1" applyNumberFormat="1" applyFont="1" applyFill="1" applyBorder="1"/>
    <xf numFmtId="0" fontId="12" fillId="0" borderId="3" xfId="0" applyFont="1" applyFill="1" applyBorder="1" applyAlignment="1">
      <alignment horizontal="center"/>
    </xf>
    <xf numFmtId="37" fontId="12" fillId="0" borderId="3" xfId="0" applyNumberFormat="1" applyFont="1" applyFill="1" applyBorder="1" applyAlignment="1">
      <alignment horizontal="center"/>
    </xf>
    <xf numFmtId="37" fontId="12" fillId="0" borderId="3" xfId="0" applyNumberFormat="1" applyFont="1" applyBorder="1" applyAlignment="1">
      <alignment horizontal="center"/>
    </xf>
    <xf numFmtId="0" fontId="12" fillId="0" borderId="3" xfId="0" quotePrefix="1" applyNumberFormat="1" applyFont="1" applyBorder="1" applyAlignment="1">
      <alignment horizontal="center"/>
    </xf>
    <xf numFmtId="0" fontId="12" fillId="0" borderId="3" xfId="0" quotePrefix="1" applyNumberFormat="1" applyFont="1" applyBorder="1"/>
    <xf numFmtId="0" fontId="12" fillId="0" borderId="3" xfId="0" applyFont="1" applyBorder="1" applyAlignment="1">
      <alignment horizontal="center"/>
    </xf>
    <xf numFmtId="0" fontId="10" fillId="0" borderId="0" xfId="0" quotePrefix="1" applyNumberFormat="1" applyFont="1" applyBorder="1" applyAlignment="1">
      <alignment horizontal="center"/>
    </xf>
    <xf numFmtId="0" fontId="10" fillId="0" borderId="0" xfId="0" applyNumberFormat="1" applyFont="1" applyFill="1" applyBorder="1"/>
    <xf numFmtId="0" fontId="10" fillId="0" borderId="0" xfId="0" quotePrefix="1" applyNumberFormat="1" applyFont="1" applyBorder="1"/>
    <xf numFmtId="0" fontId="10" fillId="0" borderId="0" xfId="0" quotePrefix="1" applyNumberFormat="1" applyFont="1" applyFill="1" applyBorder="1"/>
    <xf numFmtId="37" fontId="12" fillId="0" borderId="0" xfId="0" applyNumberFormat="1" applyFont="1" applyFill="1" applyBorder="1" applyAlignment="1">
      <alignment horizontal="center"/>
    </xf>
    <xf numFmtId="0" fontId="12" fillId="0" borderId="0" xfId="0" applyFont="1" applyBorder="1" applyAlignment="1">
      <alignment horizontal="center"/>
    </xf>
    <xf numFmtId="0" fontId="12" fillId="0" borderId="0" xfId="0" quotePrefix="1" applyNumberFormat="1" applyFont="1" applyBorder="1" applyAlignment="1">
      <alignment horizontal="center"/>
    </xf>
    <xf numFmtId="0" fontId="12" fillId="0" borderId="3" xfId="0" applyFont="1" applyFill="1" applyBorder="1"/>
    <xf numFmtId="37" fontId="10" fillId="0" borderId="0" xfId="0" applyNumberFormat="1" applyFont="1" applyFill="1" applyBorder="1" applyAlignment="1">
      <alignment horizontal="center"/>
    </xf>
    <xf numFmtId="0" fontId="12" fillId="0" borderId="3" xfId="0" quotePrefix="1" applyNumberFormat="1" applyFont="1" applyBorder="1" applyAlignment="1">
      <alignment horizontal="left"/>
    </xf>
    <xf numFmtId="0" fontId="12" fillId="0" borderId="3" xfId="0" applyNumberFormat="1" applyFont="1" applyFill="1" applyBorder="1"/>
    <xf numFmtId="0" fontId="12" fillId="0" borderId="3" xfId="0" applyNumberFormat="1" applyFont="1" applyFill="1" applyBorder="1" applyAlignment="1">
      <alignment horizontal="left"/>
    </xf>
    <xf numFmtId="39" fontId="12" fillId="0" borderId="0" xfId="19" applyNumberFormat="1" applyFont="1" applyBorder="1" applyAlignment="1">
      <alignment horizontal="center"/>
    </xf>
    <xf numFmtId="0" fontId="12" fillId="0" borderId="0" xfId="0" applyFont="1" applyFill="1" applyBorder="1" applyAlignment="1">
      <alignment horizontal="center"/>
    </xf>
    <xf numFmtId="39" fontId="12" fillId="0" borderId="0" xfId="19" applyNumberFormat="1" applyFont="1" applyFill="1" applyBorder="1" applyAlignment="1">
      <alignment horizontal="center"/>
    </xf>
    <xf numFmtId="0" fontId="12" fillId="0" borderId="0" xfId="0" applyFont="1" applyBorder="1"/>
    <xf numFmtId="0" fontId="10" fillId="0" borderId="3" xfId="0" applyNumberFormat="1" applyFont="1" applyFill="1" applyBorder="1" applyAlignment="1">
      <alignment horizontal="right"/>
    </xf>
    <xf numFmtId="0" fontId="12" fillId="0" borderId="0" xfId="0" quotePrefix="1" applyNumberFormat="1" applyFont="1" applyBorder="1"/>
    <xf numFmtId="0" fontId="12" fillId="0" borderId="0" xfId="0" quotePrefix="1" applyNumberFormat="1" applyFont="1" applyFill="1" applyBorder="1"/>
    <xf numFmtId="164" fontId="12" fillId="0" borderId="0" xfId="19" applyNumberFormat="1" applyFont="1" applyBorder="1" applyAlignment="1">
      <alignment horizontal="right"/>
    </xf>
    <xf numFmtId="0" fontId="16" fillId="0" borderId="0" xfId="0" applyFont="1" applyBorder="1" applyAlignment="1">
      <alignment horizontal="center"/>
    </xf>
    <xf numFmtId="49" fontId="12" fillId="0" borderId="0" xfId="19" applyNumberFormat="1" applyFont="1" applyBorder="1" applyAlignment="1">
      <alignment horizontal="left" indent="1"/>
    </xf>
    <xf numFmtId="0" fontId="45" fillId="0" borderId="0" xfId="0" applyFont="1"/>
    <xf numFmtId="0" fontId="45" fillId="0" borderId="0" xfId="0" applyFont="1" applyAlignment="1">
      <alignment horizontal="right"/>
    </xf>
    <xf numFmtId="164" fontId="45" fillId="0" borderId="0" xfId="0" applyNumberFormat="1" applyFont="1"/>
    <xf numFmtId="0" fontId="46" fillId="0" borderId="0" xfId="0" applyFont="1" applyAlignment="1">
      <alignment horizontal="center"/>
    </xf>
    <xf numFmtId="164" fontId="45" fillId="0" borderId="0" xfId="0" applyNumberFormat="1" applyFont="1" applyFill="1"/>
    <xf numFmtId="164" fontId="45" fillId="36" borderId="0" xfId="0" applyNumberFormat="1" applyFont="1" applyFill="1"/>
    <xf numFmtId="10" fontId="45" fillId="34" borderId="0" xfId="0" applyNumberFormat="1" applyFont="1" applyFill="1"/>
    <xf numFmtId="164" fontId="45" fillId="0" borderId="0" xfId="0" applyNumberFormat="1" applyFont="1" applyAlignment="1">
      <alignment horizontal="right"/>
    </xf>
    <xf numFmtId="164" fontId="45" fillId="0" borderId="0" xfId="0" quotePrefix="1" applyNumberFormat="1" applyFont="1" applyAlignment="1">
      <alignment horizontal="center"/>
    </xf>
    <xf numFmtId="164" fontId="45" fillId="0" borderId="0" xfId="0" quotePrefix="1" applyNumberFormat="1" applyFont="1" applyFill="1" applyAlignment="1">
      <alignment horizontal="center"/>
    </xf>
    <xf numFmtId="0" fontId="45" fillId="0" borderId="0" xfId="0" applyFont="1" applyFill="1"/>
    <xf numFmtId="10" fontId="45" fillId="0" borderId="0" xfId="0" applyNumberFormat="1" applyFont="1" applyFill="1"/>
    <xf numFmtId="164" fontId="46" fillId="0" borderId="0" xfId="0" applyNumberFormat="1" applyFont="1" applyAlignment="1">
      <alignment horizontal="center"/>
    </xf>
    <xf numFmtId="0" fontId="43" fillId="0" borderId="0" xfId="0" applyFont="1" applyAlignment="1">
      <alignment horizontal="center"/>
    </xf>
    <xf numFmtId="164" fontId="47" fillId="0" borderId="0" xfId="0" applyNumberFormat="1" applyFont="1" applyAlignment="1">
      <alignment horizontal="center"/>
    </xf>
    <xf numFmtId="0" fontId="48" fillId="0" borderId="0" xfId="0" applyFont="1" applyAlignment="1">
      <alignment horizontal="center"/>
    </xf>
    <xf numFmtId="164" fontId="49" fillId="0" borderId="0" xfId="0" applyNumberFormat="1" applyFont="1"/>
    <xf numFmtId="164" fontId="45" fillId="0" borderId="0" xfId="0" applyNumberFormat="1" applyFont="1" applyFill="1" applyAlignment="1">
      <alignment horizontal="right"/>
    </xf>
    <xf numFmtId="166" fontId="45" fillId="0" borderId="0" xfId="0" applyNumberFormat="1" applyFont="1"/>
    <xf numFmtId="164" fontId="45" fillId="34" borderId="0" xfId="0" applyNumberFormat="1" applyFont="1" applyFill="1"/>
    <xf numFmtId="0" fontId="45" fillId="0" borderId="0" xfId="0" applyFont="1" applyAlignment="1">
      <alignment horizontal="left" indent="1"/>
    </xf>
    <xf numFmtId="165" fontId="45" fillId="0" borderId="0" xfId="0" applyNumberFormat="1" applyFont="1"/>
    <xf numFmtId="0" fontId="45" fillId="0" borderId="0" xfId="0" applyFont="1" applyAlignment="1">
      <alignment horizontal="center"/>
    </xf>
    <xf numFmtId="0" fontId="12" fillId="0" borderId="0" xfId="0" quotePrefix="1" applyFont="1" applyAlignment="1">
      <alignment horizontal="right"/>
    </xf>
    <xf numFmtId="0" fontId="10" fillId="36" borderId="0" xfId="0" quotePrefix="1" applyFont="1" applyFill="1" applyAlignment="1">
      <alignment horizontal="center"/>
    </xf>
    <xf numFmtId="0" fontId="10" fillId="0" borderId="0" xfId="28" applyFont="1"/>
    <xf numFmtId="0" fontId="12" fillId="36" borderId="0" xfId="28" applyFont="1" applyFill="1"/>
    <xf numFmtId="0" fontId="10" fillId="0" borderId="0" xfId="28" applyFont="1" applyFill="1" applyBorder="1" applyAlignment="1">
      <alignment horizontal="left" vertical="center"/>
    </xf>
    <xf numFmtId="0" fontId="10" fillId="0" borderId="0" xfId="28" applyFont="1" applyFill="1" applyBorder="1" applyAlignment="1">
      <alignment horizontal="center" vertical="center" wrapText="1"/>
    </xf>
    <xf numFmtId="0" fontId="10" fillId="0" borderId="0" xfId="28" applyFont="1" applyFill="1" applyBorder="1" applyAlignment="1">
      <alignment horizontal="center" vertical="center"/>
    </xf>
    <xf numFmtId="0" fontId="10" fillId="0" borderId="0" xfId="28" applyFont="1" applyFill="1" applyBorder="1" applyAlignment="1">
      <alignment horizontal="center"/>
    </xf>
    <xf numFmtId="0" fontId="10" fillId="0" borderId="0" xfId="28" applyFont="1" applyBorder="1" applyAlignment="1">
      <alignment horizontal="center" vertical="center" wrapText="1"/>
    </xf>
    <xf numFmtId="0" fontId="12" fillId="0" borderId="0" xfId="28" applyFont="1" applyFill="1" applyBorder="1" applyAlignment="1">
      <alignment horizontal="left" vertical="center" indent="1"/>
    </xf>
    <xf numFmtId="164" fontId="12" fillId="0" borderId="0" xfId="28" applyNumberFormat="1" applyFont="1" applyFill="1" applyBorder="1" applyAlignment="1">
      <alignment horizontal="right" vertical="center" wrapText="1"/>
    </xf>
    <xf numFmtId="164" fontId="12" fillId="0" borderId="0" xfId="20" applyNumberFormat="1" applyFont="1" applyFill="1"/>
    <xf numFmtId="164" fontId="12" fillId="0" borderId="0" xfId="28" applyNumberFormat="1" applyFont="1" applyFill="1" applyBorder="1" applyAlignment="1">
      <alignment horizontal="right"/>
    </xf>
    <xf numFmtId="164" fontId="16" fillId="0" borderId="0" xfId="28" applyNumberFormat="1" applyFont="1" applyFill="1" applyBorder="1" applyAlignment="1">
      <alignment horizontal="right" vertical="center" wrapText="1"/>
    </xf>
    <xf numFmtId="164" fontId="16" fillId="0" borderId="0" xfId="20" applyNumberFormat="1" applyFont="1" applyFill="1"/>
    <xf numFmtId="164" fontId="16" fillId="0" borderId="0" xfId="28" applyNumberFormat="1" applyFont="1" applyFill="1" applyBorder="1" applyAlignment="1">
      <alignment horizontal="right"/>
    </xf>
    <xf numFmtId="164" fontId="12" fillId="0" borderId="0" xfId="28" applyNumberFormat="1" applyFont="1" applyFill="1" applyAlignment="1">
      <alignment vertical="center"/>
    </xf>
    <xf numFmtId="0" fontId="12" fillId="0" borderId="0" xfId="28" applyFont="1" applyFill="1"/>
    <xf numFmtId="41" fontId="12" fillId="0" borderId="0" xfId="20" applyNumberFormat="1" applyFont="1" applyFill="1"/>
    <xf numFmtId="41" fontId="12" fillId="0" borderId="0" xfId="28" applyNumberFormat="1" applyFont="1" applyFill="1"/>
    <xf numFmtId="41" fontId="12" fillId="0" borderId="0" xfId="20" applyNumberFormat="1" applyFont="1"/>
    <xf numFmtId="41" fontId="12" fillId="0" borderId="0" xfId="20" applyNumberFormat="1" applyFont="1" applyAlignment="1" applyProtection="1">
      <alignment horizontal="right" indent="2"/>
    </xf>
    <xf numFmtId="0" fontId="10" fillId="0" borderId="0" xfId="28" applyFont="1" applyFill="1"/>
    <xf numFmtId="0" fontId="12" fillId="0" borderId="0" xfId="28" applyFont="1" applyFill="1" applyAlignment="1">
      <alignment horizontal="left" wrapText="1" indent="1"/>
    </xf>
    <xf numFmtId="164" fontId="12" fillId="0" borderId="0" xfId="28" applyNumberFormat="1" applyFont="1" applyFill="1"/>
    <xf numFmtId="41" fontId="25" fillId="0" borderId="0" xfId="20" applyNumberFormat="1" applyFont="1" applyFill="1"/>
    <xf numFmtId="164" fontId="25" fillId="0" borderId="0" xfId="20" applyNumberFormat="1" applyFont="1" applyFill="1"/>
    <xf numFmtId="42" fontId="25" fillId="0" borderId="0" xfId="28" applyNumberFormat="1" applyFont="1"/>
    <xf numFmtId="0" fontId="10" fillId="0" borderId="0" xfId="28" applyFont="1" applyAlignment="1">
      <alignment horizontal="right"/>
    </xf>
    <xf numFmtId="42" fontId="12" fillId="0" borderId="0" xfId="28" applyNumberFormat="1" applyFont="1"/>
    <xf numFmtId="42" fontId="12" fillId="0" borderId="0" xfId="20" applyNumberFormat="1" applyFont="1" applyBorder="1"/>
    <xf numFmtId="42" fontId="12" fillId="0" borderId="0" xfId="28" applyNumberFormat="1" applyFont="1" applyBorder="1"/>
    <xf numFmtId="164" fontId="12" fillId="0" borderId="0" xfId="20" applyNumberFormat="1" applyFont="1" applyBorder="1"/>
    <xf numFmtId="43" fontId="12" fillId="0" borderId="0" xfId="28" applyNumberFormat="1" applyFont="1"/>
    <xf numFmtId="41" fontId="12" fillId="0" borderId="0" xfId="28" applyNumberFormat="1" applyFont="1"/>
    <xf numFmtId="0" fontId="10" fillId="0" borderId="0" xfId="28" applyFont="1" applyAlignment="1">
      <alignment horizontal="center" wrapText="1"/>
    </xf>
    <xf numFmtId="0" fontId="13" fillId="0" borderId="0" xfId="28" applyFont="1"/>
    <xf numFmtId="164" fontId="12" fillId="0" borderId="0" xfId="28" applyNumberFormat="1" applyFont="1" applyBorder="1"/>
    <xf numFmtId="0" fontId="12" fillId="0" borderId="0" xfId="28" applyFont="1" applyFill="1" applyBorder="1" applyAlignment="1">
      <alignment horizontal="right" vertical="center"/>
    </xf>
    <xf numFmtId="168" fontId="12" fillId="0" borderId="0" xfId="39" applyNumberFormat="1" applyFont="1" applyFill="1" applyBorder="1" applyAlignment="1">
      <alignment vertical="center"/>
    </xf>
    <xf numFmtId="10" fontId="12" fillId="0" borderId="0" xfId="39" applyNumberFormat="1" applyFont="1" applyFill="1" applyBorder="1" applyAlignment="1">
      <alignment vertical="center"/>
    </xf>
    <xf numFmtId="0" fontId="26" fillId="0" borderId="0" xfId="28" applyFont="1" applyAlignment="1">
      <alignment vertical="center"/>
    </xf>
    <xf numFmtId="0" fontId="12" fillId="0" borderId="0" xfId="28" applyFont="1" applyAlignment="1">
      <alignment vertical="center"/>
    </xf>
    <xf numFmtId="0" fontId="12" fillId="0" borderId="0" xfId="28" applyFont="1" applyFill="1" applyBorder="1"/>
    <xf numFmtId="10" fontId="12" fillId="0" borderId="0" xfId="39" applyNumberFormat="1" applyFont="1" applyFill="1" applyBorder="1"/>
    <xf numFmtId="42" fontId="12" fillId="0" borderId="0" xfId="20" applyNumberFormat="1" applyFont="1" applyFill="1"/>
    <xf numFmtId="39" fontId="10" fillId="0" borderId="3" xfId="22" quotePrefix="1" applyNumberFormat="1" applyFont="1" applyBorder="1" applyAlignment="1">
      <alignment horizontal="center" wrapText="1"/>
    </xf>
    <xf numFmtId="39" fontId="10" fillId="0" borderId="3" xfId="22" applyNumberFormat="1" applyFont="1" applyBorder="1" applyAlignment="1">
      <alignment horizontal="center" wrapText="1"/>
    </xf>
    <xf numFmtId="39" fontId="12" fillId="0" borderId="3" xfId="22" quotePrefix="1" applyNumberFormat="1" applyFont="1" applyFill="1" applyBorder="1" applyAlignment="1">
      <alignment horizontal="center"/>
    </xf>
    <xf numFmtId="177" fontId="10" fillId="0" borderId="3" xfId="22" applyNumberFormat="1" applyFont="1" applyBorder="1" applyAlignment="1">
      <alignment horizontal="center" wrapText="1"/>
    </xf>
    <xf numFmtId="39" fontId="10" fillId="0" borderId="0" xfId="22" quotePrefix="1" applyNumberFormat="1" applyFont="1" applyBorder="1" applyAlignment="1">
      <alignment horizontal="center"/>
    </xf>
    <xf numFmtId="37" fontId="10" fillId="0" borderId="3" xfId="22" quotePrefix="1" applyNumberFormat="1" applyFont="1" applyBorder="1" applyAlignment="1">
      <alignment horizontal="center"/>
    </xf>
    <xf numFmtId="37" fontId="10" fillId="0" borderId="0" xfId="22" quotePrefix="1" applyNumberFormat="1" applyFont="1" applyBorder="1" applyAlignment="1">
      <alignment horizontal="center"/>
    </xf>
    <xf numFmtId="37" fontId="12" fillId="0" borderId="3" xfId="22" quotePrefix="1" applyNumberFormat="1" applyFont="1" applyBorder="1" applyAlignment="1">
      <alignment horizontal="center"/>
    </xf>
    <xf numFmtId="37" fontId="12" fillId="0" borderId="3" xfId="22" quotePrefix="1" applyNumberFormat="1" applyFont="1" applyFill="1" applyBorder="1" applyAlignment="1">
      <alignment horizontal="center"/>
    </xf>
    <xf numFmtId="39" fontId="12" fillId="0" borderId="0" xfId="22" quotePrefix="1" applyNumberFormat="1" applyFont="1" applyBorder="1" applyAlignment="1">
      <alignment horizontal="center"/>
    </xf>
    <xf numFmtId="177" fontId="12" fillId="0" borderId="0" xfId="22" applyNumberFormat="1" applyFont="1" applyBorder="1" applyAlignment="1">
      <alignment horizontal="center"/>
    </xf>
    <xf numFmtId="0" fontId="12" fillId="0" borderId="3" xfId="22" applyNumberFormat="1" applyFont="1" applyFill="1" applyBorder="1" applyAlignment="1">
      <alignment horizontal="left"/>
    </xf>
    <xf numFmtId="37" fontId="12" fillId="36" borderId="3" xfId="22" quotePrefix="1" applyNumberFormat="1" applyFont="1" applyFill="1" applyBorder="1" applyAlignment="1">
      <alignment horizontal="center"/>
    </xf>
    <xf numFmtId="0" fontId="12" fillId="36" borderId="3" xfId="0" applyFont="1" applyFill="1" applyBorder="1" applyAlignment="1">
      <alignment horizontal="center"/>
    </xf>
    <xf numFmtId="37" fontId="12" fillId="36" borderId="3" xfId="0" applyNumberFormat="1" applyFont="1" applyFill="1" applyBorder="1" applyAlignment="1">
      <alignment horizontal="center"/>
    </xf>
    <xf numFmtId="37" fontId="12" fillId="36" borderId="3" xfId="22" applyNumberFormat="1" applyFont="1" applyFill="1" applyBorder="1" applyAlignment="1">
      <alignment horizontal="center"/>
    </xf>
    <xf numFmtId="39" fontId="12" fillId="36" borderId="3" xfId="22" quotePrefix="1" applyNumberFormat="1" applyFont="1" applyFill="1" applyBorder="1" applyAlignment="1">
      <alignment horizontal="center"/>
    </xf>
    <xf numFmtId="39" fontId="12" fillId="36" borderId="4" xfId="22" quotePrefix="1" applyNumberFormat="1" applyFont="1" applyFill="1" applyBorder="1" applyAlignment="1">
      <alignment horizontal="center"/>
    </xf>
    <xf numFmtId="37" fontId="10" fillId="36" borderId="3" xfId="22" quotePrefix="1" applyNumberFormat="1" applyFont="1" applyFill="1" applyBorder="1" applyAlignment="1">
      <alignment horizontal="center"/>
    </xf>
    <xf numFmtId="178" fontId="12" fillId="36" borderId="3" xfId="22" applyNumberFormat="1" applyFont="1" applyFill="1" applyBorder="1"/>
    <xf numFmtId="37" fontId="10" fillId="0" borderId="0" xfId="22" quotePrefix="1" applyNumberFormat="1" applyFont="1" applyFill="1" applyBorder="1" applyAlignment="1">
      <alignment horizontal="center"/>
    </xf>
    <xf numFmtId="37" fontId="10" fillId="0" borderId="3" xfId="22" quotePrefix="1" applyNumberFormat="1" applyFont="1" applyFill="1" applyBorder="1" applyAlignment="1">
      <alignment horizontal="center"/>
    </xf>
    <xf numFmtId="39" fontId="10" fillId="0" borderId="0" xfId="22" quotePrefix="1" applyNumberFormat="1" applyFont="1" applyFill="1" applyBorder="1" applyAlignment="1">
      <alignment horizontal="center"/>
    </xf>
    <xf numFmtId="39" fontId="10" fillId="0" borderId="3" xfId="22" applyNumberFormat="1" applyFont="1" applyFill="1" applyBorder="1" applyAlignment="1">
      <alignment horizontal="center" wrapText="1"/>
    </xf>
    <xf numFmtId="39" fontId="12" fillId="0" borderId="0" xfId="22" applyNumberFormat="1" applyFont="1" applyFill="1" applyBorder="1" applyAlignment="1">
      <alignment horizontal="center"/>
    </xf>
    <xf numFmtId="39" fontId="12" fillId="0" borderId="0" xfId="22" quotePrefix="1" applyNumberFormat="1" applyFont="1" applyFill="1" applyBorder="1" applyAlignment="1">
      <alignment horizontal="center"/>
    </xf>
    <xf numFmtId="39" fontId="44" fillId="0" borderId="0" xfId="22" quotePrefix="1" applyNumberFormat="1" applyFont="1" applyBorder="1" applyAlignment="1">
      <alignment horizontal="center"/>
    </xf>
    <xf numFmtId="39" fontId="12" fillId="0" borderId="3" xfId="22" applyNumberFormat="1" applyFont="1" applyBorder="1" applyAlignment="1">
      <alignment horizontal="center" wrapText="1"/>
    </xf>
    <xf numFmtId="178" fontId="44" fillId="0" borderId="0" xfId="22" applyNumberFormat="1" applyFont="1" applyBorder="1" applyAlignment="1">
      <alignment horizontal="center"/>
    </xf>
    <xf numFmtId="39" fontId="44" fillId="0" borderId="0" xfId="22" applyNumberFormat="1" applyFont="1" applyBorder="1" applyAlignment="1">
      <alignment horizontal="left"/>
    </xf>
    <xf numFmtId="37" fontId="10" fillId="37" borderId="3" xfId="22" quotePrefix="1" applyNumberFormat="1" applyFont="1" applyFill="1" applyBorder="1" applyAlignment="1">
      <alignment horizontal="center"/>
    </xf>
    <xf numFmtId="39" fontId="10" fillId="37" borderId="3" xfId="22" applyNumberFormat="1" applyFont="1" applyFill="1" applyBorder="1" applyAlignment="1">
      <alignment horizontal="center"/>
    </xf>
    <xf numFmtId="39" fontId="50" fillId="0" borderId="0" xfId="22" quotePrefix="1" applyNumberFormat="1" applyFont="1" applyBorder="1" applyAlignment="1">
      <alignment horizontal="center"/>
    </xf>
    <xf numFmtId="0" fontId="10" fillId="37" borderId="0" xfId="0" quotePrefix="1" applyNumberFormat="1" applyFont="1" applyFill="1" applyBorder="1"/>
    <xf numFmtId="0" fontId="10" fillId="37" borderId="0" xfId="0" applyFont="1" applyFill="1" applyBorder="1"/>
    <xf numFmtId="37" fontId="50" fillId="0" borderId="0" xfId="22" quotePrefix="1" applyNumberFormat="1" applyFont="1" applyBorder="1" applyAlignment="1">
      <alignment horizontal="center"/>
    </xf>
    <xf numFmtId="0" fontId="12" fillId="36" borderId="3" xfId="0" quotePrefix="1" applyNumberFormat="1" applyFont="1" applyFill="1" applyBorder="1"/>
    <xf numFmtId="0" fontId="12" fillId="36" borderId="3" xfId="0" quotePrefix="1" applyNumberFormat="1" applyFont="1" applyFill="1" applyBorder="1" applyAlignment="1">
      <alignment horizontal="left"/>
    </xf>
    <xf numFmtId="0" fontId="12" fillId="36" borderId="3" xfId="0" applyNumberFormat="1" applyFont="1" applyFill="1" applyBorder="1"/>
    <xf numFmtId="0" fontId="12" fillId="36" borderId="3" xfId="0" applyNumberFormat="1" applyFont="1" applyFill="1" applyBorder="1" applyAlignment="1">
      <alignment horizontal="left"/>
    </xf>
    <xf numFmtId="0" fontId="12" fillId="36" borderId="3" xfId="22" applyNumberFormat="1" applyFont="1" applyFill="1" applyBorder="1" applyAlignment="1">
      <alignment horizontal="left"/>
    </xf>
    <xf numFmtId="0" fontId="12" fillId="36" borderId="3" xfId="0" quotePrefix="1" applyNumberFormat="1" applyFont="1" applyFill="1" applyBorder="1" applyAlignment="1">
      <alignment horizontal="center"/>
    </xf>
    <xf numFmtId="0" fontId="12" fillId="37" borderId="3" xfId="0" applyFont="1" applyFill="1" applyBorder="1" applyAlignment="1">
      <alignment horizontal="center"/>
    </xf>
    <xf numFmtId="0" fontId="12" fillId="37" borderId="3" xfId="0" applyFont="1" applyFill="1" applyBorder="1"/>
    <xf numFmtId="39" fontId="12" fillId="37" borderId="3" xfId="22" applyNumberFormat="1" applyFont="1" applyFill="1" applyBorder="1" applyAlignment="1">
      <alignment horizontal="center"/>
    </xf>
    <xf numFmtId="0" fontId="10" fillId="37" borderId="3" xfId="0" applyFont="1" applyFill="1" applyBorder="1" applyAlignment="1">
      <alignment horizontal="center"/>
    </xf>
    <xf numFmtId="37" fontId="12" fillId="0" borderId="3" xfId="22" applyNumberFormat="1" applyFont="1" applyFill="1" applyBorder="1" applyAlignment="1">
      <alignment horizontal="center"/>
    </xf>
    <xf numFmtId="39" fontId="12" fillId="0" borderId="3" xfId="22" applyNumberFormat="1" applyFont="1" applyFill="1" applyBorder="1" applyAlignment="1">
      <alignment horizontal="center"/>
    </xf>
    <xf numFmtId="49" fontId="12" fillId="0" borderId="0" xfId="22" applyNumberFormat="1" applyFont="1" applyBorder="1" applyAlignment="1">
      <alignment horizontal="left"/>
    </xf>
    <xf numFmtId="39" fontId="12" fillId="0" borderId="3" xfId="22" applyNumberFormat="1" applyFont="1" applyBorder="1" applyAlignment="1">
      <alignment horizontal="right"/>
    </xf>
    <xf numFmtId="10" fontId="12" fillId="0" borderId="3" xfId="38" applyNumberFormat="1" applyFont="1" applyFill="1" applyBorder="1" applyAlignment="1">
      <alignment horizontal="center"/>
    </xf>
    <xf numFmtId="39" fontId="12" fillId="0" borderId="3" xfId="22" quotePrefix="1" applyNumberFormat="1" applyFont="1" applyBorder="1" applyAlignment="1">
      <alignment horizontal="center"/>
    </xf>
    <xf numFmtId="39" fontId="10" fillId="0" borderId="3" xfId="22" applyNumberFormat="1" applyFont="1" applyFill="1" applyBorder="1" applyAlignment="1">
      <alignment horizontal="right" wrapText="1"/>
    </xf>
    <xf numFmtId="0" fontId="12" fillId="37" borderId="3" xfId="0" quotePrefix="1" applyNumberFormat="1" applyFont="1" applyFill="1" applyBorder="1"/>
    <xf numFmtId="0" fontId="12" fillId="36" borderId="6" xfId="0" applyFont="1" applyFill="1" applyBorder="1" applyAlignment="1"/>
    <xf numFmtId="0" fontId="12" fillId="36" borderId="4" xfId="0" applyFont="1" applyFill="1" applyBorder="1" applyAlignment="1"/>
    <xf numFmtId="0" fontId="12" fillId="36" borderId="3" xfId="0" applyFont="1" applyFill="1" applyBorder="1"/>
    <xf numFmtId="39" fontId="12" fillId="36" borderId="3" xfId="22" applyNumberFormat="1" applyFont="1" applyFill="1" applyBorder="1" applyAlignment="1">
      <alignment horizontal="center"/>
    </xf>
    <xf numFmtId="39" fontId="12" fillId="36" borderId="3" xfId="0" applyNumberFormat="1" applyFont="1" applyFill="1" applyBorder="1" applyAlignment="1">
      <alignment horizontal="center"/>
    </xf>
    <xf numFmtId="0" fontId="10" fillId="36" borderId="3" xfId="0" quotePrefix="1" applyNumberFormat="1" applyFont="1" applyFill="1" applyBorder="1"/>
    <xf numFmtId="39" fontId="10" fillId="36" borderId="3" xfId="22" quotePrefix="1" applyNumberFormat="1" applyFont="1" applyFill="1" applyBorder="1" applyAlignment="1">
      <alignment horizontal="center"/>
    </xf>
    <xf numFmtId="0" fontId="10" fillId="36" borderId="3" xfId="0" applyNumberFormat="1" applyFont="1" applyFill="1" applyBorder="1"/>
    <xf numFmtId="37" fontId="10" fillId="0" borderId="0" xfId="22" applyNumberFormat="1" applyFont="1" applyFill="1" applyBorder="1" applyAlignment="1">
      <alignment horizontal="center"/>
    </xf>
    <xf numFmtId="0" fontId="0" fillId="36" borderId="0" xfId="0" applyFill="1" applyAlignment="1">
      <alignment horizontal="left" vertical="top" wrapText="1"/>
    </xf>
    <xf numFmtId="39" fontId="10" fillId="0" borderId="0" xfId="22" applyNumberFormat="1" applyFont="1" applyBorder="1" applyAlignment="1">
      <alignment horizontal="center"/>
    </xf>
    <xf numFmtId="39" fontId="10" fillId="0" borderId="0" xfId="22" applyNumberFormat="1" applyFont="1" applyFill="1" applyBorder="1" applyAlignment="1">
      <alignment horizontal="center"/>
    </xf>
    <xf numFmtId="39" fontId="10" fillId="37" borderId="7" xfId="22" applyNumberFormat="1" applyFont="1" applyFill="1" applyBorder="1" applyAlignment="1">
      <alignment horizontal="center"/>
    </xf>
    <xf numFmtId="39" fontId="10" fillId="37" borderId="0" xfId="22" quotePrefix="1" applyNumberFormat="1" applyFont="1" applyFill="1" applyBorder="1" applyAlignment="1">
      <alignment horizontal="center"/>
    </xf>
    <xf numFmtId="39" fontId="12" fillId="0" borderId="0" xfId="22" applyNumberFormat="1" applyFont="1" applyBorder="1" applyAlignment="1">
      <alignment horizontal="center"/>
    </xf>
    <xf numFmtId="0" fontId="13" fillId="0" borderId="0" xfId="0" quotePrefix="1" applyFont="1" applyFill="1" applyAlignment="1">
      <alignment horizontal="center"/>
    </xf>
    <xf numFmtId="164" fontId="10" fillId="0" borderId="0" xfId="0" applyNumberFormat="1" applyFont="1" applyFill="1" applyAlignment="1">
      <alignment horizontal="center"/>
    </xf>
    <xf numFmtId="164" fontId="13" fillId="0" borderId="0" xfId="0" applyNumberFormat="1" applyFont="1" applyFill="1" applyAlignment="1">
      <alignment horizontal="center"/>
    </xf>
    <xf numFmtId="164" fontId="13" fillId="36" borderId="0" xfId="0" applyNumberFormat="1" applyFont="1" applyFill="1" applyAlignment="1">
      <alignment horizontal="center"/>
    </xf>
    <xf numFmtId="0" fontId="12" fillId="0" borderId="0" xfId="0" quotePrefix="1" applyFont="1" applyFill="1" applyAlignment="1">
      <alignment horizontal="center"/>
    </xf>
    <xf numFmtId="0" fontId="12" fillId="0" borderId="0" xfId="0" applyFont="1" applyFill="1" applyAlignment="1">
      <alignment horizontal="right"/>
    </xf>
    <xf numFmtId="164" fontId="16" fillId="0" borderId="0" xfId="0" applyNumberFormat="1" applyFont="1" applyFill="1" applyAlignment="1">
      <alignment horizontal="right"/>
    </xf>
    <xf numFmtId="164" fontId="12" fillId="36" borderId="0" xfId="0" applyNumberFormat="1" applyFont="1" applyFill="1" applyAlignment="1">
      <alignment horizontal="right"/>
    </xf>
    <xf numFmtId="10" fontId="45" fillId="0" borderId="0" xfId="0" applyNumberFormat="1" applyFont="1"/>
    <xf numFmtId="164" fontId="51" fillId="0" borderId="0" xfId="0" applyNumberFormat="1" applyFont="1"/>
    <xf numFmtId="0" fontId="47" fillId="0" borderId="0" xfId="0" applyFont="1" applyAlignment="1">
      <alignment horizontal="center"/>
    </xf>
    <xf numFmtId="3" fontId="45" fillId="0" borderId="0" xfId="0" applyNumberFormat="1" applyFont="1"/>
    <xf numFmtId="0" fontId="43" fillId="0" borderId="0" xfId="0" applyFont="1"/>
    <xf numFmtId="0" fontId="52" fillId="0" borderId="0" xfId="0" applyFont="1" applyAlignment="1">
      <alignment horizontal="left" indent="1"/>
    </xf>
    <xf numFmtId="10" fontId="52" fillId="0" borderId="0" xfId="0" applyNumberFormat="1" applyFont="1"/>
    <xf numFmtId="0" fontId="52" fillId="0" borderId="0" xfId="0" applyFont="1"/>
    <xf numFmtId="0" fontId="52" fillId="0" borderId="0" xfId="0" applyFont="1" applyAlignment="1">
      <alignment horizontal="right"/>
    </xf>
    <xf numFmtId="0" fontId="18" fillId="0" borderId="0" xfId="27" applyAlignment="1" applyProtection="1"/>
    <xf numFmtId="0" fontId="16" fillId="0" borderId="0" xfId="0" applyFont="1" applyFill="1" applyAlignment="1">
      <alignment horizontal="center"/>
    </xf>
    <xf numFmtId="168" fontId="12" fillId="0" borderId="0" xfId="0" applyNumberFormat="1" applyFont="1" applyFill="1" applyAlignment="1">
      <alignment horizontal="right"/>
    </xf>
    <xf numFmtId="0" fontId="12" fillId="0" borderId="0" xfId="0" applyFont="1" applyFill="1" applyAlignment="1">
      <alignment horizontal="left" indent="2"/>
    </xf>
    <xf numFmtId="0" fontId="0" fillId="0" borderId="0" xfId="0" applyFill="1" applyAlignment="1">
      <alignment horizontal="left" indent="2"/>
    </xf>
    <xf numFmtId="0" fontId="12" fillId="0" borderId="0" xfId="0" applyFont="1" applyFill="1" applyAlignment="1">
      <alignment horizontal="left" indent="3"/>
    </xf>
    <xf numFmtId="164" fontId="45" fillId="36" borderId="0" xfId="0" applyNumberFormat="1" applyFont="1" applyFill="1" applyAlignment="1">
      <alignment horizontal="right"/>
    </xf>
    <xf numFmtId="166" fontId="45" fillId="0" borderId="0" xfId="0" quotePrefix="1" applyNumberFormat="1" applyFont="1" applyAlignment="1">
      <alignment horizontal="right"/>
    </xf>
    <xf numFmtId="168" fontId="16" fillId="0" borderId="0" xfId="0" applyNumberFormat="1" applyFont="1"/>
    <xf numFmtId="49" fontId="0" fillId="0" borderId="0" xfId="0" applyNumberFormat="1" applyAlignment="1">
      <alignment horizontal="center"/>
    </xf>
    <xf numFmtId="49" fontId="48" fillId="0" borderId="0" xfId="0" applyNumberFormat="1" applyFont="1" applyAlignment="1">
      <alignment horizontal="center"/>
    </xf>
    <xf numFmtId="0" fontId="0" fillId="0" borderId="0" xfId="0" applyFont="1"/>
    <xf numFmtId="49" fontId="0" fillId="0" borderId="0" xfId="0" applyNumberFormat="1" applyAlignment="1">
      <alignment horizontal="left" indent="1"/>
    </xf>
    <xf numFmtId="0" fontId="53" fillId="0" borderId="0" xfId="0" applyFont="1" applyAlignment="1">
      <alignment horizontal="center" vertical="top"/>
    </xf>
    <xf numFmtId="0" fontId="12" fillId="0" borderId="0" xfId="0" applyFont="1" applyAlignment="1">
      <alignment horizontal="left" wrapText="1"/>
    </xf>
    <xf numFmtId="49" fontId="52" fillId="0" borderId="0" xfId="0" applyNumberFormat="1" applyFont="1" applyAlignment="1">
      <alignment horizontal="left" indent="1"/>
    </xf>
    <xf numFmtId="0" fontId="52" fillId="0" borderId="0" xfId="0" applyFont="1" applyAlignment="1">
      <alignment horizontal="left" wrapText="1"/>
    </xf>
    <xf numFmtId="164" fontId="12" fillId="0" borderId="0" xfId="23" applyNumberFormat="1" applyFont="1" applyFill="1" applyAlignment="1">
      <alignment horizontal="right"/>
    </xf>
    <xf numFmtId="0" fontId="53" fillId="0" borderId="0" xfId="0" applyFont="1" applyAlignment="1">
      <alignment horizontal="center"/>
    </xf>
    <xf numFmtId="179" fontId="0" fillId="0" borderId="0" xfId="23" applyNumberFormat="1" applyFont="1"/>
    <xf numFmtId="0" fontId="0" fillId="0" borderId="0" xfId="0" applyFont="1" applyBorder="1"/>
    <xf numFmtId="164" fontId="31" fillId="0" borderId="0" xfId="0" applyNumberFormat="1" applyFont="1" applyBorder="1"/>
    <xf numFmtId="164" fontId="0" fillId="0" borderId="0" xfId="0" applyNumberFormat="1" applyFont="1" applyAlignment="1">
      <alignment horizontal="right"/>
    </xf>
    <xf numFmtId="164" fontId="0" fillId="0" borderId="0" xfId="0" applyNumberFormat="1" applyFont="1" applyFill="1" applyAlignment="1">
      <alignment horizontal="right"/>
    </xf>
    <xf numFmtId="3" fontId="0" fillId="0" borderId="0" xfId="23" applyNumberFormat="1" applyFont="1" applyBorder="1" applyAlignment="1">
      <alignment horizontal="right"/>
    </xf>
    <xf numFmtId="49" fontId="52" fillId="0" borderId="0" xfId="0" quotePrefix="1" applyNumberFormat="1" applyFont="1" applyAlignment="1">
      <alignment horizontal="left" indent="1"/>
    </xf>
    <xf numFmtId="49" fontId="12" fillId="0" borderId="0" xfId="0" applyNumberFormat="1" applyFont="1" applyAlignment="1">
      <alignment horizontal="left" indent="1"/>
    </xf>
    <xf numFmtId="0" fontId="0" fillId="36" borderId="0" xfId="0" applyFill="1" applyAlignment="1">
      <alignment horizontal="left" indent="1"/>
    </xf>
    <xf numFmtId="0" fontId="0" fillId="36" borderId="0" xfId="0" applyFill="1" applyAlignment="1">
      <alignment horizontal="left"/>
    </xf>
    <xf numFmtId="10" fontId="0" fillId="36" borderId="0" xfId="0" applyNumberFormat="1" applyFill="1" applyAlignment="1">
      <alignment horizontal="left"/>
    </xf>
    <xf numFmtId="0" fontId="0" fillId="36" borderId="0" xfId="0" applyFill="1" applyAlignment="1"/>
    <xf numFmtId="0" fontId="10" fillId="36" borderId="0" xfId="0" applyFont="1" applyFill="1" applyAlignment="1">
      <alignment horizontal="left"/>
    </xf>
    <xf numFmtId="0" fontId="0" fillId="0" borderId="0" xfId="0" quotePrefix="1" applyFont="1" applyFill="1" applyAlignment="1">
      <alignment horizontal="left" indent="1"/>
    </xf>
    <xf numFmtId="0" fontId="10" fillId="0" borderId="0" xfId="0" applyFont="1" applyFill="1" applyAlignment="1">
      <alignment horizontal="left"/>
    </xf>
    <xf numFmtId="0" fontId="44" fillId="0" borderId="0" xfId="0" applyFont="1" applyAlignment="1">
      <alignment horizontal="left" indent="1"/>
    </xf>
    <xf numFmtId="0" fontId="13" fillId="0" borderId="0" xfId="0" applyFont="1" applyAlignment="1">
      <alignment horizontal="left" indent="1"/>
    </xf>
    <xf numFmtId="0" fontId="10" fillId="36" borderId="0" xfId="0" applyFont="1" applyFill="1"/>
    <xf numFmtId="0" fontId="0" fillId="36" borderId="0" xfId="0" applyFill="1" applyAlignment="1">
      <alignment horizontal="right"/>
    </xf>
    <xf numFmtId="10" fontId="0" fillId="36" borderId="0" xfId="0" applyNumberFormat="1" applyFill="1" applyAlignment="1">
      <alignment horizontal="right"/>
    </xf>
    <xf numFmtId="0" fontId="10" fillId="34" borderId="0" xfId="28" applyFont="1" applyFill="1"/>
    <xf numFmtId="10" fontId="0" fillId="0" borderId="3" xfId="0" applyNumberFormat="1" applyBorder="1"/>
    <xf numFmtId="164" fontId="0" fillId="0" borderId="3" xfId="0" applyNumberFormat="1" applyBorder="1"/>
    <xf numFmtId="3" fontId="0" fillId="0" borderId="3" xfId="0" applyNumberFormat="1" applyBorder="1"/>
    <xf numFmtId="166" fontId="0" fillId="0" borderId="0" xfId="0" applyNumberFormat="1" applyAlignment="1">
      <alignment horizontal="center"/>
    </xf>
    <xf numFmtId="164" fontId="0" fillId="0" borderId="0" xfId="0" applyNumberFormat="1" applyBorder="1"/>
    <xf numFmtId="3" fontId="0" fillId="0" borderId="0" xfId="0" applyNumberFormat="1" applyBorder="1"/>
    <xf numFmtId="166" fontId="0" fillId="0" borderId="0" xfId="0" applyNumberFormat="1" applyBorder="1" applyAlignment="1">
      <alignment horizontal="center"/>
    </xf>
    <xf numFmtId="164" fontId="0" fillId="0" borderId="8" xfId="0" applyNumberFormat="1" applyFill="1" applyBorder="1"/>
    <xf numFmtId="3" fontId="0" fillId="0" borderId="8" xfId="0" applyNumberFormat="1" applyFill="1" applyBorder="1"/>
    <xf numFmtId="0" fontId="0" fillId="0" borderId="8" xfId="0" applyBorder="1" applyAlignment="1">
      <alignment horizontal="center"/>
    </xf>
    <xf numFmtId="166" fontId="0" fillId="0" borderId="0" xfId="0" applyNumberFormat="1" applyFill="1" applyAlignment="1">
      <alignment horizontal="center"/>
    </xf>
    <xf numFmtId="180" fontId="10" fillId="0" borderId="0" xfId="35" applyNumberFormat="1" applyFont="1" applyFill="1" applyAlignment="1">
      <alignment horizontal="left"/>
    </xf>
    <xf numFmtId="164" fontId="0" fillId="0" borderId="0" xfId="0" applyNumberFormat="1" applyAlignment="1">
      <alignment horizontal="right"/>
    </xf>
    <xf numFmtId="174" fontId="0" fillId="0" borderId="0" xfId="0" applyNumberFormat="1" applyFill="1" applyAlignment="1">
      <alignment horizontal="center"/>
    </xf>
    <xf numFmtId="174" fontId="0" fillId="0" borderId="0" xfId="0" quotePrefix="1" applyNumberFormat="1" applyFill="1" applyAlignment="1">
      <alignment horizontal="center"/>
    </xf>
    <xf numFmtId="164" fontId="0" fillId="0" borderId="8" xfId="0" applyNumberFormat="1" applyBorder="1"/>
    <xf numFmtId="164" fontId="0" fillId="0" borderId="8" xfId="0" applyNumberFormat="1" applyBorder="1" applyAlignment="1">
      <alignment horizontal="right"/>
    </xf>
    <xf numFmtId="174" fontId="0" fillId="0" borderId="8" xfId="0" applyNumberFormat="1" applyFill="1" applyBorder="1" applyAlignment="1">
      <alignment horizontal="center"/>
    </xf>
    <xf numFmtId="166" fontId="0" fillId="0" borderId="8" xfId="0" applyNumberFormat="1" applyFill="1" applyBorder="1" applyAlignment="1">
      <alignment horizontal="center"/>
    </xf>
    <xf numFmtId="174" fontId="0" fillId="0" borderId="8" xfId="0" quotePrefix="1" applyNumberFormat="1" applyFill="1" applyBorder="1" applyAlignment="1">
      <alignment horizontal="center"/>
    </xf>
    <xf numFmtId="182" fontId="0" fillId="0" borderId="0" xfId="0" applyNumberFormat="1" applyFill="1"/>
    <xf numFmtId="182" fontId="16" fillId="0" borderId="0" xfId="0" applyNumberFormat="1" applyFont="1" applyFill="1"/>
    <xf numFmtId="10" fontId="0" fillId="0" borderId="3" xfId="39" applyNumberFormat="1" applyFont="1" applyBorder="1"/>
    <xf numFmtId="0" fontId="46" fillId="0" borderId="0" xfId="0" applyFont="1"/>
    <xf numFmtId="0" fontId="45" fillId="36" borderId="0" xfId="0" applyFont="1" applyFill="1"/>
    <xf numFmtId="0" fontId="13" fillId="0" borderId="0" xfId="28" applyNumberFormat="1" applyFont="1" applyFill="1" applyBorder="1" applyAlignment="1">
      <alignment horizontal="left"/>
    </xf>
    <xf numFmtId="0" fontId="13" fillId="0" borderId="0" xfId="28" applyNumberFormat="1" applyFont="1" applyFill="1" applyBorder="1" applyAlignment="1">
      <alignment horizontal="center"/>
    </xf>
    <xf numFmtId="3" fontId="13" fillId="0" borderId="0" xfId="28" applyNumberFormat="1" applyFont="1" applyFill="1" applyBorder="1" applyAlignment="1">
      <alignment horizontal="center"/>
    </xf>
    <xf numFmtId="164" fontId="51" fillId="36" borderId="0" xfId="0" applyNumberFormat="1" applyFont="1" applyFill="1"/>
    <xf numFmtId="0" fontId="47" fillId="0" borderId="0" xfId="0" applyFont="1"/>
    <xf numFmtId="0" fontId="10" fillId="36" borderId="0" xfId="0" quotePrefix="1" applyFont="1" applyFill="1" applyAlignment="1">
      <alignment vertical="center"/>
    </xf>
    <xf numFmtId="164" fontId="12" fillId="36" borderId="8" xfId="0" applyNumberFormat="1" applyFont="1" applyFill="1" applyBorder="1"/>
    <xf numFmtId="164" fontId="48" fillId="0" borderId="0" xfId="0" applyNumberFormat="1" applyFont="1" applyAlignment="1">
      <alignment horizontal="center"/>
    </xf>
    <xf numFmtId="165" fontId="9" fillId="34" borderId="0" xfId="0" applyNumberFormat="1" applyFont="1" applyFill="1"/>
    <xf numFmtId="165" fontId="9" fillId="0" borderId="0" xfId="0" applyNumberFormat="1" applyFont="1" applyFill="1"/>
    <xf numFmtId="168" fontId="10" fillId="0" borderId="0" xfId="0" applyNumberFormat="1" applyFont="1" applyFill="1" applyAlignment="1">
      <alignment horizontal="center"/>
    </xf>
    <xf numFmtId="37" fontId="10" fillId="0" borderId="3" xfId="22" applyNumberFormat="1" applyFont="1" applyBorder="1" applyAlignment="1">
      <alignment horizontal="center"/>
    </xf>
    <xf numFmtId="37" fontId="10" fillId="0" borderId="3" xfId="22" applyNumberFormat="1" applyFont="1" applyFill="1" applyBorder="1" applyAlignment="1">
      <alignment horizontal="center"/>
    </xf>
    <xf numFmtId="37" fontId="10" fillId="0" borderId="3" xfId="0" applyNumberFormat="1" applyFont="1" applyBorder="1" applyAlignment="1">
      <alignment horizontal="center"/>
    </xf>
    <xf numFmtId="37" fontId="10" fillId="37" borderId="3" xfId="0" applyNumberFormat="1" applyFont="1" applyFill="1" applyBorder="1" applyAlignment="1">
      <alignment horizontal="center"/>
    </xf>
    <xf numFmtId="164" fontId="12" fillId="0" borderId="0" xfId="19" applyNumberFormat="1" applyFont="1" applyBorder="1" applyAlignment="1">
      <alignment horizontal="center"/>
    </xf>
    <xf numFmtId="37" fontId="10" fillId="0" borderId="0" xfId="0" applyNumberFormat="1" applyFont="1" applyBorder="1" applyAlignment="1">
      <alignment horizontal="center"/>
    </xf>
    <xf numFmtId="164" fontId="16" fillId="36" borderId="0" xfId="0" applyNumberFormat="1" applyFont="1" applyFill="1" applyAlignment="1">
      <alignment horizontal="right"/>
    </xf>
    <xf numFmtId="0" fontId="12" fillId="36" borderId="0" xfId="0" applyFont="1" applyFill="1" applyAlignment="1">
      <alignment horizontal="right"/>
    </xf>
    <xf numFmtId="164" fontId="0" fillId="0" borderId="0" xfId="0" applyNumberFormat="1" applyAlignment="1">
      <alignment horizontal="center"/>
    </xf>
    <xf numFmtId="0" fontId="10" fillId="0" borderId="0" xfId="28" applyFont="1" applyAlignment="1">
      <alignment horizontal="left" vertical="center"/>
    </xf>
    <xf numFmtId="0" fontId="12" fillId="0" borderId="0" xfId="28"/>
    <xf numFmtId="0" fontId="42" fillId="0" borderId="0" xfId="28" applyFont="1" applyFill="1" applyAlignment="1">
      <alignment horizontal="left"/>
    </xf>
    <xf numFmtId="0" fontId="42" fillId="0" borderId="0" xfId="28" applyFont="1" applyFill="1" applyAlignment="1">
      <alignment horizontal="center"/>
    </xf>
    <xf numFmtId="0" fontId="42" fillId="0" borderId="0" xfId="28" applyNumberFormat="1" applyFont="1" applyFill="1" applyAlignment="1">
      <alignment horizontal="center"/>
    </xf>
    <xf numFmtId="0" fontId="42" fillId="0" borderId="0" xfId="28" applyFont="1" applyAlignment="1">
      <alignment horizontal="center"/>
    </xf>
    <xf numFmtId="0" fontId="10" fillId="0" borderId="0" xfId="28" applyFont="1" applyAlignment="1">
      <alignment horizontal="left"/>
    </xf>
    <xf numFmtId="0" fontId="42" fillId="36" borderId="0" xfId="28" applyNumberFormat="1" applyFont="1" applyFill="1" applyAlignment="1">
      <alignment horizontal="center"/>
    </xf>
    <xf numFmtId="0" fontId="10" fillId="0" borderId="0" xfId="28" applyFont="1" applyAlignment="1">
      <alignment vertical="top"/>
    </xf>
    <xf numFmtId="0" fontId="10" fillId="0" borderId="0" xfId="28" applyFont="1" applyAlignment="1">
      <alignment horizontal="left" vertical="top"/>
    </xf>
    <xf numFmtId="0" fontId="10" fillId="0" borderId="0" xfId="28" applyFont="1" applyAlignment="1">
      <alignment horizontal="center" vertical="top"/>
    </xf>
    <xf numFmtId="0" fontId="10" fillId="0" borderId="0" xfId="28" applyFont="1" applyFill="1" applyAlignment="1">
      <alignment horizontal="center" vertical="top"/>
    </xf>
    <xf numFmtId="0" fontId="10" fillId="0" borderId="0" xfId="28" applyNumberFormat="1" applyFont="1" applyFill="1" applyAlignment="1">
      <alignment horizontal="center" vertical="top"/>
    </xf>
    <xf numFmtId="0" fontId="42" fillId="0" borderId="0" xfId="28" applyFont="1" applyAlignment="1">
      <alignment horizontal="center" vertical="top"/>
    </xf>
    <xf numFmtId="0" fontId="10" fillId="0" borderId="0" xfId="28" applyFont="1" applyAlignment="1"/>
    <xf numFmtId="0" fontId="10" fillId="0" borderId="0" xfId="28" applyFont="1" applyFill="1" applyAlignment="1">
      <alignment horizontal="center"/>
    </xf>
    <xf numFmtId="0" fontId="10" fillId="0" borderId="0" xfId="28" applyNumberFormat="1" applyFont="1" applyFill="1" applyAlignment="1">
      <alignment horizontal="center"/>
    </xf>
    <xf numFmtId="0" fontId="13" fillId="0" borderId="0" xfId="0" quotePrefix="1" applyFont="1" applyAlignment="1">
      <alignment horizontal="center" vertical="top"/>
    </xf>
    <xf numFmtId="0" fontId="13" fillId="0" borderId="0" xfId="0" quotePrefix="1" applyNumberFormat="1" applyFont="1" applyAlignment="1">
      <alignment horizontal="center" vertical="top"/>
    </xf>
    <xf numFmtId="0" fontId="12" fillId="0" borderId="0" xfId="28" quotePrefix="1" applyFont="1" applyFill="1" applyAlignment="1">
      <alignment horizontal="center" vertical="center"/>
    </xf>
    <xf numFmtId="0" fontId="12" fillId="0" borderId="0" xfId="28" applyNumberFormat="1" applyFont="1" applyFill="1" applyAlignment="1">
      <alignment horizontal="center" vertical="center"/>
    </xf>
    <xf numFmtId="0" fontId="10" fillId="0" borderId="0" xfId="28" applyFont="1" applyAlignment="1">
      <alignment horizontal="center" vertical="center"/>
    </xf>
    <xf numFmtId="0" fontId="12" fillId="0" borderId="0" xfId="28" quotePrefix="1" applyFont="1" applyFill="1" applyAlignment="1">
      <alignment horizontal="center"/>
    </xf>
    <xf numFmtId="167" fontId="12" fillId="0" borderId="0" xfId="28" applyNumberFormat="1" applyFill="1"/>
    <xf numFmtId="43" fontId="30" fillId="0" borderId="0" xfId="0" applyNumberFormat="1" applyFont="1"/>
    <xf numFmtId="0" fontId="30" fillId="0" borderId="0" xfId="0" applyNumberFormat="1" applyFont="1"/>
    <xf numFmtId="0" fontId="12" fillId="0" borderId="0" xfId="28" applyAlignment="1">
      <alignment horizontal="center"/>
    </xf>
    <xf numFmtId="167" fontId="12" fillId="0" borderId="0" xfId="22" applyNumberFormat="1"/>
    <xf numFmtId="167" fontId="12" fillId="0" borderId="0" xfId="28" applyNumberFormat="1"/>
    <xf numFmtId="0" fontId="10" fillId="0" borderId="0" xfId="28" applyFont="1" applyBorder="1" applyAlignment="1"/>
    <xf numFmtId="0" fontId="10" fillId="0" borderId="3" xfId="28" applyFont="1" applyFill="1" applyBorder="1" applyAlignment="1">
      <alignment horizontal="center"/>
    </xf>
    <xf numFmtId="0" fontId="10" fillId="0" borderId="6" xfId="28" applyNumberFormat="1" applyFont="1" applyFill="1" applyBorder="1" applyAlignment="1">
      <alignment horizontal="center"/>
    </xf>
    <xf numFmtId="0" fontId="10" fillId="0" borderId="3" xfId="28" applyFont="1" applyBorder="1" applyAlignment="1">
      <alignment horizontal="center"/>
    </xf>
    <xf numFmtId="0" fontId="10" fillId="0" borderId="3" xfId="28" applyNumberFormat="1" applyFont="1" applyBorder="1" applyAlignment="1">
      <alignment horizontal="center"/>
    </xf>
    <xf numFmtId="0" fontId="13" fillId="0" borderId="0" xfId="28" applyFont="1" applyBorder="1" applyAlignment="1"/>
    <xf numFmtId="0" fontId="10" fillId="0" borderId="0" xfId="28" applyFont="1" applyBorder="1" applyAlignment="1">
      <alignment horizontal="center"/>
    </xf>
    <xf numFmtId="0" fontId="10" fillId="0" borderId="0" xfId="28" applyNumberFormat="1" applyFont="1" applyBorder="1" applyAlignment="1">
      <alignment horizontal="center"/>
    </xf>
    <xf numFmtId="167" fontId="12" fillId="0" borderId="0" xfId="28" applyNumberFormat="1" applyFill="1" applyBorder="1"/>
    <xf numFmtId="167" fontId="12" fillId="0" borderId="0" xfId="28" applyNumberFormat="1" applyBorder="1" applyAlignment="1">
      <alignment horizontal="center"/>
    </xf>
    <xf numFmtId="167" fontId="12" fillId="0" borderId="0" xfId="28" applyNumberFormat="1" applyBorder="1"/>
    <xf numFmtId="0" fontId="12" fillId="0" borderId="0" xfId="28" applyBorder="1"/>
    <xf numFmtId="0" fontId="0" fillId="0" borderId="0" xfId="0" quotePrefix="1" applyFill="1"/>
    <xf numFmtId="0" fontId="12" fillId="36" borderId="0" xfId="28" applyFill="1"/>
    <xf numFmtId="0" fontId="12" fillId="36" borderId="0" xfId="28" applyNumberFormat="1" applyFill="1"/>
    <xf numFmtId="0" fontId="12" fillId="0" borderId="0" xfId="28" applyFill="1" applyBorder="1"/>
    <xf numFmtId="167" fontId="12" fillId="0" borderId="0" xfId="28" applyNumberFormat="1" applyFont="1" applyFill="1" applyBorder="1"/>
    <xf numFmtId="167" fontId="12" fillId="0" borderId="0" xfId="28" applyNumberFormat="1" applyFont="1" applyBorder="1" applyAlignment="1">
      <alignment horizontal="center"/>
    </xf>
    <xf numFmtId="167" fontId="12" fillId="0" borderId="0" xfId="28" applyNumberFormat="1" applyFont="1" applyBorder="1"/>
    <xf numFmtId="0" fontId="0" fillId="36" borderId="0" xfId="0" quotePrefix="1" applyFill="1"/>
    <xf numFmtId="167" fontId="12" fillId="36" borderId="0" xfId="28" quotePrefix="1" applyNumberFormat="1" applyFont="1" applyFill="1" applyBorder="1" applyAlignment="1">
      <alignment horizontal="center"/>
    </xf>
    <xf numFmtId="167" fontId="25" fillId="0" borderId="0" xfId="28" applyNumberFormat="1" applyFont="1" applyFill="1" applyBorder="1"/>
    <xf numFmtId="167" fontId="12" fillId="0" borderId="8" xfId="28" applyNumberFormat="1" applyBorder="1" applyAlignment="1">
      <alignment horizontal="center"/>
    </xf>
    <xf numFmtId="167" fontId="12" fillId="0" borderId="8" xfId="28" quotePrefix="1" applyNumberFormat="1" applyFont="1" applyFill="1" applyBorder="1" applyAlignment="1">
      <alignment horizontal="center"/>
    </xf>
    <xf numFmtId="167" fontId="12" fillId="0" borderId="8" xfId="28" applyNumberFormat="1" applyFont="1" applyFill="1" applyBorder="1" applyAlignment="1">
      <alignment horizontal="center"/>
    </xf>
    <xf numFmtId="0" fontId="10" fillId="0" borderId="0" xfId="28" applyFont="1" applyBorder="1"/>
    <xf numFmtId="167" fontId="12" fillId="0" borderId="0" xfId="22" applyNumberFormat="1" applyFont="1" applyFill="1" applyBorder="1"/>
    <xf numFmtId="0" fontId="12" fillId="0" borderId="0" xfId="22" applyNumberFormat="1" applyFont="1" applyFill="1" applyBorder="1" applyAlignment="1">
      <alignment horizontal="center"/>
    </xf>
    <xf numFmtId="167" fontId="12" fillId="0" borderId="0" xfId="22" applyNumberFormat="1" applyFont="1" applyBorder="1"/>
    <xf numFmtId="167" fontId="12" fillId="0" borderId="0" xfId="22" applyNumberFormat="1" applyBorder="1"/>
    <xf numFmtId="0" fontId="10" fillId="0" borderId="0" xfId="28" applyFont="1" applyFill="1" applyBorder="1"/>
    <xf numFmtId="167" fontId="12" fillId="0" borderId="0" xfId="22" applyNumberFormat="1" applyFont="1" applyFill="1" applyBorder="1" applyAlignment="1">
      <alignment horizontal="center"/>
    </xf>
    <xf numFmtId="167" fontId="12" fillId="0" borderId="0" xfId="22" applyNumberFormat="1" applyFill="1" applyBorder="1"/>
    <xf numFmtId="0" fontId="13" fillId="0" borderId="0" xfId="28" applyFont="1" applyBorder="1"/>
    <xf numFmtId="167" fontId="12" fillId="0" borderId="8" xfId="28" applyNumberFormat="1" applyBorder="1"/>
    <xf numFmtId="0" fontId="12" fillId="0" borderId="0" xfId="22" applyNumberFormat="1" applyFont="1" applyFill="1" applyBorder="1"/>
    <xf numFmtId="0" fontId="12" fillId="0" borderId="0" xfId="28" applyNumberFormat="1" applyFont="1" applyFill="1" applyBorder="1"/>
    <xf numFmtId="0" fontId="12" fillId="0" borderId="0" xfId="28" applyNumberFormat="1" applyFill="1" applyBorder="1"/>
    <xf numFmtId="0" fontId="12" fillId="0" borderId="0" xfId="28" applyBorder="1" applyAlignment="1">
      <alignment horizontal="center"/>
    </xf>
    <xf numFmtId="167" fontId="12" fillId="0" borderId="0" xfId="28" applyNumberFormat="1" applyFont="1" applyFill="1" applyBorder="1" applyAlignment="1"/>
    <xf numFmtId="167" fontId="10" fillId="0" borderId="0" xfId="28" applyNumberFormat="1" applyFont="1" applyBorder="1" applyAlignment="1">
      <alignment horizontal="center"/>
    </xf>
    <xf numFmtId="167" fontId="10" fillId="0" borderId="0" xfId="28" applyNumberFormat="1" applyFont="1" applyBorder="1"/>
    <xf numFmtId="0" fontId="10" fillId="0" borderId="0" xfId="28" applyFont="1" applyBorder="1" applyAlignment="1">
      <alignment horizontal="right"/>
    </xf>
    <xf numFmtId="0" fontId="10" fillId="0" borderId="0" xfId="28" applyFont="1" applyFill="1" applyBorder="1" applyAlignment="1">
      <alignment horizontal="right"/>
    </xf>
    <xf numFmtId="167" fontId="10" fillId="0" borderId="3" xfId="22" applyNumberFormat="1" applyFont="1" applyFill="1" applyBorder="1" applyAlignment="1">
      <alignment horizontal="center" wrapText="1"/>
    </xf>
    <xf numFmtId="171" fontId="10" fillId="0" borderId="0" xfId="37" applyNumberFormat="1" applyFont="1" applyFill="1" applyBorder="1" applyAlignment="1">
      <alignment horizontal="center" wrapText="1"/>
    </xf>
    <xf numFmtId="167" fontId="12" fillId="0" borderId="0" xfId="22" applyNumberFormat="1" applyFont="1" applyFill="1" applyBorder="1" applyAlignment="1">
      <alignment horizontal="center" wrapText="1"/>
    </xf>
    <xf numFmtId="0" fontId="12" fillId="0" borderId="0" xfId="28" applyFill="1"/>
    <xf numFmtId="167" fontId="12" fillId="0" borderId="8" xfId="28" applyNumberFormat="1" applyFont="1" applyFill="1" applyBorder="1"/>
    <xf numFmtId="167" fontId="12" fillId="0" borderId="8" xfId="22" applyNumberFormat="1" applyFont="1" applyFill="1" applyBorder="1" applyAlignment="1">
      <alignment horizontal="center" wrapText="1"/>
    </xf>
    <xf numFmtId="0" fontId="12" fillId="0" borderId="0" xfId="39" applyNumberFormat="1" applyFont="1" applyFill="1" applyBorder="1" applyAlignment="1">
      <alignment horizontal="center" wrapText="1"/>
    </xf>
    <xf numFmtId="171" fontId="12" fillId="0" borderId="0" xfId="39" applyNumberFormat="1" applyFont="1" applyFill="1" applyBorder="1" applyAlignment="1">
      <alignment horizontal="center" wrapText="1"/>
    </xf>
    <xf numFmtId="167" fontId="54" fillId="0" borderId="0" xfId="28" applyNumberFormat="1" applyFont="1"/>
    <xf numFmtId="0" fontId="54" fillId="0" borderId="0" xfId="28" applyFont="1" applyFill="1"/>
    <xf numFmtId="0" fontId="54" fillId="0" borderId="0" xfId="28" applyFont="1"/>
    <xf numFmtId="167" fontId="10" fillId="0" borderId="0" xfId="22" applyNumberFormat="1" applyFont="1" applyFill="1" applyBorder="1"/>
    <xf numFmtId="0" fontId="10" fillId="0" borderId="0" xfId="39" applyNumberFormat="1" applyFont="1" applyFill="1" applyBorder="1" applyAlignment="1">
      <alignment horizontal="center" wrapText="1"/>
    </xf>
    <xf numFmtId="171" fontId="10" fillId="0" borderId="0" xfId="39" applyNumberFormat="1" applyFont="1" applyFill="1" applyBorder="1" applyAlignment="1">
      <alignment horizontal="center" wrapText="1"/>
    </xf>
    <xf numFmtId="167" fontId="25" fillId="0" borderId="0" xfId="22" applyNumberFormat="1" applyFont="1" applyFill="1" applyBorder="1" applyAlignment="1">
      <alignment horizontal="center" wrapText="1"/>
    </xf>
    <xf numFmtId="167" fontId="10" fillId="0" borderId="0" xfId="22" applyNumberFormat="1" applyFont="1" applyBorder="1"/>
    <xf numFmtId="0" fontId="12" fillId="0" borderId="0" xfId="28" applyNumberFormat="1" applyFill="1"/>
    <xf numFmtId="0" fontId="13" fillId="0" borderId="0" xfId="28" applyFont="1" applyBorder="1" applyAlignment="1">
      <alignment vertical="top" wrapText="1"/>
    </xf>
    <xf numFmtId="0" fontId="12" fillId="36" borderId="0" xfId="28" applyFill="1" applyAlignment="1">
      <alignment horizontal="center"/>
    </xf>
    <xf numFmtId="167" fontId="12" fillId="36" borderId="0" xfId="22" applyNumberFormat="1" applyFill="1"/>
    <xf numFmtId="0" fontId="12" fillId="36" borderId="0" xfId="28" applyFont="1" applyFill="1" applyBorder="1" applyAlignment="1" applyProtection="1">
      <alignment horizontal="left" indent="1"/>
      <protection locked="0"/>
    </xf>
    <xf numFmtId="164" fontId="12" fillId="0" borderId="0" xfId="28" applyNumberFormat="1" applyFont="1" applyFill="1" applyBorder="1"/>
    <xf numFmtId="164" fontId="12" fillId="0" borderId="0" xfId="28" applyNumberFormat="1" applyFill="1" applyBorder="1"/>
    <xf numFmtId="164" fontId="12" fillId="0" borderId="0" xfId="28" applyNumberFormat="1" applyBorder="1" applyAlignment="1">
      <alignment horizontal="center"/>
    </xf>
    <xf numFmtId="164" fontId="12" fillId="0" borderId="0" xfId="28" applyNumberFormat="1" applyFill="1" applyBorder="1" applyAlignment="1">
      <alignment horizontal="center"/>
    </xf>
    <xf numFmtId="164" fontId="12" fillId="0" borderId="0" xfId="28" applyNumberFormat="1" applyFont="1" applyBorder="1" applyAlignment="1">
      <alignment horizontal="center"/>
    </xf>
    <xf numFmtId="164" fontId="12" fillId="0" borderId="8" xfId="28" applyNumberFormat="1" applyFont="1" applyFill="1" applyBorder="1" applyAlignment="1">
      <alignment horizontal="center"/>
    </xf>
    <xf numFmtId="164" fontId="12" fillId="0" borderId="0" xfId="22" applyNumberFormat="1" applyFont="1" applyBorder="1" applyAlignment="1">
      <alignment horizontal="center"/>
    </xf>
    <xf numFmtId="164" fontId="12" fillId="0" borderId="0" xfId="22" applyNumberFormat="1" applyFont="1" applyFill="1" applyBorder="1"/>
    <xf numFmtId="164" fontId="12" fillId="0" borderId="0" xfId="22" applyNumberFormat="1" applyFont="1" applyFill="1" applyBorder="1" applyAlignment="1">
      <alignment horizontal="center"/>
    </xf>
    <xf numFmtId="164" fontId="12" fillId="0" borderId="0" xfId="22" applyNumberFormat="1" applyFont="1" applyBorder="1"/>
    <xf numFmtId="5" fontId="12" fillId="0" borderId="8" xfId="28" applyNumberFormat="1" applyFont="1" applyBorder="1"/>
    <xf numFmtId="167" fontId="12" fillId="0" borderId="0" xfId="28" applyNumberFormat="1" applyFont="1" applyBorder="1" applyAlignment="1">
      <alignment vertical="justify"/>
    </xf>
    <xf numFmtId="5" fontId="12" fillId="0" borderId="8" xfId="28" quotePrefix="1" applyNumberFormat="1" applyFont="1" applyFill="1" applyBorder="1" applyAlignment="1">
      <alignment horizontal="right"/>
    </xf>
    <xf numFmtId="171" fontId="12" fillId="0" borderId="8" xfId="37" applyNumberFormat="1" applyFont="1" applyFill="1" applyBorder="1" applyAlignment="1">
      <alignment horizontal="center" wrapText="1"/>
    </xf>
    <xf numFmtId="168" fontId="12" fillId="0" borderId="0" xfId="0" applyNumberFormat="1" applyFont="1" applyFill="1" applyAlignment="1">
      <alignment horizontal="left" indent="1"/>
    </xf>
    <xf numFmtId="0" fontId="45" fillId="34" borderId="0" xfId="0" applyFont="1" applyFill="1"/>
    <xf numFmtId="0" fontId="46" fillId="0" borderId="0" xfId="0" applyFont="1" applyFill="1" applyAlignment="1">
      <alignment horizontal="center"/>
    </xf>
    <xf numFmtId="0" fontId="47" fillId="0" borderId="0" xfId="0" applyFont="1" applyFill="1" applyAlignment="1">
      <alignment horizontal="center"/>
    </xf>
    <xf numFmtId="0" fontId="45" fillId="0" borderId="0" xfId="0" applyFont="1" applyFill="1" applyAlignment="1">
      <alignment horizontal="center"/>
    </xf>
    <xf numFmtId="0" fontId="45" fillId="0" borderId="0" xfId="0" applyFont="1" applyFill="1" applyAlignment="1">
      <alignment horizontal="left" indent="2"/>
    </xf>
    <xf numFmtId="0" fontId="46" fillId="0" borderId="0" xfId="0" applyFont="1" applyAlignment="1">
      <alignment horizontal="left" indent="1"/>
    </xf>
    <xf numFmtId="0" fontId="46" fillId="0" borderId="0" xfId="0" quotePrefix="1" applyFont="1" applyAlignment="1">
      <alignment horizontal="center"/>
    </xf>
    <xf numFmtId="0" fontId="47" fillId="0" borderId="0" xfId="0" quotePrefix="1" applyFont="1" applyAlignment="1">
      <alignment horizontal="center"/>
    </xf>
    <xf numFmtId="164" fontId="51" fillId="0" borderId="0" xfId="0" applyNumberFormat="1" applyFont="1" applyFill="1"/>
    <xf numFmtId="0" fontId="45" fillId="0" borderId="0" xfId="0" quotePrefix="1" applyFont="1"/>
    <xf numFmtId="0" fontId="47" fillId="0" borderId="0" xfId="0" applyFont="1" applyAlignment="1">
      <alignment horizontal="left"/>
    </xf>
    <xf numFmtId="1" fontId="45" fillId="36" borderId="0" xfId="0" applyNumberFormat="1" applyFont="1" applyFill="1"/>
    <xf numFmtId="0" fontId="45" fillId="0" borderId="0" xfId="0" applyFont="1" applyFill="1" applyAlignment="1">
      <alignment horizontal="left" indent="1"/>
    </xf>
    <xf numFmtId="0" fontId="46" fillId="0" borderId="0" xfId="0" applyFont="1" applyAlignment="1">
      <alignment horizontal="left"/>
    </xf>
    <xf numFmtId="164" fontId="12" fillId="0" borderId="0" xfId="28" applyNumberFormat="1" applyFill="1" applyBorder="1" applyAlignment="1">
      <alignment vertical="top" wrapText="1"/>
    </xf>
    <xf numFmtId="164" fontId="0" fillId="0" borderId="0" xfId="0" quotePrefix="1" applyNumberFormat="1" applyAlignment="1">
      <alignment horizontal="center"/>
    </xf>
    <xf numFmtId="164" fontId="43" fillId="0" borderId="0" xfId="0" applyNumberFormat="1" applyFont="1" applyAlignment="1">
      <alignment horizontal="center"/>
    </xf>
    <xf numFmtId="164" fontId="12" fillId="0" borderId="0" xfId="0" applyNumberFormat="1" applyFont="1" applyAlignment="1"/>
    <xf numFmtId="164" fontId="12" fillId="0" borderId="0" xfId="0" applyNumberFormat="1" applyFont="1" applyAlignment="1">
      <alignment horizontal="right" indent="1"/>
    </xf>
    <xf numFmtId="0" fontId="10" fillId="0" borderId="0" xfId="0" applyFont="1" applyAlignment="1">
      <alignment horizontal="center"/>
    </xf>
    <xf numFmtId="0" fontId="0" fillId="0" borderId="0" xfId="0" applyAlignment="1">
      <alignment horizontal="center"/>
    </xf>
    <xf numFmtId="0" fontId="12" fillId="0" borderId="0" xfId="28" applyFont="1" applyFill="1" applyBorder="1" applyAlignment="1">
      <alignment vertical="top"/>
    </xf>
    <xf numFmtId="0" fontId="12" fillId="0" borderId="0" xfId="28" applyFill="1" applyAlignment="1">
      <alignment horizontal="center"/>
    </xf>
    <xf numFmtId="167" fontId="12" fillId="0" borderId="0" xfId="22" applyNumberFormat="1" applyFill="1"/>
    <xf numFmtId="0" fontId="12" fillId="0" borderId="0" xfId="28" applyFill="1" applyBorder="1" applyAlignment="1">
      <alignment vertical="top" wrapText="1"/>
    </xf>
    <xf numFmtId="0" fontId="12" fillId="0" borderId="0" xfId="28" applyFill="1" applyAlignment="1">
      <alignment horizontal="left" indent="1"/>
    </xf>
    <xf numFmtId="0" fontId="13" fillId="0" borderId="0" xfId="28" applyFont="1" applyFill="1" applyAlignment="1">
      <alignment horizontal="center"/>
    </xf>
    <xf numFmtId="165" fontId="12" fillId="0" borderId="0" xfId="28" applyNumberFormat="1" applyFill="1"/>
    <xf numFmtId="0" fontId="12" fillId="0" borderId="0" xfId="0" applyNumberFormat="1" applyFont="1" applyFill="1"/>
    <xf numFmtId="0" fontId="12" fillId="0" borderId="0" xfId="0" applyNumberFormat="1" applyFont="1" applyFill="1" applyAlignment="1">
      <alignment horizontal="left"/>
    </xf>
    <xf numFmtId="0" fontId="10" fillId="0" borderId="0" xfId="0" applyFont="1" applyAlignment="1">
      <alignment horizontal="center"/>
    </xf>
    <xf numFmtId="0" fontId="10" fillId="0" borderId="0" xfId="0" applyFont="1" applyAlignment="1">
      <alignment horizontal="center"/>
    </xf>
    <xf numFmtId="164" fontId="8" fillId="0" borderId="0" xfId="0" applyNumberFormat="1" applyFont="1"/>
    <xf numFmtId="0" fontId="10" fillId="0" borderId="0" xfId="0" applyFont="1" applyAlignment="1">
      <alignment horizontal="center"/>
    </xf>
    <xf numFmtId="164" fontId="0" fillId="0" borderId="0" xfId="0" applyNumberFormat="1" applyFill="1" applyAlignment="1"/>
    <xf numFmtId="0" fontId="10" fillId="0" borderId="0" xfId="0" applyFont="1" applyAlignment="1">
      <alignment horizontal="center"/>
    </xf>
    <xf numFmtId="0" fontId="10" fillId="0" borderId="0" xfId="0" applyFont="1" applyAlignment="1">
      <alignment horizontal="center"/>
    </xf>
    <xf numFmtId="0" fontId="9" fillId="0" borderId="0" xfId="0" applyFont="1" applyAlignment="1">
      <alignment horizontal="right"/>
    </xf>
    <xf numFmtId="0" fontId="9" fillId="0" borderId="0" xfId="0" applyFont="1" applyFill="1" applyAlignment="1">
      <alignment horizontal="left" indent="1"/>
    </xf>
    <xf numFmtId="0" fontId="9" fillId="0" borderId="0" xfId="0" applyFont="1"/>
    <xf numFmtId="0" fontId="9" fillId="0" borderId="0" xfId="0" applyFont="1" applyAlignment="1">
      <alignment horizontal="center"/>
    </xf>
    <xf numFmtId="0" fontId="9" fillId="0" borderId="0" xfId="0" applyFont="1" applyFill="1"/>
    <xf numFmtId="164" fontId="9" fillId="0" borderId="0" xfId="0" applyNumberFormat="1" applyFont="1" applyFill="1" applyBorder="1"/>
    <xf numFmtId="0" fontId="9" fillId="0" borderId="0" xfId="0" applyFont="1" applyAlignment="1">
      <alignment horizontal="left" indent="1"/>
    </xf>
    <xf numFmtId="0" fontId="9" fillId="36" borderId="0" xfId="28" applyFont="1" applyFill="1"/>
    <xf numFmtId="180" fontId="9" fillId="34" borderId="0" xfId="35" applyNumberFormat="1" applyFont="1" applyFill="1" applyAlignment="1">
      <alignment horizontal="left"/>
    </xf>
    <xf numFmtId="174" fontId="0" fillId="0" borderId="0" xfId="0" applyNumberFormat="1" applyAlignment="1">
      <alignment horizontal="center"/>
    </xf>
    <xf numFmtId="0" fontId="9" fillId="0" borderId="0" xfId="0" quotePrefix="1" applyNumberFormat="1" applyFont="1" applyAlignment="1">
      <alignment horizontal="center"/>
    </xf>
    <xf numFmtId="180" fontId="9" fillId="0" borderId="0" xfId="35" applyNumberFormat="1" applyFont="1" applyFill="1" applyAlignment="1">
      <alignment horizontal="left"/>
    </xf>
    <xf numFmtId="164" fontId="9" fillId="0" borderId="0" xfId="0" applyNumberFormat="1" applyFont="1"/>
    <xf numFmtId="0" fontId="9" fillId="34" borderId="0" xfId="0" quotePrefix="1" applyNumberFormat="1" applyFont="1" applyFill="1" applyAlignment="1">
      <alignment horizontal="center"/>
    </xf>
    <xf numFmtId="180" fontId="9" fillId="0" borderId="0" xfId="35" applyNumberFormat="1" applyFont="1" applyFill="1" applyAlignment="1">
      <alignment horizontal="right"/>
    </xf>
    <xf numFmtId="3" fontId="0" fillId="0" borderId="8" xfId="0" applyNumberFormat="1" applyBorder="1"/>
    <xf numFmtId="0" fontId="9" fillId="0" borderId="8" xfId="0" quotePrefix="1" applyNumberFormat="1" applyFont="1" applyBorder="1" applyAlignment="1">
      <alignment horizontal="center"/>
    </xf>
    <xf numFmtId="164" fontId="9" fillId="0" borderId="0" xfId="0" quotePrefix="1" applyNumberFormat="1" applyFont="1" applyAlignment="1">
      <alignment horizontal="center"/>
    </xf>
    <xf numFmtId="0" fontId="9" fillId="0" borderId="0" xfId="0" quotePrefix="1" applyFont="1" applyAlignment="1">
      <alignment horizontal="center"/>
    </xf>
    <xf numFmtId="0" fontId="9" fillId="34" borderId="0" xfId="35" applyFont="1" applyFill="1" applyAlignment="1">
      <alignment horizontal="left" vertical="top" indent="1"/>
    </xf>
    <xf numFmtId="0" fontId="9" fillId="36" borderId="0" xfId="0" applyFont="1" applyFill="1"/>
    <xf numFmtId="180" fontId="9" fillId="34" borderId="0" xfId="35" applyNumberFormat="1" applyFont="1" applyFill="1" applyAlignment="1">
      <alignment horizontal="left" indent="2"/>
    </xf>
    <xf numFmtId="0" fontId="9" fillId="0" borderId="0" xfId="28" applyFont="1" applyFill="1"/>
    <xf numFmtId="181" fontId="0" fillId="36" borderId="0" xfId="0" applyNumberFormat="1" applyFill="1" applyAlignment="1">
      <alignment horizontal="center"/>
    </xf>
    <xf numFmtId="3" fontId="9" fillId="0" borderId="0" xfId="0" applyNumberFormat="1" applyFont="1"/>
    <xf numFmtId="3" fontId="9" fillId="34" borderId="0" xfId="0" quotePrefix="1" applyNumberFormat="1" applyFont="1" applyFill="1" applyAlignment="1">
      <alignment horizontal="center"/>
    </xf>
    <xf numFmtId="3" fontId="0" fillId="36" borderId="8" xfId="0" applyNumberFormat="1" applyFill="1" applyBorder="1"/>
    <xf numFmtId="181" fontId="0" fillId="36" borderId="8" xfId="0" applyNumberFormat="1" applyFill="1" applyBorder="1" applyAlignment="1">
      <alignment horizontal="center"/>
    </xf>
    <xf numFmtId="0" fontId="20" fillId="0" borderId="0" xfId="80" applyFont="1"/>
    <xf numFmtId="0" fontId="9" fillId="0" borderId="0" xfId="80"/>
    <xf numFmtId="0" fontId="55" fillId="0" borderId="0" xfId="80" applyFont="1"/>
    <xf numFmtId="0" fontId="20" fillId="0" borderId="3" xfId="80" applyFont="1" applyBorder="1" applyAlignment="1">
      <alignment horizontal="left" wrapText="1"/>
    </xf>
    <xf numFmtId="0" fontId="20" fillId="0" borderId="3" xfId="80" applyFont="1" applyBorder="1" applyAlignment="1">
      <alignment horizontal="center" wrapText="1"/>
    </xf>
    <xf numFmtId="0" fontId="20" fillId="0" borderId="3" xfId="80" applyFont="1" applyFill="1" applyBorder="1" applyAlignment="1">
      <alignment horizontal="center" wrapText="1"/>
    </xf>
    <xf numFmtId="0" fontId="20" fillId="0" borderId="0" xfId="80" applyFont="1" applyBorder="1" applyAlignment="1">
      <alignment horizontal="left" wrapText="1"/>
    </xf>
    <xf numFmtId="0" fontId="20" fillId="0" borderId="0" xfId="80" applyFont="1" applyAlignment="1">
      <alignment horizontal="left"/>
    </xf>
    <xf numFmtId="10" fontId="20" fillId="0" borderId="0" xfId="80" applyNumberFormat="1" applyFont="1"/>
    <xf numFmtId="164" fontId="20" fillId="0" borderId="0" xfId="23" applyNumberFormat="1" applyFont="1" applyAlignment="1">
      <alignment horizontal="right"/>
    </xf>
    <xf numFmtId="3" fontId="20" fillId="0" borderId="0" xfId="23" applyNumberFormat="1" applyFont="1" applyAlignment="1">
      <alignment horizontal="right"/>
    </xf>
    <xf numFmtId="174" fontId="41" fillId="0" borderId="0" xfId="80" applyNumberFormat="1" applyFont="1"/>
    <xf numFmtId="3" fontId="0" fillId="0" borderId="0" xfId="0" applyNumberFormat="1" applyAlignment="1">
      <alignment horizontal="right"/>
    </xf>
    <xf numFmtId="174" fontId="9" fillId="0" borderId="0" xfId="80" applyNumberFormat="1"/>
    <xf numFmtId="166" fontId="41" fillId="0" borderId="0" xfId="19" applyNumberFormat="1" applyFont="1"/>
    <xf numFmtId="166" fontId="10" fillId="0" borderId="0" xfId="0" applyNumberFormat="1" applyFont="1"/>
    <xf numFmtId="174" fontId="20" fillId="0" borderId="0" xfId="80" applyNumberFormat="1" applyFont="1" applyFill="1"/>
    <xf numFmtId="164" fontId="20" fillId="0" borderId="0" xfId="19" applyNumberFormat="1" applyFont="1" applyAlignment="1">
      <alignment horizontal="right"/>
    </xf>
    <xf numFmtId="3" fontId="20" fillId="0" borderId="0" xfId="19" applyNumberFormat="1" applyFont="1" applyAlignment="1">
      <alignment horizontal="right"/>
    </xf>
    <xf numFmtId="174" fontId="20" fillId="0" borderId="0" xfId="80" applyNumberFormat="1" applyFont="1"/>
    <xf numFmtId="166" fontId="41" fillId="0" borderId="0" xfId="80" applyNumberFormat="1" applyFont="1"/>
    <xf numFmtId="10" fontId="20" fillId="0" borderId="0" xfId="37" applyNumberFormat="1" applyFont="1"/>
    <xf numFmtId="164" fontId="20" fillId="0" borderId="0" xfId="80" applyNumberFormat="1" applyFont="1" applyAlignment="1">
      <alignment horizontal="right"/>
    </xf>
    <xf numFmtId="3" fontId="20" fillId="0" borderId="0" xfId="80" applyNumberFormat="1" applyFont="1" applyAlignment="1">
      <alignment horizontal="right"/>
    </xf>
    <xf numFmtId="10" fontId="20" fillId="0" borderId="3" xfId="37" applyNumberFormat="1" applyFont="1" applyBorder="1"/>
    <xf numFmtId="164" fontId="20" fillId="0" borderId="3" xfId="23" applyNumberFormat="1" applyFont="1" applyBorder="1" applyAlignment="1">
      <alignment horizontal="right"/>
    </xf>
    <xf numFmtId="3" fontId="20" fillId="0" borderId="3" xfId="23" applyNumberFormat="1" applyFont="1" applyBorder="1" applyAlignment="1">
      <alignment horizontal="right"/>
    </xf>
    <xf numFmtId="183" fontId="20" fillId="0" borderId="0" xfId="80" applyNumberFormat="1" applyFont="1"/>
    <xf numFmtId="43" fontId="0" fillId="0" borderId="0" xfId="0" applyNumberFormat="1"/>
    <xf numFmtId="10" fontId="0" fillId="0" borderId="0" xfId="37" applyNumberFormat="1" applyFont="1"/>
    <xf numFmtId="3" fontId="20" fillId="0" borderId="0" xfId="80" applyNumberFormat="1" applyFont="1"/>
    <xf numFmtId="3" fontId="9" fillId="0" borderId="0" xfId="80" applyNumberFormat="1"/>
    <xf numFmtId="167" fontId="9" fillId="0" borderId="0" xfId="80" applyNumberFormat="1"/>
    <xf numFmtId="164" fontId="20" fillId="0" borderId="3" xfId="23" applyNumberFormat="1" applyFont="1" applyBorder="1"/>
    <xf numFmtId="0" fontId="9" fillId="0" borderId="0" xfId="28" applyFont="1"/>
    <xf numFmtId="164" fontId="9" fillId="0" borderId="0" xfId="0" applyNumberFormat="1" applyFont="1" applyFill="1"/>
    <xf numFmtId="164" fontId="9" fillId="34" borderId="0" xfId="0" applyNumberFormat="1" applyFont="1" applyFill="1"/>
    <xf numFmtId="164" fontId="9" fillId="0" borderId="15" xfId="0" applyNumberFormat="1" applyFont="1" applyFill="1" applyBorder="1"/>
    <xf numFmtId="164" fontId="9" fillId="0" borderId="8" xfId="0" applyNumberFormat="1" applyFont="1" applyFill="1" applyBorder="1"/>
    <xf numFmtId="3" fontId="9" fillId="0" borderId="0" xfId="0" applyNumberFormat="1" applyFont="1" applyFill="1"/>
    <xf numFmtId="17" fontId="9" fillId="0" borderId="0" xfId="0" quotePrefix="1" applyNumberFormat="1" applyFont="1" applyAlignment="1">
      <alignment horizontal="center"/>
    </xf>
    <xf numFmtId="0" fontId="9" fillId="0" borderId="0" xfId="0" quotePrefix="1" applyFont="1" applyBorder="1" applyAlignment="1">
      <alignment wrapText="1"/>
    </xf>
    <xf numFmtId="0" fontId="9" fillId="0" borderId="0" xfId="0" applyFont="1" applyAlignment="1">
      <alignment wrapText="1"/>
    </xf>
    <xf numFmtId="174" fontId="0" fillId="0" borderId="15" xfId="0" applyNumberFormat="1" applyFill="1" applyBorder="1" applyAlignment="1">
      <alignment horizontal="center"/>
    </xf>
    <xf numFmtId="166" fontId="0" fillId="0" borderId="15" xfId="0" applyNumberFormat="1" applyFill="1" applyBorder="1" applyAlignment="1">
      <alignment horizontal="center"/>
    </xf>
    <xf numFmtId="174" fontId="0" fillId="0" borderId="15" xfId="0" quotePrefix="1" applyNumberFormat="1" applyFill="1" applyBorder="1" applyAlignment="1">
      <alignment horizontal="center"/>
    </xf>
    <xf numFmtId="0" fontId="9" fillId="0" borderId="0" xfId="0" applyFont="1" applyFill="1" applyAlignment="1">
      <alignment horizontal="left"/>
    </xf>
    <xf numFmtId="0" fontId="10" fillId="0" borderId="0" xfId="0" applyFont="1" applyAlignment="1">
      <alignment horizontal="center"/>
    </xf>
    <xf numFmtId="0" fontId="0" fillId="0" borderId="0" xfId="0" applyAlignment="1">
      <alignment horizontal="center"/>
    </xf>
    <xf numFmtId="174" fontId="0" fillId="36" borderId="0" xfId="0" applyNumberFormat="1" applyFill="1" applyAlignment="1">
      <alignment horizontal="center"/>
    </xf>
    <xf numFmtId="0" fontId="10" fillId="0" borderId="0" xfId="0" applyFont="1" applyAlignment="1">
      <alignment horizontal="center"/>
    </xf>
    <xf numFmtId="0" fontId="10" fillId="0" borderId="0" xfId="0" applyFont="1" applyAlignment="1">
      <alignment horizontal="center"/>
    </xf>
    <xf numFmtId="0" fontId="10" fillId="0" borderId="0" xfId="0" applyFont="1" applyAlignment="1">
      <alignment horizontal="center"/>
    </xf>
    <xf numFmtId="0" fontId="9" fillId="0" borderId="0" xfId="0" applyFont="1" applyAlignment="1">
      <alignment horizontal="right" indent="1"/>
    </xf>
    <xf numFmtId="0" fontId="9" fillId="0" borderId="0" xfId="0" applyFont="1" applyAlignment="1">
      <alignment horizontal="left" indent="2"/>
    </xf>
    <xf numFmtId="0" fontId="9" fillId="0" borderId="0" xfId="28" applyNumberFormat="1" applyFont="1" applyFill="1" applyBorder="1" applyAlignment="1">
      <alignment horizontal="left" indent="1"/>
    </xf>
    <xf numFmtId="0" fontId="10" fillId="0" borderId="0" xfId="0" applyFont="1" applyAlignment="1">
      <alignment horizontal="center"/>
    </xf>
    <xf numFmtId="0" fontId="9" fillId="0" borderId="0" xfId="0" quotePrefix="1" applyFont="1" applyAlignment="1">
      <alignment horizontal="center" vertical="justify"/>
    </xf>
    <xf numFmtId="10" fontId="16" fillId="0" borderId="0" xfId="0" applyNumberFormat="1" applyFont="1"/>
    <xf numFmtId="0" fontId="10" fillId="0" borderId="0" xfId="0" applyFont="1" applyAlignment="1">
      <alignment horizontal="center"/>
    </xf>
    <xf numFmtId="166" fontId="13" fillId="0" borderId="0" xfId="0" applyNumberFormat="1" applyFont="1" applyAlignment="1">
      <alignment horizontal="center"/>
    </xf>
    <xf numFmtId="0" fontId="10" fillId="0" borderId="0" xfId="0" applyFont="1" applyAlignment="1">
      <alignment horizontal="center"/>
    </xf>
    <xf numFmtId="0" fontId="9" fillId="0" borderId="0" xfId="28" applyNumberFormat="1" applyFont="1" applyFill="1" applyBorder="1" applyAlignment="1">
      <alignment horizontal="left"/>
    </xf>
    <xf numFmtId="164" fontId="9" fillId="36" borderId="0" xfId="0" applyNumberFormat="1" applyFont="1" applyFill="1"/>
    <xf numFmtId="0" fontId="9" fillId="0" borderId="0" xfId="28" applyFont="1" applyBorder="1" applyAlignment="1">
      <alignment horizontal="left"/>
    </xf>
    <xf numFmtId="0" fontId="9" fillId="0" borderId="0" xfId="28" quotePrefix="1" applyNumberFormat="1" applyFont="1" applyFill="1" applyBorder="1" applyAlignment="1">
      <alignment horizontal="left"/>
    </xf>
    <xf numFmtId="0" fontId="9" fillId="0" borderId="0" xfId="28" applyNumberFormat="1" applyFont="1" applyFill="1" applyBorder="1" applyAlignment="1">
      <alignment horizontal="right"/>
    </xf>
    <xf numFmtId="164" fontId="9" fillId="0" borderId="0" xfId="20" applyNumberFormat="1" applyFont="1" applyFill="1" applyBorder="1" applyAlignment="1">
      <alignment horizontal="right"/>
    </xf>
    <xf numFmtId="167" fontId="9" fillId="0" borderId="0" xfId="28" quotePrefix="1" applyNumberFormat="1" applyFont="1" applyFill="1" applyBorder="1" applyAlignment="1">
      <alignment horizontal="left" indent="1"/>
    </xf>
    <xf numFmtId="167" fontId="9" fillId="0" borderId="0" xfId="28" applyNumberFormat="1" applyFont="1" applyFill="1" applyBorder="1" applyAlignment="1">
      <alignment horizontal="left" indent="1"/>
    </xf>
    <xf numFmtId="0" fontId="9" fillId="0" borderId="0" xfId="28" applyFont="1" applyBorder="1" applyAlignment="1"/>
    <xf numFmtId="167" fontId="9" fillId="0" borderId="0" xfId="20" applyNumberFormat="1" applyFont="1" applyFill="1" applyBorder="1" applyAlignment="1">
      <alignment horizontal="right"/>
    </xf>
    <xf numFmtId="167" fontId="9" fillId="0" borderId="0" xfId="28" applyNumberFormat="1" applyFont="1" applyFill="1" applyBorder="1" applyAlignment="1">
      <alignment horizontal="right"/>
    </xf>
    <xf numFmtId="0" fontId="9" fillId="0" borderId="0" xfId="28" applyFont="1" applyBorder="1"/>
    <xf numFmtId="3" fontId="9" fillId="0" borderId="0" xfId="28" applyNumberFormat="1" applyFont="1" applyFill="1" applyBorder="1" applyAlignment="1">
      <alignment horizontal="left" indent="1"/>
    </xf>
    <xf numFmtId="1" fontId="9" fillId="0" borderId="0" xfId="28" applyNumberFormat="1" applyFont="1" applyFill="1" applyBorder="1" applyAlignment="1">
      <alignment horizontal="center"/>
    </xf>
    <xf numFmtId="3" fontId="9" fillId="0" borderId="0" xfId="28" applyNumberFormat="1" applyFont="1" applyFill="1" applyBorder="1" applyAlignment="1"/>
    <xf numFmtId="37" fontId="9" fillId="0" borderId="0" xfId="36" applyNumberFormat="1" applyFont="1" applyFill="1" applyAlignment="1">
      <alignment horizontal="left" indent="1"/>
    </xf>
    <xf numFmtId="0" fontId="9" fillId="0" borderId="0" xfId="28" applyFont="1" applyBorder="1" applyAlignment="1">
      <alignment horizontal="right"/>
    </xf>
    <xf numFmtId="10" fontId="9" fillId="0" borderId="0" xfId="0" applyNumberFormat="1" applyFont="1" applyFill="1"/>
    <xf numFmtId="0" fontId="9" fillId="36" borderId="0" xfId="34" applyFont="1" applyFill="1"/>
    <xf numFmtId="0" fontId="9" fillId="0" borderId="0" xfId="0" quotePrefix="1" applyFont="1" applyAlignment="1"/>
    <xf numFmtId="165" fontId="9" fillId="0" borderId="0" xfId="20" applyNumberFormat="1" applyFont="1" applyFill="1" applyBorder="1" applyAlignment="1">
      <alignment horizontal="right"/>
    </xf>
    <xf numFmtId="0" fontId="47" fillId="0" borderId="0" xfId="0" applyFont="1" applyFill="1"/>
    <xf numFmtId="0" fontId="12" fillId="0" borderId="0" xfId="28" applyFont="1" applyFill="1" applyBorder="1" applyAlignment="1"/>
    <xf numFmtId="0" fontId="10" fillId="0" borderId="0" xfId="0" applyFont="1" applyAlignment="1">
      <alignment horizontal="center"/>
    </xf>
    <xf numFmtId="0" fontId="10" fillId="0" borderId="0" xfId="28" applyFont="1" applyBorder="1" applyAlignment="1">
      <alignment horizontal="left"/>
    </xf>
    <xf numFmtId="1" fontId="9" fillId="0" borderId="0" xfId="28" quotePrefix="1" applyNumberFormat="1" applyFont="1" applyFill="1" applyBorder="1" applyAlignment="1">
      <alignment horizontal="right"/>
    </xf>
    <xf numFmtId="164" fontId="9" fillId="0" borderId="0" xfId="0" applyNumberFormat="1" applyFont="1" applyFill="1" applyAlignment="1">
      <alignment horizontal="right"/>
    </xf>
    <xf numFmtId="164" fontId="10" fillId="0" borderId="0" xfId="0" applyNumberFormat="1" applyFont="1" applyFill="1" applyAlignment="1">
      <alignment horizontal="right"/>
    </xf>
    <xf numFmtId="164" fontId="9" fillId="36" borderId="0" xfId="0" applyNumberFormat="1" applyFont="1" applyFill="1" applyAlignment="1">
      <alignment horizontal="right"/>
    </xf>
    <xf numFmtId="0" fontId="9" fillId="36" borderId="0" xfId="0" applyFont="1" applyFill="1" applyAlignment="1">
      <alignment horizontal="left" indent="1"/>
    </xf>
    <xf numFmtId="0" fontId="9" fillId="36" borderId="0" xfId="0" applyFont="1" applyFill="1" applyAlignment="1">
      <alignment horizontal="left"/>
    </xf>
    <xf numFmtId="0" fontId="9" fillId="36" borderId="0" xfId="0" quotePrefix="1" applyFont="1" applyFill="1"/>
    <xf numFmtId="164" fontId="9" fillId="0" borderId="0" xfId="0" applyNumberFormat="1" applyFont="1" applyFill="1" applyAlignment="1">
      <alignment horizontal="left" indent="1"/>
    </xf>
    <xf numFmtId="0" fontId="0" fillId="0" borderId="0" xfId="0" applyFill="1" applyBorder="1"/>
    <xf numFmtId="0" fontId="56" fillId="0" borderId="0" xfId="0" applyFont="1"/>
    <xf numFmtId="37" fontId="45" fillId="0" borderId="0" xfId="0" applyNumberFormat="1" applyFont="1" applyFill="1"/>
    <xf numFmtId="165" fontId="45" fillId="0" borderId="0" xfId="0" applyNumberFormat="1" applyFont="1" applyFill="1"/>
    <xf numFmtId="165" fontId="45" fillId="0" borderId="0" xfId="0" applyNumberFormat="1" applyFont="1" applyFill="1" applyAlignment="1">
      <alignment horizontal="left" indent="1"/>
    </xf>
    <xf numFmtId="164" fontId="47" fillId="0" borderId="0" xfId="0" applyNumberFormat="1" applyFont="1" applyFill="1"/>
    <xf numFmtId="39" fontId="45" fillId="0" borderId="0" xfId="0" applyNumberFormat="1" applyFont="1" applyAlignment="1">
      <alignment horizontal="left" indent="1"/>
    </xf>
    <xf numFmtId="39" fontId="45" fillId="0" borderId="0" xfId="0" applyNumberFormat="1" applyFont="1"/>
    <xf numFmtId="170" fontId="9" fillId="36" borderId="0" xfId="0" quotePrefix="1" applyNumberFormat="1" applyFont="1" applyFill="1" applyAlignment="1">
      <alignment horizontal="center"/>
    </xf>
    <xf numFmtId="0" fontId="9" fillId="36" borderId="0" xfId="0" quotePrefix="1" applyFont="1" applyFill="1" applyAlignment="1">
      <alignment horizontal="center"/>
    </xf>
    <xf numFmtId="0" fontId="9" fillId="0" borderId="0" xfId="0" quotePrefix="1" applyFont="1" applyFill="1" applyAlignment="1">
      <alignment horizontal="center"/>
    </xf>
    <xf numFmtId="170" fontId="9" fillId="36" borderId="0" xfId="0" applyNumberFormat="1" applyFont="1" applyFill="1" applyBorder="1" applyAlignment="1" applyProtection="1">
      <alignment horizontal="center"/>
    </xf>
    <xf numFmtId="0" fontId="9" fillId="36" borderId="0" xfId="0" applyFont="1" applyFill="1" applyBorder="1" applyProtection="1"/>
    <xf numFmtId="164" fontId="9" fillId="36" borderId="0" xfId="0" applyNumberFormat="1" applyFont="1" applyFill="1" applyBorder="1" applyProtection="1"/>
    <xf numFmtId="0" fontId="9" fillId="36" borderId="0" xfId="0" applyFont="1" applyFill="1" applyBorder="1"/>
    <xf numFmtId="0" fontId="9" fillId="36" borderId="0" xfId="0" quotePrefix="1" applyFont="1" applyFill="1" applyBorder="1" applyProtection="1"/>
    <xf numFmtId="170" fontId="9" fillId="0" borderId="0" xfId="0" applyNumberFormat="1" applyFont="1" applyFill="1" applyBorder="1" applyAlignment="1" applyProtection="1">
      <alignment horizontal="center"/>
    </xf>
    <xf numFmtId="0" fontId="9" fillId="0" borderId="0" xfId="0" applyFont="1" applyFill="1" applyBorder="1" applyProtection="1"/>
    <xf numFmtId="164" fontId="9" fillId="0" borderId="0" xfId="0" applyNumberFormat="1" applyFont="1" applyFill="1" applyBorder="1" applyProtection="1"/>
    <xf numFmtId="0" fontId="9" fillId="36" borderId="0" xfId="0" quotePrefix="1" applyFont="1" applyFill="1" applyBorder="1"/>
    <xf numFmtId="164" fontId="9" fillId="36" borderId="0" xfId="0" applyNumberFormat="1" applyFont="1" applyFill="1" applyBorder="1"/>
    <xf numFmtId="0" fontId="9" fillId="0" borderId="0" xfId="0" quotePrefix="1" applyFont="1" applyFill="1" applyBorder="1"/>
    <xf numFmtId="0" fontId="9" fillId="0" borderId="0" xfId="0" applyFont="1" applyFill="1" applyBorder="1"/>
    <xf numFmtId="170" fontId="9" fillId="36" borderId="0" xfId="0" quotePrefix="1" applyNumberFormat="1" applyFont="1" applyFill="1" applyBorder="1" applyAlignment="1" applyProtection="1">
      <alignment horizontal="center"/>
    </xf>
    <xf numFmtId="0" fontId="10" fillId="0" borderId="0" xfId="0" applyFont="1" applyAlignment="1">
      <alignment horizontal="center"/>
    </xf>
    <xf numFmtId="0" fontId="9" fillId="0" borderId="0" xfId="0" applyFont="1" applyAlignment="1">
      <alignment horizontal="left"/>
    </xf>
    <xf numFmtId="164" fontId="16" fillId="0" borderId="0" xfId="28" applyNumberFormat="1" applyFont="1" applyFill="1"/>
    <xf numFmtId="0" fontId="10" fillId="0" borderId="0" xfId="0" applyFont="1" applyAlignment="1">
      <alignment horizontal="center"/>
    </xf>
    <xf numFmtId="0" fontId="10" fillId="0" borderId="0" xfId="0" applyFont="1" applyFill="1" applyBorder="1" applyAlignment="1">
      <alignment horizontal="center"/>
    </xf>
    <xf numFmtId="37" fontId="9" fillId="0" borderId="0" xfId="0" applyNumberFormat="1" applyFont="1" applyFill="1" applyAlignment="1">
      <alignment horizontal="left" indent="1"/>
    </xf>
    <xf numFmtId="39" fontId="9" fillId="0" borderId="0" xfId="0" applyNumberFormat="1" applyFont="1" applyAlignment="1">
      <alignment horizontal="left" indent="1"/>
    </xf>
    <xf numFmtId="0" fontId="58" fillId="0" borderId="0" xfId="0" applyFont="1"/>
    <xf numFmtId="180" fontId="9" fillId="34" borderId="0" xfId="35" quotePrefix="1" applyNumberFormat="1" applyFont="1" applyFill="1" applyAlignment="1">
      <alignment horizontal="left" vertical="center"/>
    </xf>
    <xf numFmtId="0" fontId="10" fillId="0" borderId="0" xfId="0" applyFont="1" applyAlignment="1">
      <alignment horizontal="center"/>
    </xf>
    <xf numFmtId="0" fontId="10" fillId="0" borderId="0" xfId="0" applyFont="1" applyAlignment="1">
      <alignment horizontal="center"/>
    </xf>
    <xf numFmtId="0" fontId="14" fillId="0" borderId="0" xfId="0" applyFont="1" applyFill="1"/>
    <xf numFmtId="0" fontId="15" fillId="0" borderId="0" xfId="0" applyFont="1" applyFill="1"/>
    <xf numFmtId="0" fontId="13" fillId="0" borderId="0" xfId="0" applyFont="1" applyFill="1" applyAlignment="1">
      <alignment horizontal="left"/>
    </xf>
    <xf numFmtId="17" fontId="9" fillId="0" borderId="0" xfId="0" quotePrefix="1" applyNumberFormat="1" applyFont="1" applyFill="1" applyAlignment="1">
      <alignment horizontal="center"/>
    </xf>
    <xf numFmtId="0" fontId="58" fillId="0" borderId="0" xfId="0" applyFont="1" applyFill="1" applyAlignment="1">
      <alignment horizontal="center"/>
    </xf>
    <xf numFmtId="0" fontId="9" fillId="0" borderId="0" xfId="0" applyFont="1" applyBorder="1"/>
    <xf numFmtId="0" fontId="9" fillId="0" borderId="0" xfId="0" applyFont="1" applyAlignment="1"/>
    <xf numFmtId="0" fontId="10" fillId="0" borderId="0" xfId="0" applyFont="1" applyAlignment="1">
      <alignment horizontal="center"/>
    </xf>
    <xf numFmtId="0" fontId="9" fillId="0" borderId="0" xfId="0" quotePrefix="1" applyFont="1" applyAlignment="1">
      <alignment horizontal="left" indent="1"/>
    </xf>
    <xf numFmtId="0" fontId="9" fillId="0" borderId="0" xfId="28" quotePrefix="1" applyFont="1" applyFill="1" applyAlignment="1">
      <alignment horizontal="center" vertical="center"/>
    </xf>
    <xf numFmtId="0" fontId="9" fillId="0" borderId="0" xfId="28" quotePrefix="1" applyFont="1" applyFill="1" applyAlignment="1">
      <alignment horizontal="center"/>
    </xf>
    <xf numFmtId="0" fontId="9" fillId="0" borderId="0" xfId="28" quotePrefix="1" applyFont="1" applyBorder="1" applyAlignment="1">
      <alignment horizontal="center"/>
    </xf>
    <xf numFmtId="0" fontId="9" fillId="0" borderId="3" xfId="0" applyFont="1" applyBorder="1" applyAlignment="1">
      <alignment horizontal="center"/>
    </xf>
    <xf numFmtId="0" fontId="9" fillId="0" borderId="3" xfId="0" applyFont="1" applyFill="1" applyBorder="1" applyAlignment="1">
      <alignment horizontal="center"/>
    </xf>
    <xf numFmtId="0" fontId="9" fillId="0" borderId="3" xfId="0" applyFont="1" applyFill="1" applyBorder="1"/>
    <xf numFmtId="37" fontId="9" fillId="0" borderId="3" xfId="22" quotePrefix="1" applyNumberFormat="1" applyFont="1" applyFill="1" applyBorder="1" applyAlignment="1">
      <alignment horizontal="center"/>
    </xf>
    <xf numFmtId="39" fontId="9" fillId="0" borderId="3" xfId="22" applyNumberFormat="1" applyFont="1" applyFill="1" applyBorder="1" applyAlignment="1">
      <alignment horizontal="center"/>
    </xf>
    <xf numFmtId="0" fontId="9" fillId="0" borderId="0" xfId="0" applyFont="1" applyFill="1" applyBorder="1" applyAlignment="1">
      <alignment vertical="top"/>
    </xf>
    <xf numFmtId="0" fontId="10" fillId="0" borderId="0" xfId="0" applyFont="1" applyAlignment="1">
      <alignment horizontal="center"/>
    </xf>
    <xf numFmtId="168" fontId="9" fillId="36" borderId="0" xfId="0" applyNumberFormat="1" applyFont="1" applyFill="1" applyAlignment="1">
      <alignment horizontal="left"/>
    </xf>
    <xf numFmtId="184" fontId="0" fillId="36" borderId="0" xfId="0" applyNumberFormat="1" applyFill="1" applyAlignment="1">
      <alignment horizontal="center"/>
    </xf>
    <xf numFmtId="17" fontId="0" fillId="36" borderId="0" xfId="0" quotePrefix="1" applyNumberFormat="1" applyFill="1" applyAlignment="1">
      <alignment horizontal="center"/>
    </xf>
    <xf numFmtId="184" fontId="0" fillId="36" borderId="0" xfId="0" quotePrefix="1" applyNumberFormat="1" applyFill="1" applyAlignment="1">
      <alignment horizontal="center"/>
    </xf>
    <xf numFmtId="37" fontId="45" fillId="36" borderId="0" xfId="82" applyNumberFormat="1" applyFont="1" applyFill="1" applyAlignment="1">
      <alignment horizontal="right"/>
    </xf>
    <xf numFmtId="0" fontId="10" fillId="0" borderId="8" xfId="0" applyFont="1" applyBorder="1"/>
    <xf numFmtId="0" fontId="10" fillId="0" borderId="0" xfId="0" applyFont="1" applyAlignment="1">
      <alignment horizontal="center"/>
    </xf>
    <xf numFmtId="6" fontId="0" fillId="0" borderId="0" xfId="0" applyNumberFormat="1"/>
    <xf numFmtId="0" fontId="9" fillId="0" borderId="8" xfId="0" applyFont="1" applyBorder="1"/>
    <xf numFmtId="0" fontId="10" fillId="0" borderId="0" xfId="0" applyFont="1" applyAlignment="1">
      <alignment horizontal="center"/>
    </xf>
    <xf numFmtId="0" fontId="10" fillId="0" borderId="0" xfId="0" applyFont="1" applyAlignment="1">
      <alignment horizontal="center"/>
    </xf>
    <xf numFmtId="185" fontId="0" fillId="0" borderId="0" xfId="0" applyNumberFormat="1"/>
    <xf numFmtId="0" fontId="10" fillId="0" borderId="0" xfId="0" quotePrefix="1" applyFont="1" applyFill="1" applyAlignment="1">
      <alignment horizontal="right"/>
    </xf>
    <xf numFmtId="0" fontId="9" fillId="0" borderId="0" xfId="0" quotePrefix="1" applyFont="1" applyAlignment="1">
      <alignment horizontal="center" vertical="center"/>
    </xf>
    <xf numFmtId="0" fontId="10" fillId="0" borderId="0" xfId="108" applyFont="1"/>
    <xf numFmtId="0" fontId="9" fillId="0" borderId="0" xfId="108"/>
    <xf numFmtId="0" fontId="13" fillId="0" borderId="0" xfId="108" applyFont="1"/>
    <xf numFmtId="0" fontId="10" fillId="0" borderId="0" xfId="108" applyFont="1" applyAlignment="1">
      <alignment horizontal="center"/>
    </xf>
    <xf numFmtId="0" fontId="9" fillId="0" borderId="0" xfId="108" applyFont="1"/>
    <xf numFmtId="0" fontId="13" fillId="0" borderId="0" xfId="108" applyFont="1" applyAlignment="1">
      <alignment horizontal="center"/>
    </xf>
    <xf numFmtId="0" fontId="13" fillId="0" borderId="0" xfId="108" applyFont="1" applyAlignment="1">
      <alignment horizontal="left"/>
    </xf>
    <xf numFmtId="164" fontId="9" fillId="0" borderId="0" xfId="108" applyNumberFormat="1" applyFill="1"/>
    <xf numFmtId="0" fontId="9" fillId="36" borderId="0" xfId="108" applyFont="1" applyFill="1"/>
    <xf numFmtId="164" fontId="9" fillId="36" borderId="0" xfId="108" applyNumberFormat="1" applyFill="1"/>
    <xf numFmtId="164" fontId="16" fillId="36" borderId="0" xfId="108" applyNumberFormat="1" applyFont="1" applyFill="1"/>
    <xf numFmtId="164" fontId="9" fillId="0" borderId="0" xfId="108" applyNumberFormat="1"/>
    <xf numFmtId="0" fontId="9" fillId="0" borderId="0" xfId="108" applyFont="1" applyFill="1"/>
    <xf numFmtId="0" fontId="9" fillId="0" borderId="0" xfId="28" applyNumberFormat="1" applyFont="1" applyFill="1" applyBorder="1" applyAlignment="1">
      <alignment horizontal="left" indent="2"/>
    </xf>
    <xf numFmtId="3" fontId="21" fillId="0" borderId="0" xfId="34" applyNumberFormat="1" applyFont="1" applyBorder="1"/>
    <xf numFmtId="3" fontId="45" fillId="0" borderId="0" xfId="0" applyNumberFormat="1" applyFont="1" applyFill="1" applyAlignment="1">
      <alignment horizontal="right"/>
    </xf>
    <xf numFmtId="0" fontId="9" fillId="36" borderId="0" xfId="0" applyFont="1" applyFill="1" applyAlignment="1"/>
    <xf numFmtId="39" fontId="12" fillId="36" borderId="0" xfId="22" applyNumberFormat="1" applyFont="1" applyFill="1" applyBorder="1" applyAlignment="1">
      <alignment horizontal="center"/>
    </xf>
    <xf numFmtId="164" fontId="9" fillId="36" borderId="0" xfId="83" applyNumberFormat="1" applyFont="1" applyFill="1" applyBorder="1" applyAlignment="1">
      <alignment vertical="center"/>
    </xf>
    <xf numFmtId="10" fontId="9" fillId="36" borderId="0" xfId="0" applyNumberFormat="1" applyFont="1" applyFill="1"/>
    <xf numFmtId="10" fontId="0" fillId="0" borderId="0" xfId="0" applyNumberFormat="1" applyFill="1" applyAlignment="1">
      <alignment horizontal="center"/>
    </xf>
    <xf numFmtId="0" fontId="18" fillId="0" borderId="0" xfId="27" applyAlignment="1" applyProtection="1"/>
    <xf numFmtId="164" fontId="0" fillId="36" borderId="0" xfId="0" applyNumberFormat="1" applyFill="1" applyAlignment="1">
      <alignment horizontal="right"/>
    </xf>
    <xf numFmtId="0" fontId="9" fillId="0" borderId="0" xfId="0" quotePrefix="1" applyFont="1" applyFill="1"/>
    <xf numFmtId="0" fontId="9" fillId="36" borderId="0" xfId="0" applyFont="1" applyFill="1" applyAlignment="1">
      <alignment horizontal="right"/>
    </xf>
    <xf numFmtId="171" fontId="0" fillId="36" borderId="0" xfId="0" applyNumberFormat="1" applyFill="1"/>
    <xf numFmtId="0" fontId="0" fillId="0" borderId="0" xfId="0" quotePrefix="1" applyFill="1" applyAlignment="1"/>
    <xf numFmtId="167" fontId="12" fillId="0" borderId="0" xfId="22" applyNumberFormat="1" applyFont="1" applyFill="1" applyBorder="1" applyAlignment="1"/>
    <xf numFmtId="167" fontId="9" fillId="0" borderId="0" xfId="28" applyNumberFormat="1" applyFont="1" applyBorder="1"/>
    <xf numFmtId="15" fontId="9" fillId="36" borderId="0" xfId="0" quotePrefix="1" applyNumberFormat="1" applyFont="1" applyFill="1" applyAlignment="1">
      <alignment horizontal="center"/>
    </xf>
    <xf numFmtId="0" fontId="63" fillId="0" borderId="0" xfId="0" applyFont="1"/>
    <xf numFmtId="0" fontId="9" fillId="0" borderId="0" xfId="28" applyFont="1" applyFill="1" applyBorder="1" applyAlignment="1" applyProtection="1">
      <alignment horizontal="left" indent="1"/>
      <protection locked="0"/>
    </xf>
    <xf numFmtId="0" fontId="9" fillId="0" borderId="0" xfId="100" applyFill="1"/>
    <xf numFmtId="0" fontId="9" fillId="36" borderId="0" xfId="108" applyFill="1"/>
    <xf numFmtId="0" fontId="9" fillId="0" borderId="0" xfId="100" applyFont="1" applyAlignment="1">
      <alignment horizontal="left" indent="1"/>
    </xf>
    <xf numFmtId="164" fontId="9" fillId="0" borderId="0" xfId="100" applyNumberFormat="1"/>
    <xf numFmtId="164" fontId="44" fillId="0" borderId="0" xfId="100" applyNumberFormat="1" applyFont="1" applyFill="1"/>
    <xf numFmtId="0" fontId="10" fillId="0" borderId="0" xfId="100" applyFont="1"/>
    <xf numFmtId="0" fontId="9" fillId="0" borderId="0" xfId="100" applyFont="1"/>
    <xf numFmtId="0" fontId="10" fillId="0" borderId="0" xfId="100" applyFont="1" applyAlignment="1">
      <alignment horizontal="left" indent="1"/>
    </xf>
    <xf numFmtId="0" fontId="57" fillId="0" borderId="0" xfId="100" applyFont="1" applyBorder="1" applyAlignment="1">
      <alignment horizontal="left"/>
    </xf>
    <xf numFmtId="0" fontId="10" fillId="0" borderId="0" xfId="100" applyFont="1" applyBorder="1" applyAlignment="1">
      <alignment horizontal="center"/>
    </xf>
    <xf numFmtId="0" fontId="9" fillId="0" borderId="0" xfId="100" applyFont="1" applyBorder="1" applyAlignment="1">
      <alignment horizontal="right"/>
    </xf>
    <xf numFmtId="164" fontId="9" fillId="0" borderId="0" xfId="100" applyNumberFormat="1" applyFont="1" applyBorder="1" applyAlignment="1">
      <alignment horizontal="right"/>
    </xf>
    <xf numFmtId="0" fontId="10" fillId="0" borderId="0" xfId="100" applyFont="1" applyBorder="1" applyAlignment="1">
      <alignment horizontal="right"/>
    </xf>
    <xf numFmtId="0" fontId="10" fillId="0" borderId="8" xfId="100" applyFont="1" applyBorder="1" applyAlignment="1">
      <alignment horizontal="center"/>
    </xf>
    <xf numFmtId="170" fontId="9" fillId="36" borderId="0" xfId="100" applyNumberFormat="1" applyFont="1" applyFill="1" applyAlignment="1">
      <alignment horizontal="center"/>
    </xf>
    <xf numFmtId="0" fontId="9" fillId="36" borderId="0" xfId="100" applyFont="1" applyFill="1"/>
    <xf numFmtId="164" fontId="9" fillId="36" borderId="0" xfId="100" applyNumberFormat="1" applyFont="1" applyFill="1"/>
    <xf numFmtId="170" fontId="9" fillId="0" borderId="0" xfId="100" applyNumberFormat="1" applyFont="1" applyFill="1" applyAlignment="1">
      <alignment horizontal="center"/>
    </xf>
    <xf numFmtId="0" fontId="9" fillId="0" borderId="0" xfId="100" applyFont="1" applyFill="1"/>
    <xf numFmtId="164" fontId="9" fillId="0" borderId="0" xfId="100" applyNumberFormat="1" applyFont="1" applyFill="1"/>
    <xf numFmtId="170" fontId="9" fillId="36" borderId="0" xfId="100" applyNumberFormat="1" applyFont="1" applyFill="1" applyBorder="1" applyAlignment="1">
      <alignment horizontal="center"/>
    </xf>
    <xf numFmtId="170" fontId="9" fillId="36" borderId="0" xfId="100" quotePrefix="1" applyNumberFormat="1" applyFont="1" applyFill="1" applyAlignment="1">
      <alignment horizontal="center"/>
    </xf>
    <xf numFmtId="170" fontId="9" fillId="0" borderId="0" xfId="100" quotePrefix="1" applyNumberFormat="1" applyFont="1" applyFill="1" applyAlignment="1">
      <alignment horizontal="center"/>
    </xf>
    <xf numFmtId="164" fontId="9" fillId="0" borderId="0" xfId="100" applyNumberFormat="1" applyFont="1"/>
    <xf numFmtId="164" fontId="9" fillId="0" borderId="0" xfId="96" applyNumberFormat="1" applyFont="1" applyBorder="1"/>
    <xf numFmtId="164" fontId="9" fillId="0" borderId="0" xfId="96" applyNumberFormat="1" applyFont="1"/>
    <xf numFmtId="168" fontId="9" fillId="0" borderId="0" xfId="96" applyNumberFormat="1" applyFont="1" applyBorder="1"/>
    <xf numFmtId="164" fontId="9" fillId="0" borderId="15" xfId="96" applyNumberFormat="1" applyFont="1" applyBorder="1"/>
    <xf numFmtId="0" fontId="9" fillId="0" borderId="0" xfId="100" quotePrefix="1" applyFont="1" applyAlignment="1">
      <alignment horizontal="left" indent="1"/>
    </xf>
    <xf numFmtId="164" fontId="9" fillId="36" borderId="0" xfId="96" applyNumberFormat="1" applyFont="1" applyFill="1" applyBorder="1"/>
    <xf numFmtId="164" fontId="9" fillId="0" borderId="0" xfId="96" applyNumberFormat="1" applyFont="1" applyBorder="1" applyAlignment="1">
      <alignment horizontal="left" indent="1"/>
    </xf>
    <xf numFmtId="39" fontId="9" fillId="0" borderId="0" xfId="96" applyNumberFormat="1" applyFont="1" applyBorder="1"/>
    <xf numFmtId="37" fontId="9" fillId="0" borderId="0" xfId="96" applyNumberFormat="1" applyFont="1" applyBorder="1" applyAlignment="1">
      <alignment horizontal="center"/>
    </xf>
    <xf numFmtId="164" fontId="9" fillId="0" borderId="0" xfId="96" applyNumberFormat="1" applyFont="1" applyFill="1" applyBorder="1"/>
    <xf numFmtId="0" fontId="9" fillId="0" borderId="0" xfId="100" applyFont="1" applyBorder="1"/>
    <xf numFmtId="164" fontId="10" fillId="0" borderId="0" xfId="100" applyNumberFormat="1" applyFont="1" applyBorder="1" applyAlignment="1">
      <alignment horizontal="center"/>
    </xf>
    <xf numFmtId="164" fontId="10" fillId="0" borderId="8" xfId="100" applyNumberFormat="1" applyFont="1" applyBorder="1" applyAlignment="1">
      <alignment horizontal="center"/>
    </xf>
    <xf numFmtId="0" fontId="9" fillId="0" borderId="0" xfId="100" quotePrefix="1" applyFont="1"/>
    <xf numFmtId="10" fontId="9" fillId="0" borderId="0" xfId="96" applyNumberFormat="1" applyFont="1" applyBorder="1"/>
    <xf numFmtId="164" fontId="52" fillId="34" borderId="0" xfId="0" applyNumberFormat="1" applyFont="1" applyFill="1"/>
    <xf numFmtId="3" fontId="56" fillId="0" borderId="0" xfId="0" applyNumberFormat="1" applyFont="1"/>
    <xf numFmtId="164" fontId="52" fillId="36" borderId="0" xfId="0" applyNumberFormat="1" applyFont="1" applyFill="1"/>
    <xf numFmtId="164" fontId="65" fillId="36" borderId="0" xfId="0" applyNumberFormat="1" applyFont="1" applyFill="1"/>
    <xf numFmtId="0" fontId="56" fillId="0" borderId="0" xfId="0" applyFont="1" applyFill="1"/>
    <xf numFmtId="0" fontId="13" fillId="0" borderId="0" xfId="100" applyFont="1" applyBorder="1" applyAlignment="1">
      <alignment horizontal="center"/>
    </xf>
    <xf numFmtId="0" fontId="9" fillId="0" borderId="0" xfId="100" applyFont="1" applyBorder="1" applyAlignment="1">
      <alignment horizontal="left"/>
    </xf>
    <xf numFmtId="1" fontId="9" fillId="36" borderId="0" xfId="100" applyNumberFormat="1" applyFont="1" applyFill="1" applyBorder="1" applyAlignment="1">
      <alignment horizontal="center"/>
    </xf>
    <xf numFmtId="164" fontId="9" fillId="0" borderId="0" xfId="0" applyNumberFormat="1" applyFont="1" applyFill="1" applyAlignment="1">
      <alignment horizontal="center"/>
    </xf>
    <xf numFmtId="0" fontId="9" fillId="0" borderId="0" xfId="100" applyNumberFormat="1" applyFont="1" applyFill="1" applyBorder="1" applyAlignment="1">
      <alignment horizontal="left"/>
    </xf>
    <xf numFmtId="1" fontId="9" fillId="0" borderId="0" xfId="100" quotePrefix="1" applyNumberFormat="1" applyFont="1" applyFill="1" applyBorder="1" applyAlignment="1">
      <alignment horizontal="right"/>
    </xf>
    <xf numFmtId="164" fontId="9" fillId="36" borderId="0" xfId="0" quotePrefix="1" applyNumberFormat="1" applyFont="1" applyFill="1" applyAlignment="1">
      <alignment horizontal="center"/>
    </xf>
    <xf numFmtId="164" fontId="9" fillId="0" borderId="0" xfId="0" quotePrefix="1" applyNumberFormat="1" applyFont="1" applyFill="1" applyAlignment="1">
      <alignment horizontal="center"/>
    </xf>
    <xf numFmtId="0" fontId="10" fillId="0" borderId="0" xfId="100" applyFont="1" applyFill="1" applyBorder="1" applyAlignment="1">
      <alignment horizontal="left"/>
    </xf>
    <xf numFmtId="0" fontId="10" fillId="0" borderId="0" xfId="100" applyNumberFormat="1" applyFont="1" applyFill="1" applyBorder="1" applyAlignment="1">
      <alignment horizontal="left"/>
    </xf>
    <xf numFmtId="0" fontId="9" fillId="0" borderId="0" xfId="100"/>
    <xf numFmtId="0" fontId="9" fillId="36" borderId="0" xfId="100" applyFill="1"/>
    <xf numFmtId="0" fontId="13" fillId="0" borderId="0" xfId="100" quotePrefix="1" applyFont="1" applyAlignment="1">
      <alignment horizontal="center"/>
    </xf>
    <xf numFmtId="0" fontId="13" fillId="0" borderId="0" xfId="100" applyFont="1" applyAlignment="1">
      <alignment horizontal="center"/>
    </xf>
    <xf numFmtId="0" fontId="9" fillId="0" borderId="0" xfId="100" quotePrefix="1" applyFont="1" applyAlignment="1">
      <alignment horizontal="center"/>
    </xf>
    <xf numFmtId="0" fontId="9" fillId="0" borderId="0" xfId="100" quotePrefix="1" applyFont="1" applyFill="1" applyAlignment="1">
      <alignment horizontal="center"/>
    </xf>
    <xf numFmtId="0" fontId="9" fillId="0" borderId="0" xfId="100" applyAlignment="1">
      <alignment horizontal="center"/>
    </xf>
    <xf numFmtId="0" fontId="10" fillId="0" borderId="0" xfId="100" applyFont="1" applyAlignment="1">
      <alignment horizontal="center"/>
    </xf>
    <xf numFmtId="0" fontId="10" fillId="0" borderId="0" xfId="100" applyFont="1" applyFill="1" applyAlignment="1">
      <alignment horizontal="center"/>
    </xf>
    <xf numFmtId="0" fontId="13" fillId="0" borderId="0" xfId="100" applyFont="1"/>
    <xf numFmtId="0" fontId="13" fillId="0" borderId="0" xfId="100" applyFont="1" applyFill="1" applyAlignment="1">
      <alignment horizontal="center"/>
    </xf>
    <xf numFmtId="164" fontId="9" fillId="0" borderId="0" xfId="100" applyNumberFormat="1" applyFont="1" applyFill="1" applyAlignment="1"/>
    <xf numFmtId="10" fontId="9" fillId="0" borderId="0" xfId="37" applyNumberFormat="1" applyFont="1" applyFill="1" applyAlignment="1"/>
    <xf numFmtId="167" fontId="9" fillId="0" borderId="0" xfId="100" applyNumberFormat="1"/>
    <xf numFmtId="164" fontId="16" fillId="0" borderId="0" xfId="100" applyNumberFormat="1" applyFont="1"/>
    <xf numFmtId="0" fontId="9" fillId="0" borderId="0" xfId="100" applyFont="1" applyAlignment="1">
      <alignment horizontal="left"/>
    </xf>
    <xf numFmtId="0" fontId="9" fillId="0" borderId="0" xfId="100" applyFont="1" applyAlignment="1">
      <alignment horizontal="right" indent="1"/>
    </xf>
    <xf numFmtId="167" fontId="0" fillId="0" borderId="0" xfId="19" applyNumberFormat="1" applyFont="1"/>
    <xf numFmtId="164" fontId="9" fillId="0" borderId="0" xfId="100" applyNumberFormat="1" applyFont="1" applyFill="1" applyAlignment="1">
      <alignment horizontal="right"/>
    </xf>
    <xf numFmtId="164" fontId="9" fillId="36" borderId="0" xfId="100" applyNumberFormat="1" applyFont="1" applyFill="1" applyAlignment="1">
      <alignment horizontal="right"/>
    </xf>
    <xf numFmtId="0" fontId="9" fillId="0" borderId="0" xfId="100" applyAlignment="1">
      <alignment horizontal="left" indent="1"/>
    </xf>
    <xf numFmtId="10" fontId="0" fillId="0" borderId="0" xfId="37" applyNumberFormat="1" applyFont="1" applyAlignment="1">
      <alignment horizontal="center"/>
    </xf>
    <xf numFmtId="10" fontId="13" fillId="0" borderId="0" xfId="100" applyNumberFormat="1" applyFont="1" applyAlignment="1">
      <alignment horizontal="center"/>
    </xf>
    <xf numFmtId="0" fontId="9" fillId="0" borderId="0" xfId="100" applyNumberFormat="1"/>
    <xf numFmtId="10" fontId="9" fillId="0" borderId="0" xfId="37" applyNumberFormat="1" applyAlignment="1">
      <alignment horizontal="center"/>
    </xf>
    <xf numFmtId="0" fontId="10" fillId="0" borderId="0" xfId="100" applyFont="1" applyFill="1"/>
    <xf numFmtId="0" fontId="13" fillId="0" borderId="0" xfId="0" applyNumberFormat="1" applyFont="1" applyFill="1" applyAlignment="1">
      <alignment horizontal="center"/>
    </xf>
    <xf numFmtId="0" fontId="11" fillId="0" borderId="0" xfId="0" applyFont="1" applyAlignment="1">
      <alignment horizontal="center"/>
    </xf>
    <xf numFmtId="0" fontId="10" fillId="0" borderId="0" xfId="0" applyNumberFormat="1" applyFont="1" applyFill="1" applyAlignment="1">
      <alignment horizontal="center"/>
    </xf>
    <xf numFmtId="0" fontId="10" fillId="0" borderId="0" xfId="0" applyNumberFormat="1" applyFont="1" applyFill="1" applyAlignment="1">
      <alignment horizontal="center" wrapText="1"/>
    </xf>
    <xf numFmtId="164" fontId="10" fillId="0" borderId="0" xfId="0" applyNumberFormat="1" applyFont="1" applyFill="1" applyAlignment="1">
      <alignment horizontal="right" indent="1"/>
    </xf>
    <xf numFmtId="0" fontId="0" fillId="0" borderId="0" xfId="0" applyNumberFormat="1" applyFill="1"/>
    <xf numFmtId="0" fontId="10" fillId="0" borderId="0" xfId="0" applyNumberFormat="1" applyFont="1" applyFill="1" applyAlignment="1">
      <alignment horizontal="left" indent="2"/>
    </xf>
    <xf numFmtId="0" fontId="13" fillId="0" borderId="0" xfId="0" quotePrefix="1" applyNumberFormat="1" applyFont="1" applyFill="1" applyAlignment="1">
      <alignment horizontal="center"/>
    </xf>
    <xf numFmtId="0" fontId="9" fillId="0" borderId="0" xfId="0" quotePrefix="1" applyNumberFormat="1" applyFont="1" applyFill="1" applyAlignment="1">
      <alignment horizontal="center" wrapText="1"/>
    </xf>
    <xf numFmtId="0" fontId="9" fillId="0" borderId="0" xfId="0" quotePrefix="1" applyNumberFormat="1" applyFont="1" applyFill="1" applyAlignment="1">
      <alignment horizontal="center"/>
    </xf>
    <xf numFmtId="0" fontId="11" fillId="0" borderId="0" xfId="0" quotePrefix="1" applyNumberFormat="1" applyFont="1" applyFill="1" applyAlignment="1">
      <alignment horizontal="center"/>
    </xf>
    <xf numFmtId="0" fontId="0" fillId="0" borderId="0" xfId="0" quotePrefix="1" applyNumberFormat="1" applyFill="1"/>
    <xf numFmtId="0" fontId="9" fillId="0" borderId="0" xfId="0" applyNumberFormat="1" applyFont="1" applyFill="1" applyAlignment="1"/>
    <xf numFmtId="0" fontId="0" fillId="0" borderId="0" xfId="0" applyNumberFormat="1" applyFill="1" applyAlignment="1">
      <alignment horizontal="left"/>
    </xf>
    <xf numFmtId="0" fontId="9" fillId="0" borderId="0" xfId="100" applyNumberFormat="1" applyFont="1" applyFill="1" applyBorder="1" applyAlignment="1">
      <alignment horizontal="center"/>
    </xf>
    <xf numFmtId="0" fontId="16" fillId="0" borderId="0" xfId="0" applyNumberFormat="1" applyFont="1" applyFill="1"/>
    <xf numFmtId="0" fontId="9" fillId="0" borderId="0" xfId="100" quotePrefix="1" applyNumberFormat="1" applyFont="1" applyFill="1" applyBorder="1" applyAlignment="1">
      <alignment horizontal="right"/>
    </xf>
    <xf numFmtId="0" fontId="9" fillId="0" borderId="0" xfId="0" applyNumberFormat="1" applyFont="1" applyFill="1" applyAlignment="1">
      <alignment horizontal="right"/>
    </xf>
    <xf numFmtId="0" fontId="10" fillId="0" borderId="0" xfId="0" applyNumberFormat="1" applyFont="1" applyFill="1"/>
    <xf numFmtId="0" fontId="9" fillId="0" borderId="0" xfId="0" applyNumberFormat="1" applyFont="1" applyFill="1"/>
    <xf numFmtId="0" fontId="9" fillId="0" borderId="0" xfId="0" applyNumberFormat="1" applyFont="1" applyFill="1" applyAlignment="1">
      <alignment horizontal="left" indent="1"/>
    </xf>
    <xf numFmtId="0" fontId="10" fillId="0" borderId="0" xfId="100" applyFont="1" applyAlignment="1">
      <alignment horizontal="right"/>
    </xf>
    <xf numFmtId="164" fontId="10" fillId="0" borderId="0" xfId="100" applyNumberFormat="1" applyFont="1"/>
    <xf numFmtId="166" fontId="10" fillId="0" borderId="0" xfId="100" applyNumberFormat="1" applyFont="1"/>
    <xf numFmtId="10" fontId="13" fillId="0" borderId="0" xfId="37" applyNumberFormat="1" applyFont="1" applyAlignment="1">
      <alignment horizontal="center"/>
    </xf>
    <xf numFmtId="0" fontId="9" fillId="0" borderId="0" xfId="100" applyAlignment="1">
      <alignment horizontal="center" wrapText="1"/>
    </xf>
    <xf numFmtId="164" fontId="9" fillId="0" borderId="0" xfId="100" quotePrefix="1" applyNumberFormat="1" applyAlignment="1">
      <alignment horizontal="center"/>
    </xf>
    <xf numFmtId="0" fontId="9" fillId="0" borderId="0" xfId="100" quotePrefix="1" applyAlignment="1">
      <alignment horizontal="center" wrapText="1"/>
    </xf>
    <xf numFmtId="0" fontId="9" fillId="0" borderId="0" xfId="100" quotePrefix="1" applyFont="1" applyAlignment="1">
      <alignment horizontal="center" wrapText="1"/>
    </xf>
    <xf numFmtId="10" fontId="9" fillId="0" borderId="0" xfId="37" quotePrefix="1" applyNumberFormat="1" applyFont="1" applyAlignment="1">
      <alignment horizontal="center" wrapText="1"/>
    </xf>
    <xf numFmtId="5" fontId="9" fillId="0" borderId="0" xfId="19" applyNumberFormat="1" applyFont="1" applyFill="1" applyAlignment="1"/>
    <xf numFmtId="5" fontId="0" fillId="0" borderId="0" xfId="19" applyNumberFormat="1" applyFont="1" applyFill="1"/>
    <xf numFmtId="5" fontId="0" fillId="36" borderId="0" xfId="19" applyNumberFormat="1" applyFont="1" applyFill="1"/>
    <xf numFmtId="179" fontId="9" fillId="0" borderId="0" xfId="23" applyNumberFormat="1" applyFont="1"/>
    <xf numFmtId="10" fontId="9" fillId="0" borderId="0" xfId="100" applyNumberFormat="1"/>
    <xf numFmtId="0" fontId="16" fillId="0" borderId="0" xfId="100" applyFont="1" applyAlignment="1">
      <alignment horizontal="center"/>
    </xf>
    <xf numFmtId="5" fontId="9" fillId="0" borderId="0" xfId="19" applyNumberFormat="1"/>
    <xf numFmtId="5" fontId="9" fillId="0" borderId="0" xfId="100" applyNumberFormat="1"/>
    <xf numFmtId="5" fontId="9" fillId="0" borderId="0" xfId="100" applyNumberFormat="1" applyFont="1"/>
    <xf numFmtId="173" fontId="0" fillId="0" borderId="0" xfId="0" applyNumberFormat="1"/>
    <xf numFmtId="0" fontId="9" fillId="0" borderId="0" xfId="0" applyFont="1" applyFill="1" applyAlignment="1">
      <alignment horizontal="center"/>
    </xf>
    <xf numFmtId="0" fontId="9" fillId="36" borderId="0" xfId="0" applyFont="1" applyFill="1" applyAlignment="1">
      <alignment horizontal="center"/>
    </xf>
    <xf numFmtId="164" fontId="9" fillId="0" borderId="0" xfId="0" applyNumberFormat="1" applyFont="1" applyAlignment="1">
      <alignment horizontal="right"/>
    </xf>
    <xf numFmtId="0" fontId="10" fillId="0" borderId="0" xfId="108" applyFont="1" applyFill="1"/>
    <xf numFmtId="0" fontId="9" fillId="0" borderId="0" xfId="108" applyFill="1"/>
    <xf numFmtId="0" fontId="13" fillId="0" borderId="0" xfId="108" applyFont="1" applyFill="1"/>
    <xf numFmtId="0" fontId="10" fillId="0" borderId="0" xfId="108" applyFont="1" applyFill="1" applyAlignment="1">
      <alignment horizontal="center"/>
    </xf>
    <xf numFmtId="0" fontId="10" fillId="0" borderId="8" xfId="108" applyFont="1" applyFill="1" applyBorder="1" applyAlignment="1">
      <alignment horizontal="center"/>
    </xf>
    <xf numFmtId="0" fontId="10" fillId="0" borderId="0" xfId="108" applyFont="1" applyFill="1" applyBorder="1" applyAlignment="1">
      <alignment horizontal="center"/>
    </xf>
    <xf numFmtId="0" fontId="10" fillId="0" borderId="8" xfId="108" applyFont="1" applyBorder="1" applyAlignment="1">
      <alignment horizontal="center"/>
    </xf>
    <xf numFmtId="0" fontId="31" fillId="0" borderId="0" xfId="0" applyFont="1"/>
    <xf numFmtId="164" fontId="9" fillId="0" borderId="16" xfId="108" applyNumberFormat="1" applyFill="1" applyBorder="1"/>
    <xf numFmtId="0" fontId="10" fillId="0" borderId="0" xfId="108" quotePrefix="1" applyFont="1" applyFill="1" applyAlignment="1">
      <alignment horizontal="center"/>
    </xf>
    <xf numFmtId="0" fontId="29" fillId="0" borderId="0" xfId="0" applyFont="1" applyFill="1" applyAlignment="1">
      <alignment horizontal="center"/>
    </xf>
    <xf numFmtId="164" fontId="9" fillId="0" borderId="0" xfId="108" applyNumberFormat="1" applyFill="1" applyBorder="1"/>
    <xf numFmtId="164" fontId="9" fillId="0" borderId="8" xfId="108" applyNumberFormat="1" applyFont="1" applyFill="1" applyBorder="1" applyAlignment="1">
      <alignment horizontal="right"/>
    </xf>
    <xf numFmtId="164" fontId="9" fillId="0" borderId="0" xfId="108" applyNumberFormat="1" applyFont="1" applyFill="1" applyBorder="1" applyAlignment="1">
      <alignment horizontal="right"/>
    </xf>
    <xf numFmtId="164" fontId="9" fillId="0" borderId="17" xfId="108" applyNumberFormat="1" applyBorder="1"/>
    <xf numFmtId="0" fontId="9" fillId="0" borderId="0" xfId="108" applyFill="1" applyBorder="1"/>
    <xf numFmtId="0" fontId="0" fillId="0" borderId="0" xfId="0" applyFill="1" applyBorder="1" applyAlignment="1">
      <alignment horizontal="center"/>
    </xf>
    <xf numFmtId="0" fontId="9" fillId="0" borderId="8" xfId="0" applyFont="1" applyBorder="1" applyAlignment="1">
      <alignment horizontal="center"/>
    </xf>
    <xf numFmtId="164" fontId="9" fillId="34" borderId="0" xfId="19" applyNumberFormat="1" applyFont="1" applyFill="1"/>
    <xf numFmtId="164" fontId="9" fillId="0" borderId="0" xfId="19" applyNumberFormat="1" applyFont="1" applyFill="1" applyBorder="1"/>
    <xf numFmtId="37" fontId="9" fillId="0" borderId="0" xfId="19" applyNumberFormat="1" applyFont="1" applyFill="1" applyBorder="1"/>
    <xf numFmtId="37" fontId="0" fillId="0" borderId="0" xfId="19" quotePrefix="1" applyNumberFormat="1" applyFont="1" applyFill="1" applyBorder="1"/>
    <xf numFmtId="37" fontId="0" fillId="0" borderId="0" xfId="19" applyNumberFormat="1" applyFont="1" applyFill="1" applyBorder="1"/>
    <xf numFmtId="3" fontId="0" fillId="0" borderId="0" xfId="0" applyNumberFormat="1" applyFill="1" applyBorder="1"/>
    <xf numFmtId="37" fontId="0" fillId="0" borderId="0" xfId="0" applyNumberFormat="1" applyFill="1" applyBorder="1"/>
    <xf numFmtId="165" fontId="0" fillId="0" borderId="0" xfId="37" quotePrefix="1" applyNumberFormat="1" applyFont="1" applyFill="1" applyBorder="1"/>
    <xf numFmtId="165" fontId="0" fillId="0" borderId="8" xfId="37" applyNumberFormat="1" applyFont="1" applyFill="1" applyBorder="1"/>
    <xf numFmtId="165" fontId="0" fillId="0" borderId="0" xfId="37" applyNumberFormat="1" applyFont="1" applyFill="1" applyBorder="1"/>
    <xf numFmtId="164" fontId="0" fillId="0" borderId="16" xfId="19" applyNumberFormat="1" applyFont="1" applyBorder="1"/>
    <xf numFmtId="164" fontId="0" fillId="0" borderId="0" xfId="19" applyNumberFormat="1" applyFont="1" applyFill="1" applyBorder="1"/>
    <xf numFmtId="164" fontId="0" fillId="0" borderId="16" xfId="0" applyNumberFormat="1" applyBorder="1"/>
    <xf numFmtId="0" fontId="31" fillId="0" borderId="0" xfId="0" applyFont="1" applyAlignment="1">
      <alignment wrapText="1"/>
    </xf>
    <xf numFmtId="164" fontId="9" fillId="36" borderId="0" xfId="19" applyNumberFormat="1" applyFont="1" applyFill="1" applyBorder="1"/>
    <xf numFmtId="9" fontId="0" fillId="0" borderId="0" xfId="0" applyNumberFormat="1" applyAlignment="1">
      <alignment horizontal="left"/>
    </xf>
    <xf numFmtId="9" fontId="0" fillId="0" borderId="8" xfId="0" applyNumberFormat="1" applyBorder="1"/>
    <xf numFmtId="164" fontId="0" fillId="0" borderId="0" xfId="0" applyNumberFormat="1" applyFill="1" applyBorder="1"/>
    <xf numFmtId="0" fontId="9" fillId="36" borderId="0" xfId="100" quotePrefix="1" applyNumberFormat="1" applyFont="1" applyFill="1" applyBorder="1" applyAlignment="1">
      <alignment horizontal="left"/>
    </xf>
    <xf numFmtId="0" fontId="9" fillId="36" borderId="0" xfId="100" quotePrefix="1" applyFont="1" applyFill="1" applyBorder="1" applyAlignment="1">
      <alignment horizontal="left"/>
    </xf>
    <xf numFmtId="10" fontId="45" fillId="36" borderId="0" xfId="0" applyNumberFormat="1" applyFont="1" applyFill="1"/>
    <xf numFmtId="0" fontId="9" fillId="0" borderId="0" xfId="0" quotePrefix="1" applyFont="1" applyAlignment="1">
      <alignment horizontal="right"/>
    </xf>
    <xf numFmtId="0" fontId="12" fillId="0" borderId="0" xfId="28" applyFill="1" applyBorder="1" applyAlignment="1" applyProtection="1">
      <alignment horizontal="left" vertical="top" indent="1"/>
      <protection locked="0"/>
    </xf>
    <xf numFmtId="0" fontId="12" fillId="0" borderId="0" xfId="28" applyFont="1" applyFill="1" applyBorder="1" applyAlignment="1" applyProtection="1">
      <alignment horizontal="left" indent="1"/>
      <protection locked="0"/>
    </xf>
    <xf numFmtId="49" fontId="9" fillId="0" borderId="0" xfId="19" applyNumberFormat="1" applyFont="1" applyBorder="1" applyAlignment="1">
      <alignment horizontal="left" indent="1"/>
    </xf>
    <xf numFmtId="0" fontId="10" fillId="0" borderId="3" xfId="28" applyFont="1" applyFill="1" applyBorder="1" applyAlignment="1">
      <alignment horizontal="center"/>
    </xf>
    <xf numFmtId="0" fontId="12" fillId="0" borderId="6" xfId="0" applyFont="1" applyFill="1" applyBorder="1" applyAlignment="1">
      <alignment horizontal="left"/>
    </xf>
    <xf numFmtId="0" fontId="18" fillId="0" borderId="0" xfId="27" applyFill="1" applyAlignment="1" applyProtection="1"/>
    <xf numFmtId="0" fontId="0" fillId="0" borderId="0" xfId="0" applyFill="1" applyAlignment="1">
      <alignment horizontal="center"/>
    </xf>
    <xf numFmtId="0" fontId="0" fillId="0" borderId="0" xfId="0" applyFill="1" applyAlignment="1">
      <alignment horizontal="left"/>
    </xf>
    <xf numFmtId="0" fontId="16" fillId="0" borderId="0" xfId="0" applyFont="1" applyFill="1" applyAlignment="1">
      <alignment horizontal="left"/>
    </xf>
    <xf numFmtId="0" fontId="12" fillId="0" borderId="0" xfId="28" applyFont="1" applyFill="1" applyBorder="1" applyAlignment="1">
      <alignment horizontal="left" indent="1"/>
    </xf>
    <xf numFmtId="168" fontId="12" fillId="0" borderId="0" xfId="0" applyNumberFormat="1" applyFont="1" applyFill="1"/>
    <xf numFmtId="0" fontId="9" fillId="0" borderId="0" xfId="0" applyFont="1" applyFill="1" applyAlignment="1">
      <alignment horizontal="right"/>
    </xf>
    <xf numFmtId="0" fontId="9" fillId="0" borderId="0" xfId="0" quotePrefix="1" applyFont="1" applyFill="1" applyAlignment="1">
      <alignment horizontal="right"/>
    </xf>
    <xf numFmtId="168" fontId="0" fillId="0" borderId="0" xfId="0" applyNumberFormat="1" applyFill="1"/>
    <xf numFmtId="0" fontId="45" fillId="0" borderId="0" xfId="0" applyFont="1" applyFill="1" applyAlignment="1">
      <alignment horizontal="right"/>
    </xf>
    <xf numFmtId="166" fontId="9" fillId="0" borderId="0" xfId="0" applyNumberFormat="1" applyFont="1" applyFill="1" applyAlignment="1">
      <alignment horizontal="left" indent="1"/>
    </xf>
    <xf numFmtId="0" fontId="12" fillId="0" borderId="0" xfId="28" applyFont="1" applyFill="1" applyBorder="1" applyAlignment="1">
      <alignment horizontal="left"/>
    </xf>
    <xf numFmtId="165" fontId="12" fillId="0" borderId="0" xfId="0" applyNumberFormat="1" applyFont="1" applyFill="1" applyAlignment="1">
      <alignment horizontal="left" indent="1"/>
    </xf>
    <xf numFmtId="168" fontId="16" fillId="0" borderId="0" xfId="0" applyNumberFormat="1" applyFont="1" applyFill="1"/>
    <xf numFmtId="168" fontId="45" fillId="0" borderId="0" xfId="0" applyNumberFormat="1" applyFont="1" applyFill="1"/>
    <xf numFmtId="0" fontId="9" fillId="0" borderId="0" xfId="0" applyFont="1" applyFill="1" applyAlignment="1">
      <alignment horizontal="left" indent="2"/>
    </xf>
    <xf numFmtId="0" fontId="12" fillId="0" borderId="0" xfId="0" quotePrefix="1" applyFont="1" applyFill="1" applyAlignment="1">
      <alignment horizontal="left" indent="2"/>
    </xf>
    <xf numFmtId="0" fontId="9" fillId="0" borderId="0" xfId="0" quotePrefix="1" applyFont="1" applyFill="1" applyAlignment="1">
      <alignment horizontal="left" indent="2"/>
    </xf>
    <xf numFmtId="0" fontId="9" fillId="0" borderId="0" xfId="0" applyFont="1" applyFill="1" applyAlignment="1">
      <alignment horizontal="left" indent="3"/>
    </xf>
    <xf numFmtId="0" fontId="12" fillId="0" borderId="0" xfId="0" applyFont="1" applyFill="1" applyAlignment="1">
      <alignment horizontal="left" indent="4"/>
    </xf>
    <xf numFmtId="0" fontId="45" fillId="0" borderId="0" xfId="0" applyFont="1" applyFill="1" applyAlignment="1">
      <alignment horizontal="left"/>
    </xf>
    <xf numFmtId="0" fontId="13" fillId="0" borderId="0" xfId="0" applyFont="1" applyFill="1"/>
    <xf numFmtId="0" fontId="10" fillId="0" borderId="0" xfId="0" applyFont="1" applyFill="1" applyAlignment="1">
      <alignment horizontal="left" indent="1"/>
    </xf>
    <xf numFmtId="0" fontId="10" fillId="0" borderId="0" xfId="0" applyNumberFormat="1" applyFont="1" applyFill="1" applyAlignment="1">
      <alignment horizontal="left"/>
    </xf>
    <xf numFmtId="0" fontId="9" fillId="0" borderId="0" xfId="0" applyFont="1" applyFill="1" applyAlignment="1"/>
    <xf numFmtId="0" fontId="10" fillId="0" borderId="0" xfId="0" quotePrefix="1" applyFont="1" applyFill="1" applyAlignment="1">
      <alignment horizontal="center"/>
    </xf>
    <xf numFmtId="10" fontId="9" fillId="0" borderId="0" xfId="0" quotePrefix="1" applyNumberFormat="1" applyFont="1" applyFill="1" applyAlignment="1">
      <alignment horizontal="right"/>
    </xf>
    <xf numFmtId="3" fontId="0" fillId="0" borderId="0" xfId="0" applyNumberFormat="1" applyFill="1" applyAlignment="1">
      <alignment horizontal="center"/>
    </xf>
    <xf numFmtId="0" fontId="44" fillId="0" borderId="0" xfId="0" applyFont="1" applyFill="1"/>
    <xf numFmtId="164" fontId="44" fillId="0" borderId="0" xfId="0" applyNumberFormat="1" applyFont="1" applyFill="1" applyBorder="1"/>
    <xf numFmtId="0" fontId="46" fillId="0" borderId="0" xfId="0" applyFont="1" applyFill="1"/>
    <xf numFmtId="0" fontId="61" fillId="0" borderId="0" xfId="0" applyFont="1" applyFill="1" applyAlignment="1">
      <alignment horizontal="left" vertical="center"/>
    </xf>
    <xf numFmtId="164" fontId="9" fillId="0" borderId="0" xfId="19" applyNumberFormat="1" applyFont="1" applyBorder="1"/>
    <xf numFmtId="41" fontId="9" fillId="0" borderId="0" xfId="19" applyNumberFormat="1" applyFont="1" applyBorder="1"/>
    <xf numFmtId="41" fontId="9" fillId="0" borderId="0" xfId="34" applyNumberFormat="1" applyFont="1" applyBorder="1"/>
    <xf numFmtId="5" fontId="9" fillId="36" borderId="0" xfId="19" applyNumberFormat="1" applyFont="1" applyFill="1" applyBorder="1"/>
    <xf numFmtId="0" fontId="10" fillId="0" borderId="0" xfId="34" applyFont="1" applyFill="1"/>
    <xf numFmtId="0" fontId="12" fillId="0" borderId="0" xfId="34" applyFont="1" applyFill="1"/>
    <xf numFmtId="0" fontId="9" fillId="0" borderId="0" xfId="34" applyFont="1" applyFill="1" applyAlignment="1">
      <alignment horizontal="right"/>
    </xf>
    <xf numFmtId="0" fontId="47" fillId="0" borderId="0" xfId="0" applyFont="1" applyFill="1" applyAlignment="1">
      <alignment horizontal="left" indent="1"/>
    </xf>
    <xf numFmtId="0" fontId="9" fillId="0" borderId="0" xfId="100" applyFont="1" applyFill="1" applyAlignment="1">
      <alignment horizontal="left" indent="1"/>
    </xf>
    <xf numFmtId="0" fontId="45" fillId="0" borderId="0" xfId="0" quotePrefix="1" applyFont="1" applyFill="1" applyAlignment="1">
      <alignment horizontal="center"/>
    </xf>
    <xf numFmtId="39" fontId="9" fillId="0" borderId="0" xfId="0" applyNumberFormat="1" applyFont="1" applyFill="1" applyAlignment="1">
      <alignment horizontal="left" indent="1"/>
    </xf>
    <xf numFmtId="39" fontId="45" fillId="0" borderId="0" xfId="0" applyNumberFormat="1" applyFont="1" applyFill="1" applyAlignment="1">
      <alignment horizontal="left" indent="1"/>
    </xf>
    <xf numFmtId="168" fontId="9" fillId="0" borderId="0" xfId="96" applyNumberFormat="1" applyFont="1" applyFill="1" applyBorder="1"/>
    <xf numFmtId="164" fontId="52" fillId="0" borderId="0" xfId="0" applyNumberFormat="1" applyFont="1" applyFill="1"/>
    <xf numFmtId="0" fontId="9" fillId="0" borderId="0" xfId="0" applyFont="1" applyFill="1" applyBorder="1" applyAlignment="1">
      <alignment horizontal="left" indent="1"/>
    </xf>
    <xf numFmtId="0" fontId="52" fillId="0" borderId="0" xfId="0" applyFont="1" applyFill="1"/>
    <xf numFmtId="0" fontId="52" fillId="0" borderId="0" xfId="0" applyFont="1" applyFill="1" applyAlignment="1">
      <alignment horizontal="left" indent="1"/>
    </xf>
    <xf numFmtId="0" fontId="58" fillId="0" borderId="0" xfId="0" applyFont="1" applyFill="1"/>
    <xf numFmtId="0" fontId="9" fillId="0" borderId="0" xfId="0" quotePrefix="1" applyFont="1" applyFill="1" applyAlignment="1">
      <alignment horizontal="left" indent="1"/>
    </xf>
    <xf numFmtId="0" fontId="9" fillId="0" borderId="0" xfId="28" applyFont="1" applyFill="1" applyBorder="1"/>
    <xf numFmtId="166" fontId="12" fillId="0" borderId="0" xfId="20" applyNumberFormat="1" applyFont="1" applyFill="1" applyBorder="1" applyAlignment="1">
      <alignment horizontal="right"/>
    </xf>
    <xf numFmtId="0" fontId="9" fillId="0" borderId="0" xfId="100" applyFont="1" applyFill="1" applyBorder="1" applyAlignment="1"/>
    <xf numFmtId="0" fontId="12" fillId="0" borderId="0" xfId="28" applyFont="1" applyFill="1" applyBorder="1" applyAlignment="1">
      <alignment horizontal="right"/>
    </xf>
    <xf numFmtId="164" fontId="0" fillId="0" borderId="0" xfId="0" applyNumberFormat="1" applyFill="1" applyAlignment="1">
      <alignment horizontal="right"/>
    </xf>
    <xf numFmtId="164" fontId="10" fillId="0" borderId="0" xfId="100" applyNumberFormat="1" applyFont="1" applyFill="1"/>
    <xf numFmtId="0" fontId="9" fillId="0" borderId="0" xfId="100" applyNumberFormat="1" applyFont="1" applyFill="1" applyAlignment="1">
      <alignment horizontal="center"/>
    </xf>
    <xf numFmtId="5" fontId="9" fillId="0" borderId="0" xfId="19" applyNumberFormat="1" applyFill="1"/>
    <xf numFmtId="10" fontId="9" fillId="0" borderId="0" xfId="37" applyNumberFormat="1" applyFont="1" applyFill="1" applyAlignment="1">
      <alignment horizontal="center"/>
    </xf>
    <xf numFmtId="5" fontId="9" fillId="0" borderId="0" xfId="100" applyNumberFormat="1" applyFill="1"/>
    <xf numFmtId="0" fontId="9" fillId="0" borderId="0" xfId="100" quotePrefix="1" applyFill="1"/>
    <xf numFmtId="166" fontId="45" fillId="0" borderId="0" xfId="0" applyNumberFormat="1" applyFont="1" applyFill="1"/>
    <xf numFmtId="10" fontId="9" fillId="0" borderId="0" xfId="0" applyNumberFormat="1" applyFont="1"/>
    <xf numFmtId="167" fontId="9" fillId="36" borderId="0" xfId="28" quotePrefix="1" applyNumberFormat="1" applyFont="1" applyFill="1" applyBorder="1" applyAlignment="1">
      <alignment horizontal="center"/>
    </xf>
    <xf numFmtId="164" fontId="9" fillId="0" borderId="0" xfId="28" applyNumberFormat="1" applyFont="1" applyFill="1" applyBorder="1" applyAlignment="1">
      <alignment horizontal="center"/>
    </xf>
    <xf numFmtId="167" fontId="12" fillId="0" borderId="0" xfId="28" applyNumberFormat="1" applyFill="1" applyBorder="1" applyAlignment="1">
      <alignment horizontal="center"/>
    </xf>
    <xf numFmtId="0" fontId="13" fillId="0" borderId="0" xfId="0" quotePrefix="1" applyFont="1" applyFill="1" applyAlignment="1">
      <alignment horizontal="center" vertical="top"/>
    </xf>
    <xf numFmtId="0" fontId="10" fillId="0" borderId="7" xfId="28" applyFont="1" applyFill="1" applyBorder="1" applyAlignment="1">
      <alignment horizontal="center"/>
    </xf>
    <xf numFmtId="0" fontId="9" fillId="0" borderId="0" xfId="28" quotePrefix="1" applyFont="1" applyFill="1"/>
    <xf numFmtId="167" fontId="12" fillId="0" borderId="0" xfId="28" applyNumberFormat="1" applyFill="1" applyBorder="1" applyAlignment="1"/>
    <xf numFmtId="171" fontId="12" fillId="0" borderId="0" xfId="39" applyNumberFormat="1" applyFont="1" applyFill="1" applyBorder="1" applyAlignment="1">
      <alignment horizontal="center"/>
    </xf>
    <xf numFmtId="171" fontId="9" fillId="0" borderId="0" xfId="39" applyNumberFormat="1" applyFont="1" applyFill="1" applyBorder="1" applyAlignment="1">
      <alignment horizontal="center" wrapText="1"/>
    </xf>
    <xf numFmtId="10" fontId="0" fillId="0" borderId="0" xfId="39" applyNumberFormat="1" applyFont="1" applyFill="1" applyAlignment="1">
      <alignment horizontal="center"/>
    </xf>
    <xf numFmtId="10" fontId="12" fillId="0" borderId="0" xfId="39" applyNumberFormat="1" applyFont="1" applyFill="1" applyBorder="1" applyAlignment="1">
      <alignment horizontal="center" vertical="justify" wrapText="1"/>
    </xf>
    <xf numFmtId="10" fontId="12" fillId="0" borderId="8" xfId="39" applyNumberFormat="1" applyFont="1" applyFill="1" applyBorder="1" applyAlignment="1">
      <alignment horizontal="center" wrapText="1"/>
    </xf>
    <xf numFmtId="0" fontId="10" fillId="0" borderId="0" xfId="0" applyFont="1" applyFill="1" applyAlignment="1">
      <alignment horizontal="center" vertical="justify"/>
    </xf>
    <xf numFmtId="0" fontId="12" fillId="0" borderId="0" xfId="28" applyFill="1" applyAlignment="1">
      <alignment vertical="justify"/>
    </xf>
    <xf numFmtId="0" fontId="9" fillId="0" borderId="0" xfId="28" applyFont="1" applyFill="1" applyBorder="1" applyAlignment="1" applyProtection="1">
      <alignment horizontal="left" indent="2"/>
      <protection locked="0"/>
    </xf>
    <xf numFmtId="0" fontId="9" fillId="0" borderId="0" xfId="28" applyFont="1" applyFill="1" applyAlignment="1">
      <alignment horizontal="right"/>
    </xf>
    <xf numFmtId="0" fontId="9" fillId="0" borderId="0" xfId="28" applyFont="1" applyFill="1" applyAlignment="1">
      <alignment horizontal="left" indent="1"/>
    </xf>
    <xf numFmtId="10" fontId="12" fillId="0" borderId="0" xfId="28" applyNumberFormat="1" applyFill="1"/>
    <xf numFmtId="0" fontId="16" fillId="0" borderId="0" xfId="28" applyFont="1" applyFill="1" applyAlignment="1">
      <alignment horizontal="center"/>
    </xf>
    <xf numFmtId="0" fontId="9" fillId="0" borderId="0" xfId="28" applyFont="1" applyFill="1" applyAlignment="1">
      <alignment horizontal="left" indent="2"/>
    </xf>
    <xf numFmtId="171" fontId="12" fillId="0" borderId="0" xfId="28" applyNumberFormat="1" applyFill="1"/>
    <xf numFmtId="0" fontId="9" fillId="0" borderId="0" xfId="28" applyFont="1" applyFill="1" applyAlignment="1">
      <alignment horizontal="left" indent="3"/>
    </xf>
    <xf numFmtId="0" fontId="12" fillId="0" borderId="0" xfId="28" applyFill="1" applyAlignment="1">
      <alignment horizontal="left" indent="3"/>
    </xf>
    <xf numFmtId="0" fontId="12" fillId="0" borderId="0" xfId="28" applyFill="1" applyAlignment="1">
      <alignment horizontal="left" indent="2"/>
    </xf>
    <xf numFmtId="165" fontId="17" fillId="0" borderId="0" xfId="0" applyNumberFormat="1" applyFont="1" applyFill="1"/>
    <xf numFmtId="164" fontId="9" fillId="0" borderId="0" xfId="0" applyNumberFormat="1" applyFont="1" applyFill="1" applyAlignment="1"/>
    <xf numFmtId="164" fontId="16" fillId="36" borderId="0" xfId="100" applyNumberFormat="1" applyFont="1" applyFill="1"/>
    <xf numFmtId="0" fontId="60" fillId="0" borderId="0" xfId="0" applyFont="1" applyFill="1"/>
    <xf numFmtId="0" fontId="9" fillId="0" borderId="0" xfId="100" applyFont="1" applyFill="1" applyAlignment="1">
      <alignment horizontal="left" indent="2"/>
    </xf>
    <xf numFmtId="0" fontId="9" fillId="0" borderId="0" xfId="100" applyFont="1" applyFill="1" applyAlignment="1">
      <alignment horizontal="left"/>
    </xf>
    <xf numFmtId="37" fontId="9" fillId="36" borderId="3" xfId="0" applyNumberFormat="1" applyFont="1" applyFill="1" applyBorder="1" applyAlignment="1">
      <alignment horizontal="center"/>
    </xf>
    <xf numFmtId="0" fontId="9" fillId="0" borderId="3" xfId="0" quotePrefix="1" applyNumberFormat="1" applyFont="1" applyFill="1" applyBorder="1"/>
    <xf numFmtId="0" fontId="9" fillId="0" borderId="3" xfId="0" quotePrefix="1" applyNumberFormat="1" applyFont="1" applyFill="1" applyBorder="1" applyAlignment="1">
      <alignment horizontal="center"/>
    </xf>
    <xf numFmtId="0" fontId="12" fillId="0" borderId="4" xfId="0" applyFont="1" applyFill="1" applyBorder="1" applyAlignment="1">
      <alignment horizontal="left"/>
    </xf>
    <xf numFmtId="49" fontId="9" fillId="0" borderId="0" xfId="22" applyNumberFormat="1" applyFont="1" applyFill="1" applyBorder="1" applyAlignment="1">
      <alignment horizontal="left"/>
    </xf>
    <xf numFmtId="49" fontId="12" fillId="0" borderId="0" xfId="22" quotePrefix="1" applyNumberFormat="1" applyFont="1" applyFill="1" applyBorder="1" applyAlignment="1">
      <alignment horizontal="left"/>
    </xf>
    <xf numFmtId="49" fontId="12" fillId="0" borderId="0" xfId="22" applyNumberFormat="1" applyFont="1" applyFill="1" applyBorder="1" applyAlignment="1">
      <alignment horizontal="left"/>
    </xf>
    <xf numFmtId="49" fontId="12" fillId="0" borderId="0" xfId="0" applyNumberFormat="1" applyFont="1" applyFill="1" applyBorder="1" applyAlignment="1">
      <alignment horizontal="left"/>
    </xf>
    <xf numFmtId="39" fontId="9" fillId="0" borderId="0" xfId="22" applyNumberFormat="1" applyFont="1" applyFill="1" applyBorder="1" applyAlignment="1">
      <alignment horizontal="right"/>
    </xf>
    <xf numFmtId="0" fontId="13" fillId="0" borderId="0" xfId="108" applyFont="1" applyFill="1" applyAlignment="1">
      <alignment horizontal="center"/>
    </xf>
    <xf numFmtId="0" fontId="13" fillId="0" borderId="0" xfId="108" applyFont="1" applyFill="1" applyAlignment="1">
      <alignment horizontal="left"/>
    </xf>
    <xf numFmtId="0" fontId="43" fillId="0" borderId="0" xfId="0" applyFont="1" applyFill="1"/>
    <xf numFmtId="0" fontId="10" fillId="0" borderId="0" xfId="108" applyFont="1" applyFill="1" applyAlignment="1"/>
    <xf numFmtId="0" fontId="13" fillId="0" borderId="0" xfId="108" applyFont="1" applyFill="1" applyAlignment="1"/>
    <xf numFmtId="0" fontId="9" fillId="0" borderId="0" xfId="108" applyFont="1" applyFill="1" applyAlignment="1">
      <alignment horizontal="left" indent="1"/>
    </xf>
    <xf numFmtId="0" fontId="43" fillId="0" borderId="0" xfId="0" applyFont="1" applyFill="1" applyAlignment="1">
      <alignment horizontal="center"/>
    </xf>
    <xf numFmtId="0" fontId="10" fillId="0" borderId="0" xfId="0" applyFont="1" applyFill="1" applyAlignment="1">
      <alignment horizontal="left" indent="2"/>
    </xf>
    <xf numFmtId="175" fontId="45" fillId="0" borderId="0" xfId="0" applyNumberFormat="1" applyFont="1" applyFill="1"/>
    <xf numFmtId="0" fontId="46" fillId="0" borderId="0" xfId="0" applyFont="1" applyFill="1" applyAlignment="1">
      <alignment horizontal="left" indent="1"/>
    </xf>
    <xf numFmtId="0" fontId="46" fillId="0" borderId="0" xfId="0" applyFont="1" applyFill="1" applyAlignment="1">
      <alignment horizontal="left"/>
    </xf>
    <xf numFmtId="168" fontId="0" fillId="0" borderId="0" xfId="0" applyNumberFormat="1" applyFill="1" applyAlignment="1">
      <alignment horizontal="left" indent="1"/>
    </xf>
    <xf numFmtId="168" fontId="17" fillId="0" borderId="0" xfId="0" applyNumberFormat="1" applyFont="1" applyFill="1"/>
    <xf numFmtId="168" fontId="9" fillId="0" borderId="0" xfId="0" applyNumberFormat="1" applyFont="1" applyFill="1" applyAlignment="1">
      <alignment horizontal="left" indent="1"/>
    </xf>
    <xf numFmtId="0" fontId="9" fillId="0" borderId="0" xfId="0" applyNumberFormat="1" applyFont="1" applyFill="1" applyAlignment="1">
      <alignment horizontal="left"/>
    </xf>
    <xf numFmtId="0" fontId="9" fillId="0" borderId="0" xfId="0" applyFont="1" applyFill="1" applyBorder="1" applyAlignment="1">
      <alignment horizontal="left"/>
    </xf>
    <xf numFmtId="172" fontId="0" fillId="0" borderId="0" xfId="0" applyNumberFormat="1" applyFill="1"/>
    <xf numFmtId="171" fontId="0" fillId="0" borderId="0" xfId="0" applyNumberFormat="1" applyFill="1"/>
    <xf numFmtId="0" fontId="13" fillId="0" borderId="0" xfId="0" applyFont="1" applyFill="1" applyAlignment="1"/>
    <xf numFmtId="173" fontId="0" fillId="0" borderId="0" xfId="0" applyNumberFormat="1" applyFill="1"/>
    <xf numFmtId="0" fontId="21" fillId="0" borderId="0" xfId="28" applyFont="1" applyFill="1"/>
    <xf numFmtId="0" fontId="10" fillId="0" borderId="0" xfId="28" applyFont="1" applyFill="1" applyAlignment="1">
      <alignment horizontal="right" vertical="center"/>
    </xf>
    <xf numFmtId="0" fontId="10" fillId="0" borderId="0" xfId="28" applyFont="1" applyFill="1" applyAlignment="1">
      <alignment horizontal="right"/>
    </xf>
    <xf numFmtId="164" fontId="12" fillId="0" borderId="0" xfId="39" applyNumberFormat="1" applyFont="1" applyFill="1"/>
    <xf numFmtId="164" fontId="9" fillId="0" borderId="0" xfId="106" applyNumberFormat="1" applyFont="1" applyFill="1"/>
    <xf numFmtId="0" fontId="21" fillId="0" borderId="0" xfId="100" applyFont="1" applyFill="1"/>
    <xf numFmtId="42" fontId="12" fillId="0" borderId="0" xfId="39" applyNumberFormat="1" applyFont="1" applyFill="1"/>
    <xf numFmtId="42" fontId="12" fillId="0" borderId="0" xfId="28" applyNumberFormat="1" applyFont="1" applyFill="1"/>
    <xf numFmtId="0" fontId="10" fillId="0" borderId="0" xfId="28" applyFont="1" applyFill="1" applyAlignment="1">
      <alignment horizontal="center" wrapText="1"/>
    </xf>
    <xf numFmtId="0" fontId="13" fillId="0" borderId="0" xfId="28" applyFont="1" applyFill="1"/>
    <xf numFmtId="164" fontId="9" fillId="0" borderId="0" xfId="28" applyNumberFormat="1" applyFont="1" applyFill="1"/>
    <xf numFmtId="168" fontId="12" fillId="0" borderId="0" xfId="28" applyNumberFormat="1" applyFont="1" applyFill="1"/>
    <xf numFmtId="0" fontId="9" fillId="0" borderId="0" xfId="28" applyFont="1" applyFill="1" applyAlignment="1">
      <alignment vertical="center"/>
    </xf>
    <xf numFmtId="37" fontId="9" fillId="0" borderId="0" xfId="19" quotePrefix="1" applyNumberFormat="1" applyFont="1" applyFill="1" applyBorder="1"/>
    <xf numFmtId="37" fontId="0" fillId="0" borderId="8" xfId="19" applyNumberFormat="1" applyFont="1" applyFill="1" applyBorder="1"/>
    <xf numFmtId="0" fontId="46" fillId="36" borderId="0" xfId="0" applyFont="1" applyFill="1" applyAlignment="1">
      <alignment horizontal="center"/>
    </xf>
    <xf numFmtId="37" fontId="51" fillId="36" borderId="0" xfId="82" applyNumberFormat="1" applyFont="1" applyFill="1" applyAlignment="1">
      <alignment horizontal="right"/>
    </xf>
    <xf numFmtId="179" fontId="45" fillId="36" borderId="0" xfId="23" applyNumberFormat="1" applyFont="1" applyFill="1"/>
    <xf numFmtId="179" fontId="9" fillId="36" borderId="0" xfId="23" applyNumberFormat="1" applyFont="1" applyFill="1"/>
    <xf numFmtId="44" fontId="45" fillId="36" borderId="0" xfId="23" applyFont="1" applyFill="1"/>
    <xf numFmtId="164" fontId="9" fillId="34" borderId="0" xfId="96" applyNumberFormat="1" applyFont="1" applyFill="1" applyBorder="1" applyAlignment="1">
      <alignment horizontal="right"/>
    </xf>
    <xf numFmtId="164" fontId="9" fillId="36" borderId="0" xfId="100" applyNumberFormat="1" applyFill="1"/>
    <xf numFmtId="0" fontId="9" fillId="36" borderId="0" xfId="0" applyFont="1" applyFill="1" applyAlignment="1">
      <alignment horizontal="left" vertical="center"/>
    </xf>
    <xf numFmtId="164" fontId="9" fillId="36" borderId="0" xfId="97" applyNumberFormat="1" applyFont="1" applyFill="1" applyBorder="1"/>
    <xf numFmtId="0" fontId="9" fillId="36" borderId="0" xfId="97" applyNumberFormat="1" applyFont="1" applyFill="1" applyBorder="1" applyAlignment="1">
      <alignment horizontal="center"/>
    </xf>
    <xf numFmtId="0" fontId="9" fillId="36" borderId="0" xfId="97" applyNumberFormat="1" applyFont="1" applyFill="1" applyBorder="1" applyAlignment="1" applyProtection="1">
      <alignment horizontal="center"/>
      <protection locked="0"/>
    </xf>
    <xf numFmtId="0" fontId="25" fillId="36" borderId="0" xfId="97" applyNumberFormat="1" applyFont="1" applyFill="1" applyBorder="1" applyAlignment="1">
      <alignment horizontal="center"/>
    </xf>
    <xf numFmtId="0" fontId="9" fillId="36" borderId="0" xfId="100" applyNumberFormat="1" applyFont="1" applyFill="1"/>
    <xf numFmtId="164" fontId="25" fillId="36" borderId="0" xfId="97" applyNumberFormat="1" applyFont="1" applyFill="1" applyBorder="1"/>
    <xf numFmtId="164" fontId="9" fillId="36" borderId="0" xfId="100" applyNumberFormat="1" applyFont="1" applyFill="1" applyBorder="1" applyAlignment="1">
      <alignment vertical="top" wrapText="1"/>
    </xf>
    <xf numFmtId="164" fontId="9" fillId="36" borderId="0" xfId="100" applyNumberFormat="1" applyFill="1" applyBorder="1" applyAlignment="1">
      <alignment vertical="top" wrapText="1"/>
    </xf>
    <xf numFmtId="164" fontId="16" fillId="34" borderId="0" xfId="0" applyNumberFormat="1" applyFont="1" applyFill="1" applyAlignment="1"/>
    <xf numFmtId="37" fontId="9" fillId="36" borderId="3" xfId="97" quotePrefix="1" applyNumberFormat="1" applyFont="1" applyFill="1" applyBorder="1" applyAlignment="1">
      <alignment horizontal="center"/>
    </xf>
    <xf numFmtId="37" fontId="9" fillId="36" borderId="4" xfId="97" quotePrefix="1" applyNumberFormat="1" applyFont="1" applyFill="1" applyBorder="1" applyAlignment="1">
      <alignment horizontal="center"/>
    </xf>
    <xf numFmtId="37" fontId="10" fillId="36" borderId="3" xfId="97" quotePrefix="1" applyNumberFormat="1" applyFont="1" applyFill="1" applyBorder="1" applyAlignment="1">
      <alignment horizontal="center"/>
    </xf>
    <xf numFmtId="37" fontId="10" fillId="36" borderId="5" xfId="97" quotePrefix="1" applyNumberFormat="1" applyFont="1" applyFill="1" applyBorder="1" applyAlignment="1">
      <alignment horizontal="center"/>
    </xf>
    <xf numFmtId="39" fontId="9" fillId="36" borderId="3" xfId="97" quotePrefix="1" applyNumberFormat="1" applyFont="1" applyFill="1" applyBorder="1" applyAlignment="1">
      <alignment horizontal="center"/>
    </xf>
    <xf numFmtId="37" fontId="9" fillId="36" borderId="3" xfId="97" applyNumberFormat="1" applyFont="1" applyFill="1" applyBorder="1" applyAlignment="1">
      <alignment horizontal="center"/>
    </xf>
    <xf numFmtId="0" fontId="9" fillId="36" borderId="3" xfId="0" quotePrefix="1" applyNumberFormat="1" applyFont="1" applyFill="1" applyBorder="1" applyAlignment="1">
      <alignment horizontal="center"/>
    </xf>
    <xf numFmtId="0" fontId="9" fillId="36" borderId="3" xfId="0" quotePrefix="1" applyNumberFormat="1" applyFont="1" applyFill="1" applyBorder="1" applyAlignment="1">
      <alignment horizontal="left"/>
    </xf>
    <xf numFmtId="0" fontId="9" fillId="36" borderId="3" xfId="0" applyNumberFormat="1" applyFont="1" applyFill="1" applyBorder="1"/>
    <xf numFmtId="37" fontId="10" fillId="36" borderId="3" xfId="97" applyNumberFormat="1" applyFont="1" applyFill="1" applyBorder="1" applyAlignment="1">
      <alignment horizontal="center"/>
    </xf>
    <xf numFmtId="164" fontId="9" fillId="36" borderId="0" xfId="23" applyNumberFormat="1" applyFont="1" applyFill="1" applyAlignment="1">
      <alignment horizontal="right"/>
    </xf>
    <xf numFmtId="164" fontId="9" fillId="0" borderId="0" xfId="23" applyNumberFormat="1" applyFont="1" applyFill="1" applyAlignment="1">
      <alignment horizontal="right"/>
    </xf>
    <xf numFmtId="164" fontId="1" fillId="36" borderId="0" xfId="23" applyNumberFormat="1" applyFont="1" applyFill="1" applyAlignment="1">
      <alignment horizontal="right"/>
    </xf>
    <xf numFmtId="164" fontId="0" fillId="36" borderId="0" xfId="0" applyNumberFormat="1" applyFont="1" applyFill="1" applyAlignment="1">
      <alignment horizontal="right"/>
    </xf>
    <xf numFmtId="164" fontId="9" fillId="36" borderId="0" xfId="100" applyNumberFormat="1" applyFont="1" applyFill="1" applyBorder="1" applyAlignment="1">
      <alignment horizontal="right" vertical="center" wrapText="1"/>
    </xf>
    <xf numFmtId="164" fontId="16" fillId="36" borderId="0" xfId="100" applyNumberFormat="1" applyFont="1" applyFill="1" applyBorder="1" applyAlignment="1">
      <alignment horizontal="right" vertical="center" wrapText="1"/>
    </xf>
    <xf numFmtId="164" fontId="9" fillId="36" borderId="0" xfId="96" applyNumberFormat="1" applyFont="1" applyFill="1"/>
    <xf numFmtId="164" fontId="25" fillId="36" borderId="0" xfId="96" applyNumberFormat="1" applyFont="1" applyFill="1"/>
    <xf numFmtId="164" fontId="25" fillId="36" borderId="0" xfId="100" applyNumberFormat="1" applyFont="1" applyFill="1"/>
    <xf numFmtId="10" fontId="12" fillId="0" borderId="0" xfId="0" applyNumberFormat="1" applyFont="1" applyFill="1"/>
    <xf numFmtId="10" fontId="9" fillId="36" borderId="0" xfId="0" quotePrefix="1" applyNumberFormat="1" applyFont="1" applyFill="1" applyAlignment="1">
      <alignment horizontal="right"/>
    </xf>
    <xf numFmtId="164" fontId="9" fillId="0" borderId="8" xfId="96" applyNumberFormat="1" applyFont="1" applyFill="1" applyBorder="1"/>
    <xf numFmtId="0" fontId="42" fillId="0" borderId="0" xfId="0" applyFont="1" applyAlignment="1">
      <alignment horizontal="center"/>
    </xf>
    <xf numFmtId="0" fontId="10" fillId="0" borderId="0" xfId="0" applyFont="1" applyAlignment="1">
      <alignment horizontal="center"/>
    </xf>
    <xf numFmtId="0" fontId="64" fillId="0" borderId="0" xfId="0" applyFont="1" applyAlignment="1">
      <alignment horizontal="center"/>
    </xf>
    <xf numFmtId="0" fontId="9" fillId="36" borderId="0" xfId="0" applyNumberFormat="1" applyFont="1" applyFill="1" applyAlignment="1">
      <alignment horizontal="center"/>
    </xf>
    <xf numFmtId="0" fontId="10" fillId="0" borderId="6" xfId="28" applyFont="1" applyBorder="1" applyAlignment="1">
      <alignment horizontal="center"/>
    </xf>
    <xf numFmtId="0" fontId="10" fillId="0" borderId="9" xfId="28" applyFont="1" applyBorder="1" applyAlignment="1">
      <alignment horizontal="center"/>
    </xf>
    <xf numFmtId="0" fontId="10" fillId="0" borderId="4" xfId="28" applyFont="1" applyBorder="1" applyAlignment="1">
      <alignment horizontal="center"/>
    </xf>
    <xf numFmtId="0" fontId="10" fillId="0" borderId="7" xfId="28" applyFont="1" applyBorder="1" applyAlignment="1">
      <alignment horizontal="center"/>
    </xf>
    <xf numFmtId="0" fontId="10" fillId="0" borderId="5" xfId="28" applyFont="1" applyBorder="1" applyAlignment="1">
      <alignment horizontal="center"/>
    </xf>
    <xf numFmtId="0" fontId="10" fillId="0" borderId="3" xfId="28" applyFont="1" applyFill="1" applyBorder="1" applyAlignment="1">
      <alignment horizontal="center"/>
    </xf>
    <xf numFmtId="0" fontId="10" fillId="0" borderId="6" xfId="28" applyFont="1" applyFill="1" applyBorder="1" applyAlignment="1">
      <alignment horizontal="center"/>
    </xf>
    <xf numFmtId="0" fontId="10" fillId="0" borderId="9" xfId="28" applyFont="1" applyFill="1" applyBorder="1" applyAlignment="1">
      <alignment horizontal="center"/>
    </xf>
    <xf numFmtId="0" fontId="10" fillId="0" borderId="4" xfId="28" applyFont="1" applyFill="1" applyBorder="1" applyAlignment="1">
      <alignment horizontal="center"/>
    </xf>
    <xf numFmtId="0" fontId="10" fillId="0" borderId="3" xfId="28" applyFont="1" applyBorder="1" applyAlignment="1"/>
    <xf numFmtId="0" fontId="9" fillId="0" borderId="0" xfId="0" applyFont="1" applyFill="1" applyBorder="1" applyAlignment="1">
      <alignment vertical="top" wrapText="1"/>
    </xf>
    <xf numFmtId="0" fontId="0" fillId="0" borderId="0" xfId="0" applyFill="1" applyAlignment="1">
      <alignment vertical="top" wrapText="1"/>
    </xf>
    <xf numFmtId="0" fontId="0" fillId="0" borderId="0" xfId="0" applyFill="1" applyAlignment="1">
      <alignment wrapText="1"/>
    </xf>
    <xf numFmtId="0" fontId="10" fillId="0" borderId="6" xfId="0" applyNumberFormat="1" applyFont="1" applyFill="1" applyBorder="1" applyAlignment="1"/>
    <xf numFmtId="0" fontId="0" fillId="0" borderId="9" xfId="0" applyBorder="1" applyAlignment="1"/>
    <xf numFmtId="0" fontId="0" fillId="0" borderId="4" xfId="0" applyBorder="1" applyAlignment="1"/>
    <xf numFmtId="0" fontId="12" fillId="0" borderId="0" xfId="0" applyFont="1" applyFill="1" applyBorder="1" applyAlignment="1">
      <alignment vertical="top" wrapText="1"/>
    </xf>
    <xf numFmtId="0" fontId="0" fillId="0" borderId="0" xfId="0" applyAlignment="1">
      <alignment vertical="top" wrapText="1"/>
    </xf>
    <xf numFmtId="0" fontId="0" fillId="0" borderId="0" xfId="0" applyAlignment="1"/>
    <xf numFmtId="0" fontId="0" fillId="0" borderId="0" xfId="0" applyFill="1" applyAlignment="1"/>
    <xf numFmtId="0" fontId="10" fillId="0" borderId="10" xfId="0" applyNumberFormat="1" applyFont="1" applyFill="1" applyBorder="1" applyAlignment="1">
      <alignment wrapText="1"/>
    </xf>
    <xf numFmtId="0" fontId="0" fillId="0" borderId="8" xfId="0" applyBorder="1" applyAlignment="1">
      <alignment wrapText="1"/>
    </xf>
    <xf numFmtId="0" fontId="0" fillId="0" borderId="11" xfId="0" applyBorder="1" applyAlignment="1">
      <alignment wrapText="1"/>
    </xf>
    <xf numFmtId="0" fontId="10" fillId="0" borderId="6" xfId="0" applyFont="1" applyFill="1" applyBorder="1" applyAlignment="1"/>
    <xf numFmtId="0" fontId="12" fillId="0" borderId="6" xfId="0" applyFont="1" applyFill="1" applyBorder="1" applyAlignment="1">
      <alignment horizontal="left"/>
    </xf>
    <xf numFmtId="0" fontId="12" fillId="0" borderId="4" xfId="0" applyFont="1" applyBorder="1" applyAlignment="1">
      <alignment horizontal="left"/>
    </xf>
    <xf numFmtId="0" fontId="9" fillId="0" borderId="0" xfId="0" applyFont="1" applyFill="1" applyBorder="1" applyAlignment="1">
      <alignment wrapText="1"/>
    </xf>
    <xf numFmtId="0" fontId="0" fillId="0" borderId="0" xfId="0" applyAlignment="1">
      <alignment wrapText="1"/>
    </xf>
    <xf numFmtId="0" fontId="10" fillId="0" borderId="3" xfId="0" applyFont="1" applyFill="1" applyBorder="1" applyAlignment="1">
      <alignment wrapText="1"/>
    </xf>
    <xf numFmtId="0" fontId="0" fillId="0" borderId="3" xfId="0" applyBorder="1" applyAlignment="1">
      <alignment wrapText="1"/>
    </xf>
    <xf numFmtId="0" fontId="0" fillId="0" borderId="9" xfId="0" applyFill="1" applyBorder="1" applyAlignment="1"/>
    <xf numFmtId="0" fontId="0" fillId="0" borderId="4" xfId="0" applyFill="1" applyBorder="1" applyAlignment="1"/>
    <xf numFmtId="39" fontId="12" fillId="0" borderId="6" xfId="22" applyNumberFormat="1" applyFont="1" applyBorder="1" applyAlignment="1">
      <alignment horizontal="center"/>
    </xf>
    <xf numFmtId="0" fontId="0" fillId="0" borderId="9" xfId="0" applyBorder="1"/>
    <xf numFmtId="0" fontId="0" fillId="0" borderId="4" xfId="0" applyBorder="1"/>
    <xf numFmtId="0" fontId="10" fillId="0" borderId="6" xfId="0" applyNumberFormat="1" applyFont="1" applyFill="1" applyBorder="1" applyAlignment="1">
      <alignment wrapText="1"/>
    </xf>
    <xf numFmtId="0" fontId="0" fillId="0" borderId="9" xfId="0" applyBorder="1" applyAlignment="1">
      <alignment wrapText="1"/>
    </xf>
    <xf numFmtId="0" fontId="0" fillId="0" borderId="4" xfId="0" applyBorder="1" applyAlignment="1">
      <alignment wrapText="1"/>
    </xf>
    <xf numFmtId="0" fontId="10" fillId="0" borderId="3" xfId="0" applyNumberFormat="1" applyFont="1" applyFill="1" applyBorder="1" applyAlignment="1">
      <alignment wrapText="1"/>
    </xf>
    <xf numFmtId="0" fontId="12" fillId="0" borderId="0" xfId="0" applyFont="1" applyAlignment="1">
      <alignment horizontal="left" wrapText="1"/>
    </xf>
    <xf numFmtId="0" fontId="52" fillId="0" borderId="0" xfId="0" applyFont="1" applyAlignment="1">
      <alignment horizontal="left" wrapText="1"/>
    </xf>
    <xf numFmtId="0" fontId="10" fillId="0" borderId="13" xfId="0" quotePrefix="1" applyFont="1" applyBorder="1" applyAlignment="1">
      <alignment horizontal="center"/>
    </xf>
    <xf numFmtId="0" fontId="10" fillId="0" borderId="14" xfId="0" quotePrefix="1" applyFont="1" applyBorder="1" applyAlignment="1">
      <alignment horizontal="center"/>
    </xf>
    <xf numFmtId="0" fontId="10" fillId="0" borderId="3" xfId="0" quotePrefix="1" applyFont="1" applyFill="1" applyBorder="1" applyAlignment="1">
      <alignment horizontal="center"/>
    </xf>
    <xf numFmtId="0" fontId="9" fillId="0" borderId="0" xfId="80" applyAlignment="1">
      <alignment horizontal="center" wrapText="1"/>
    </xf>
    <xf numFmtId="0" fontId="9" fillId="0" borderId="6" xfId="0" applyFont="1" applyBorder="1" applyAlignment="1">
      <alignment horizontal="center"/>
    </xf>
    <xf numFmtId="0" fontId="9" fillId="0" borderId="4" xfId="0" applyFont="1" applyBorder="1" applyAlignment="1">
      <alignment horizontal="center"/>
    </xf>
    <xf numFmtId="0" fontId="10" fillId="0" borderId="3" xfId="0" applyFont="1" applyFill="1" applyBorder="1" applyAlignment="1">
      <alignment horizontal="center" wrapText="1"/>
    </xf>
    <xf numFmtId="0" fontId="10" fillId="0" borderId="3" xfId="0" applyFont="1" applyBorder="1" applyAlignment="1">
      <alignment horizontal="center" wrapText="1"/>
    </xf>
    <xf numFmtId="0" fontId="9" fillId="0" borderId="6" xfId="0" applyFont="1" applyFill="1" applyBorder="1" applyAlignment="1">
      <alignment horizontal="center"/>
    </xf>
    <xf numFmtId="0" fontId="9" fillId="0" borderId="9" xfId="0" applyFont="1" applyFill="1" applyBorder="1" applyAlignment="1">
      <alignment horizontal="center"/>
    </xf>
    <xf numFmtId="0" fontId="9" fillId="0" borderId="4" xfId="0" applyFont="1" applyFill="1" applyBorder="1" applyAlignment="1">
      <alignment horizontal="center"/>
    </xf>
    <xf numFmtId="0" fontId="10" fillId="0" borderId="3" xfId="0" applyFont="1" applyFill="1" applyBorder="1" applyAlignment="1">
      <alignment horizontal="center"/>
    </xf>
    <xf numFmtId="0" fontId="10" fillId="0" borderId="7" xfId="0" applyFont="1" applyBorder="1" applyAlignment="1">
      <alignment horizontal="center" wrapText="1"/>
    </xf>
    <xf numFmtId="0" fontId="10" fillId="0" borderId="12" xfId="0" applyFont="1" applyBorder="1" applyAlignment="1">
      <alignment horizontal="center" wrapText="1"/>
    </xf>
    <xf numFmtId="0" fontId="10" fillId="0" borderId="5" xfId="0" applyFont="1" applyBorder="1" applyAlignment="1">
      <alignment horizontal="center" wrapText="1"/>
    </xf>
    <xf numFmtId="0" fontId="10" fillId="0" borderId="6" xfId="0" applyFont="1" applyBorder="1" applyAlignment="1">
      <alignment horizontal="center"/>
    </xf>
    <xf numFmtId="0" fontId="10" fillId="0" borderId="9" xfId="0" applyFont="1" applyBorder="1" applyAlignment="1">
      <alignment horizontal="center"/>
    </xf>
    <xf numFmtId="0" fontId="10" fillId="0" borderId="4" xfId="0" applyFont="1" applyBorder="1" applyAlignment="1">
      <alignment horizontal="center"/>
    </xf>
    <xf numFmtId="0" fontId="10" fillId="0" borderId="7" xfId="0" applyFont="1" applyFill="1" applyBorder="1" applyAlignment="1">
      <alignment horizontal="center" wrapText="1"/>
    </xf>
    <xf numFmtId="0" fontId="10" fillId="0" borderId="12" xfId="0" applyFont="1" applyFill="1" applyBorder="1" applyAlignment="1">
      <alignment horizontal="center" wrapText="1"/>
    </xf>
    <xf numFmtId="0" fontId="10" fillId="0" borderId="5" xfId="0" applyFont="1" applyFill="1" applyBorder="1" applyAlignment="1">
      <alignment horizontal="center" wrapText="1"/>
    </xf>
    <xf numFmtId="180" fontId="10" fillId="0" borderId="7" xfId="35" applyNumberFormat="1" applyFont="1" applyFill="1" applyBorder="1" applyAlignment="1">
      <alignment horizontal="center" wrapText="1"/>
    </xf>
    <xf numFmtId="180" fontId="10" fillId="0" borderId="12" xfId="35" applyNumberFormat="1" applyFont="1" applyFill="1" applyBorder="1" applyAlignment="1">
      <alignment horizontal="center" wrapText="1"/>
    </xf>
    <xf numFmtId="180" fontId="10" fillId="0" borderId="5" xfId="35" applyNumberFormat="1" applyFont="1" applyFill="1" applyBorder="1" applyAlignment="1">
      <alignment horizontal="center" wrapText="1"/>
    </xf>
    <xf numFmtId="180" fontId="10" fillId="0" borderId="7" xfId="35" applyNumberFormat="1" applyFont="1" applyFill="1" applyBorder="1" applyAlignment="1">
      <alignment horizontal="center"/>
    </xf>
    <xf numFmtId="180" fontId="10" fillId="0" borderId="12" xfId="35" applyNumberFormat="1" applyFont="1" applyFill="1" applyBorder="1" applyAlignment="1">
      <alignment horizontal="center"/>
    </xf>
    <xf numFmtId="180" fontId="10" fillId="0" borderId="5" xfId="35" applyNumberFormat="1" applyFont="1" applyFill="1" applyBorder="1" applyAlignment="1">
      <alignment horizontal="center"/>
    </xf>
    <xf numFmtId="0" fontId="9" fillId="0" borderId="0" xfId="0" quotePrefix="1" applyFont="1" applyAlignment="1">
      <alignment horizontal="center" vertical="top" wrapText="1"/>
    </xf>
    <xf numFmtId="0" fontId="9" fillId="0" borderId="0" xfId="0" quotePrefix="1" applyFont="1" applyFill="1" applyAlignment="1">
      <alignment horizontal="center" vertical="top" wrapText="1"/>
    </xf>
    <xf numFmtId="0" fontId="9" fillId="0" borderId="8" xfId="0" quotePrefix="1" applyFont="1" applyBorder="1" applyAlignment="1">
      <alignment horizontal="center" vertical="top" wrapText="1"/>
    </xf>
    <xf numFmtId="0" fontId="9" fillId="0" borderId="0" xfId="0" applyFont="1" applyAlignment="1">
      <alignment horizontal="center" wrapText="1"/>
    </xf>
    <xf numFmtId="0" fontId="9" fillId="0" borderId="8" xfId="0" applyFont="1" applyBorder="1" applyAlignment="1">
      <alignment horizontal="center" wrapText="1"/>
    </xf>
    <xf numFmtId="0" fontId="9" fillId="0" borderId="13" xfId="0" applyFont="1" applyBorder="1" applyAlignment="1">
      <alignment horizontal="center"/>
    </xf>
    <xf numFmtId="0" fontId="9" fillId="0" borderId="15" xfId="0" applyFont="1" applyBorder="1" applyAlignment="1">
      <alignment horizontal="center"/>
    </xf>
    <xf numFmtId="0" fontId="9" fillId="0" borderId="14" xfId="0" applyFont="1" applyBorder="1" applyAlignment="1">
      <alignment horizontal="center"/>
    </xf>
    <xf numFmtId="0" fontId="10" fillId="0" borderId="6" xfId="0" applyFont="1" applyFill="1" applyBorder="1" applyAlignment="1">
      <alignment horizontal="center" wrapText="1"/>
    </xf>
    <xf numFmtId="0" fontId="10" fillId="34" borderId="5" xfId="0" applyFont="1" applyFill="1" applyBorder="1" applyAlignment="1">
      <alignment horizontal="center" wrapText="1"/>
    </xf>
    <xf numFmtId="0" fontId="10" fillId="34" borderId="3" xfId="0" applyFont="1" applyFill="1" applyBorder="1" applyAlignment="1">
      <alignment horizontal="center" wrapText="1"/>
    </xf>
    <xf numFmtId="0" fontId="10" fillId="34" borderId="10" xfId="0" applyFont="1" applyFill="1" applyBorder="1" applyAlignment="1">
      <alignment horizontal="center" wrapText="1"/>
    </xf>
    <xf numFmtId="0" fontId="10" fillId="34" borderId="6" xfId="0" applyFont="1" applyFill="1" applyBorder="1" applyAlignment="1">
      <alignment horizontal="center" wrapText="1"/>
    </xf>
    <xf numFmtId="0" fontId="10" fillId="34" borderId="4" xfId="0" applyFont="1" applyFill="1" applyBorder="1" applyAlignment="1">
      <alignment horizontal="center" wrapText="1"/>
    </xf>
    <xf numFmtId="0" fontId="9" fillId="0" borderId="0" xfId="0" quotePrefix="1" applyFont="1" applyBorder="1" applyAlignment="1">
      <alignment horizontal="center" wrapText="1"/>
    </xf>
    <xf numFmtId="0" fontId="9" fillId="0" borderId="8" xfId="0" quotePrefix="1" applyFont="1" applyBorder="1" applyAlignment="1">
      <alignment horizontal="center" wrapText="1"/>
    </xf>
    <xf numFmtId="0" fontId="10" fillId="0" borderId="3" xfId="0" quotePrefix="1" applyFont="1" applyBorder="1" applyAlignment="1">
      <alignment horizontal="center" wrapText="1"/>
    </xf>
    <xf numFmtId="0" fontId="9" fillId="34" borderId="5" xfId="80" applyFont="1" applyFill="1" applyBorder="1" applyAlignment="1">
      <alignment horizontal="center" wrapText="1"/>
    </xf>
    <xf numFmtId="0" fontId="9" fillId="34" borderId="3" xfId="80" applyFont="1" applyFill="1" applyBorder="1" applyAlignment="1">
      <alignment horizontal="center" wrapText="1"/>
    </xf>
    <xf numFmtId="0" fontId="9" fillId="34" borderId="4" xfId="80" applyFont="1" applyFill="1" applyBorder="1" applyAlignment="1">
      <alignment horizontal="center" wrapText="1"/>
    </xf>
    <xf numFmtId="0" fontId="9" fillId="0" borderId="3" xfId="0" applyFont="1" applyBorder="1" applyAlignment="1">
      <alignment horizontal="center"/>
    </xf>
    <xf numFmtId="0" fontId="9" fillId="0" borderId="3" xfId="0" applyFont="1" applyBorder="1" applyAlignment="1">
      <alignment horizontal="center" wrapText="1"/>
    </xf>
    <xf numFmtId="10" fontId="20" fillId="0" borderId="0" xfId="80" applyNumberFormat="1" applyFont="1" applyFill="1" applyAlignment="1">
      <alignment horizontal="right" vertical="center"/>
    </xf>
    <xf numFmtId="164" fontId="20" fillId="0" borderId="0" xfId="23" applyNumberFormat="1" applyFont="1" applyFill="1" applyAlignment="1">
      <alignment horizontal="right" vertical="center"/>
    </xf>
    <xf numFmtId="3" fontId="20" fillId="0" borderId="0" xfId="23" applyNumberFormat="1" applyFont="1" applyFill="1" applyAlignment="1">
      <alignment horizontal="right" vertical="center"/>
    </xf>
    <xf numFmtId="0" fontId="10" fillId="34" borderId="7" xfId="0" applyFont="1" applyFill="1" applyBorder="1" applyAlignment="1">
      <alignment horizontal="center" wrapText="1"/>
    </xf>
    <xf numFmtId="0" fontId="10" fillId="34" borderId="12" xfId="0" applyFont="1" applyFill="1" applyBorder="1" applyAlignment="1">
      <alignment horizontal="center" wrapText="1"/>
    </xf>
  </cellXfs>
  <cellStyles count="125">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xfId="19" builtinId="3"/>
    <cellStyle name="Comma 2" xfId="20"/>
    <cellStyle name="Comma 2 2" xfId="21"/>
    <cellStyle name="Comma 2 2 2" xfId="96"/>
    <cellStyle name="Comma 2 3" xfId="95"/>
    <cellStyle name="Comma 2 4" xfId="83"/>
    <cellStyle name="Comma 3" xfId="22"/>
    <cellStyle name="Comma 3 2" xfId="97"/>
    <cellStyle name="Comma 4" xfId="94"/>
    <cellStyle name="Currency" xfId="23" builtinId="4"/>
    <cellStyle name="Currency 2" xfId="98"/>
    <cellStyle name="Emphasis 1" xfId="24"/>
    <cellStyle name="Emphasis 2" xfId="25"/>
    <cellStyle name="Emphasis 3" xfId="26"/>
    <cellStyle name="Hyperlink" xfId="27" builtinId="8"/>
    <cellStyle name="Normal" xfId="0" builtinId="0"/>
    <cellStyle name="Normal 2" xfId="28"/>
    <cellStyle name="Normal 2 2" xfId="29"/>
    <cellStyle name="Normal 2 2 2" xfId="100"/>
    <cellStyle name="Normal 2 3" xfId="30"/>
    <cellStyle name="Normal 2 3 2" xfId="101"/>
    <cellStyle name="Normal 2 4" xfId="31"/>
    <cellStyle name="Normal 2 4 2" xfId="102"/>
    <cellStyle name="Normal 2 5" xfId="99"/>
    <cellStyle name="Normal 2 6" xfId="82"/>
    <cellStyle name="Normal 2 6 2" xfId="110"/>
    <cellStyle name="Normal 2 6 2 2" xfId="116"/>
    <cellStyle name="Normal 2 6 2 3" xfId="120"/>
    <cellStyle name="Normal 2 6 2 4" xfId="124"/>
    <cellStyle name="Normal 2 6 3" xfId="111"/>
    <cellStyle name="Normal 2 6 4" xfId="114"/>
    <cellStyle name="Normal 2 6 5" xfId="118"/>
    <cellStyle name="Normal 2 6 6" xfId="122"/>
    <cellStyle name="Normal 3" xfId="80"/>
    <cellStyle name="Normal 3 2" xfId="32"/>
    <cellStyle name="Normal 3 2 2" xfId="103"/>
    <cellStyle name="Normal 4" xfId="33"/>
    <cellStyle name="Normal 4 2" xfId="104"/>
    <cellStyle name="Normal 5" xfId="93"/>
    <cellStyle name="Normal 5 2" xfId="107"/>
    <cellStyle name="Normal 6" xfId="81"/>
    <cellStyle name="Normal 6 2" xfId="109"/>
    <cellStyle name="Normal 6 2 2" xfId="115"/>
    <cellStyle name="Normal 6 2 3" xfId="119"/>
    <cellStyle name="Normal 6 2 4" xfId="123"/>
    <cellStyle name="Normal 6 3" xfId="112"/>
    <cellStyle name="Normal 6 4" xfId="113"/>
    <cellStyle name="Normal 6 5" xfId="117"/>
    <cellStyle name="Normal 6 6" xfId="121"/>
    <cellStyle name="Normal 7" xfId="108"/>
    <cellStyle name="Normal_2008 ISO Transmission Study test v1" xfId="34"/>
    <cellStyle name="Normal_Rate-Design" xfId="35"/>
    <cellStyle name="Normal_Statement AD Period I 2004" xfId="36"/>
    <cellStyle name="Percent" xfId="37" builtinId="5"/>
    <cellStyle name="Percent 2" xfId="38"/>
    <cellStyle name="Percent 3" xfId="39"/>
    <cellStyle name="Percent 3 2" xfId="106"/>
    <cellStyle name="Percent 4" xfId="105"/>
    <cellStyle name="SAPBEXaggData" xfId="40"/>
    <cellStyle name="SAPBEXaggDataEmph" xfId="41"/>
    <cellStyle name="SAPBEXaggItem" xfId="42"/>
    <cellStyle name="SAPBEXaggItemX" xfId="43"/>
    <cellStyle name="SAPBEXchaText" xfId="44"/>
    <cellStyle name="SAPBEXexcBad7" xfId="45"/>
    <cellStyle name="SAPBEXexcBad8" xfId="46"/>
    <cellStyle name="SAPBEXexcBad9" xfId="47"/>
    <cellStyle name="SAPBEXexcCritical4" xfId="48"/>
    <cellStyle name="SAPBEXexcCritical5" xfId="49"/>
    <cellStyle name="SAPBEXexcCritical6" xfId="50"/>
    <cellStyle name="SAPBEXexcGood1" xfId="51"/>
    <cellStyle name="SAPBEXexcGood2" xfId="52"/>
    <cellStyle name="SAPBEXexcGood3" xfId="53"/>
    <cellStyle name="SAPBEXfilterDrill" xfId="54"/>
    <cellStyle name="SAPBEXfilterItem" xfId="55"/>
    <cellStyle name="SAPBEXfilterText" xfId="56"/>
    <cellStyle name="SAPBEXformats" xfId="57"/>
    <cellStyle name="SAPBEXheaderItem" xfId="58"/>
    <cellStyle name="SAPBEXheaderText" xfId="59"/>
    <cellStyle name="SAPBEXHLevel0" xfId="60"/>
    <cellStyle name="SAPBEXHLevel0 2" xfId="84"/>
    <cellStyle name="SAPBEXHLevel0X" xfId="61"/>
    <cellStyle name="SAPBEXHLevel0X 2" xfId="85"/>
    <cellStyle name="SAPBEXHLevel1" xfId="62"/>
    <cellStyle name="SAPBEXHLevel1 2" xfId="86"/>
    <cellStyle name="SAPBEXHLevel1X" xfId="63"/>
    <cellStyle name="SAPBEXHLevel1X 2" xfId="87"/>
    <cellStyle name="SAPBEXHLevel2" xfId="64"/>
    <cellStyle name="SAPBEXHLevel2 2" xfId="88"/>
    <cellStyle name="SAPBEXHLevel2X" xfId="65"/>
    <cellStyle name="SAPBEXHLevel2X 2" xfId="89"/>
    <cellStyle name="SAPBEXHLevel3" xfId="66"/>
    <cellStyle name="SAPBEXHLevel3 2" xfId="90"/>
    <cellStyle name="SAPBEXHLevel3X" xfId="67"/>
    <cellStyle name="SAPBEXHLevel3X 2" xfId="91"/>
    <cellStyle name="SAPBEXinputData" xfId="68"/>
    <cellStyle name="SAPBEXinputData 2" xfId="92"/>
    <cellStyle name="SAPBEXresData" xfId="69"/>
    <cellStyle name="SAPBEXresDataEmph" xfId="70"/>
    <cellStyle name="SAPBEXresItem" xfId="71"/>
    <cellStyle name="SAPBEXresItemX" xfId="72"/>
    <cellStyle name="SAPBEXstdData" xfId="73"/>
    <cellStyle name="SAPBEXstdDataEmph" xfId="74"/>
    <cellStyle name="SAPBEXstdItem" xfId="75"/>
    <cellStyle name="SAPBEXstdItemX" xfId="76"/>
    <cellStyle name="SAPBEXtitle" xfId="77"/>
    <cellStyle name="SAPBEXundefined" xfId="78"/>
    <cellStyle name="Sheet Title" xfId="79"/>
  </cellStyles>
  <dxfs count="21">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ill>
        <patternFill>
          <bgColor indexed="42"/>
        </patternFill>
      </fill>
    </dxf>
    <dxf>
      <font>
        <condense val="0"/>
        <extend val="0"/>
        <color auto="1"/>
      </font>
    </dxf>
    <dxf>
      <fill>
        <patternFill>
          <bgColor indexed="42"/>
        </patternFill>
      </fill>
    </dxf>
    <dxf>
      <fill>
        <patternFill>
          <bgColor indexed="42"/>
        </patternFill>
      </fill>
    </dxf>
    <dxf>
      <font>
        <condense val="0"/>
        <extend val="0"/>
        <color auto="1"/>
      </font>
    </dxf>
    <dxf>
      <fill>
        <patternFill>
          <bgColor indexed="42"/>
        </patternFill>
      </fill>
    </dxf>
    <dxf>
      <font>
        <condense val="0"/>
        <extend val="0"/>
        <color auto="1"/>
      </font>
    </dxf>
    <dxf>
      <fill>
        <patternFill>
          <bgColor indexed="42"/>
        </patternFill>
      </fill>
    </dxf>
    <dxf>
      <fill>
        <patternFill>
          <bgColor indexed="42"/>
        </patternFill>
      </fill>
    </dxf>
    <dxf>
      <font>
        <condense val="0"/>
        <extend val="0"/>
        <color auto="1"/>
      </font>
    </dxf>
    <dxf>
      <font>
        <condense val="0"/>
        <extend val="0"/>
        <color auto="1"/>
      </font>
    </dxf>
    <dxf>
      <fill>
        <patternFill>
          <bgColor indexed="42"/>
        </patternFill>
      </fill>
    </dxf>
    <dxf>
      <fill>
        <patternFill>
          <bgColor indexed="42"/>
        </patternFill>
      </fill>
    </dxf>
    <dxf>
      <font>
        <condense val="0"/>
        <extend val="0"/>
        <color auto="1"/>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1/hansenbj/LOCALS~1/Temp/notes3D68E7/Depreciation%20Rate%20Mid%20Year%20Cha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ludedItems"/>
      <sheetName val="6-PlantInService"/>
      <sheetName val="7-PlantStudy"/>
      <sheetName val="8-AccDep"/>
      <sheetName val="17-Depreciation"/>
      <sheetName val="18-DepRates"/>
    </sheetNames>
    <sheetDataSet>
      <sheetData sheetId="0" refreshError="1"/>
      <sheetData sheetId="1" refreshError="1">
        <row r="11">
          <cell r="C11">
            <v>79059603.74731046</v>
          </cell>
        </row>
        <row r="35">
          <cell r="A35">
            <v>15</v>
          </cell>
        </row>
        <row r="36">
          <cell r="A36">
            <v>16</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38"/>
  <sheetViews>
    <sheetView tabSelected="1" zoomScaleNormal="100" workbookViewId="0">
      <selection activeCell="N25" sqref="N25"/>
    </sheetView>
  </sheetViews>
  <sheetFormatPr defaultRowHeight="12.75" x14ac:dyDescent="0.2"/>
  <sheetData>
    <row r="2" spans="1:15" ht="20.25" x14ac:dyDescent="0.3">
      <c r="A2" s="1192" t="s">
        <v>3212</v>
      </c>
      <c r="B2" s="1192"/>
      <c r="C2" s="1192"/>
      <c r="D2" s="1192"/>
      <c r="E2" s="1192"/>
      <c r="F2" s="1192"/>
      <c r="G2" s="1192"/>
      <c r="H2" s="1192"/>
      <c r="I2" s="1192"/>
      <c r="J2" s="1192"/>
      <c r="K2" s="1192"/>
    </row>
    <row r="4" spans="1:15" x14ac:dyDescent="0.2">
      <c r="A4" s="1193" t="s">
        <v>3215</v>
      </c>
      <c r="B4" s="1193"/>
      <c r="C4" s="1193"/>
      <c r="D4" s="1193"/>
      <c r="E4" s="1193"/>
      <c r="F4" s="1193"/>
      <c r="G4" s="1193"/>
      <c r="H4" s="1193"/>
      <c r="I4" s="1193"/>
      <c r="J4" s="1193"/>
      <c r="K4" s="1193"/>
    </row>
    <row r="9" spans="1:15" x14ac:dyDescent="0.2">
      <c r="C9" s="1"/>
    </row>
    <row r="11" spans="1:15" x14ac:dyDescent="0.2">
      <c r="A11" s="1"/>
      <c r="O11" s="626"/>
    </row>
    <row r="14" spans="1:15" x14ac:dyDescent="0.2">
      <c r="B14" s="1"/>
      <c r="L14" s="1"/>
      <c r="N14" s="626"/>
    </row>
    <row r="15" spans="1:15" x14ac:dyDescent="0.2">
      <c r="N15" s="626"/>
    </row>
    <row r="16" spans="1:15" x14ac:dyDescent="0.2">
      <c r="B16" s="626"/>
      <c r="L16" s="626"/>
      <c r="O16" s="626"/>
    </row>
    <row r="17" spans="1:15" x14ac:dyDescent="0.2">
      <c r="O17" s="626"/>
    </row>
    <row r="18" spans="1:15" x14ac:dyDescent="0.2">
      <c r="L18" s="626"/>
      <c r="O18" s="626"/>
    </row>
    <row r="19" spans="1:15" x14ac:dyDescent="0.2">
      <c r="N19" s="626"/>
    </row>
    <row r="20" spans="1:15" x14ac:dyDescent="0.2">
      <c r="B20" s="626"/>
      <c r="L20" s="626"/>
      <c r="O20" s="626"/>
    </row>
    <row r="21" spans="1:15" x14ac:dyDescent="0.2">
      <c r="C21" s="626"/>
      <c r="O21" s="626"/>
    </row>
    <row r="22" spans="1:15" x14ac:dyDescent="0.2">
      <c r="C22" s="626"/>
    </row>
    <row r="24" spans="1:15" x14ac:dyDescent="0.2">
      <c r="B24" s="626"/>
      <c r="C24" s="626"/>
      <c r="L24" s="626"/>
    </row>
    <row r="25" spans="1:15" x14ac:dyDescent="0.2">
      <c r="D25" s="626"/>
      <c r="L25" s="626"/>
    </row>
    <row r="26" spans="1:15" x14ac:dyDescent="0.2">
      <c r="B26" s="626"/>
      <c r="D26" s="626"/>
      <c r="L26" s="626"/>
    </row>
    <row r="27" spans="1:15" x14ac:dyDescent="0.2">
      <c r="D27" s="626"/>
      <c r="L27" s="626"/>
    </row>
    <row r="28" spans="1:15" x14ac:dyDescent="0.2">
      <c r="B28" s="626"/>
      <c r="D28" s="626"/>
      <c r="L28" s="626"/>
    </row>
    <row r="30" spans="1:15" x14ac:dyDescent="0.2">
      <c r="B30" s="626"/>
      <c r="L30" s="626"/>
    </row>
    <row r="31" spans="1:15" x14ac:dyDescent="0.2">
      <c r="L31" s="626"/>
    </row>
    <row r="32" spans="1:15" x14ac:dyDescent="0.2">
      <c r="A32" s="1"/>
      <c r="B32" s="626"/>
    </row>
    <row r="33" spans="1:12" x14ac:dyDescent="0.2">
      <c r="D33" s="1"/>
    </row>
    <row r="34" spans="1:12" x14ac:dyDescent="0.2">
      <c r="A34" s="626"/>
    </row>
    <row r="35" spans="1:12" x14ac:dyDescent="0.2">
      <c r="B35" s="1"/>
      <c r="L35" s="626"/>
    </row>
    <row r="36" spans="1:12" x14ac:dyDescent="0.2">
      <c r="C36" s="626"/>
      <c r="L36" s="626"/>
    </row>
    <row r="38" spans="1:12" x14ac:dyDescent="0.2">
      <c r="B38" s="626"/>
      <c r="L38" s="626"/>
    </row>
  </sheetData>
  <mergeCells count="2">
    <mergeCell ref="A2:K2"/>
    <mergeCell ref="A4:K4"/>
  </mergeCells>
  <pageMargins left="0.7" right="0.7" top="0.75" bottom="0.75" header="0.3" footer="0.3"/>
  <pageSetup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6"/>
  <sheetViews>
    <sheetView zoomScale="80" zoomScaleNormal="80" workbookViewId="0">
      <selection activeCell="E33" sqref="E33"/>
    </sheetView>
  </sheetViews>
  <sheetFormatPr defaultRowHeight="12.75" x14ac:dyDescent="0.2"/>
  <cols>
    <col min="1" max="1" width="4.7109375" customWidth="1"/>
    <col min="2" max="2" width="5.28515625" customWidth="1"/>
    <col min="3" max="16" width="14.7109375" customWidth="1"/>
  </cols>
  <sheetData>
    <row r="1" spans="1:16" x14ac:dyDescent="0.2">
      <c r="A1" s="1" t="s">
        <v>2119</v>
      </c>
      <c r="B1" s="1"/>
    </row>
    <row r="2" spans="1:16" x14ac:dyDescent="0.2">
      <c r="A2" s="115" t="s">
        <v>3220</v>
      </c>
      <c r="B2" s="115">
        <f>'5-ROR-1'!L2</f>
        <v>2011</v>
      </c>
    </row>
    <row r="3" spans="1:16" x14ac:dyDescent="0.2">
      <c r="C3" s="86" t="s">
        <v>403</v>
      </c>
      <c r="D3" s="86" t="s">
        <v>387</v>
      </c>
      <c r="E3" s="86" t="s">
        <v>388</v>
      </c>
      <c r="F3" s="86" t="s">
        <v>389</v>
      </c>
      <c r="G3" s="86" t="s">
        <v>390</v>
      </c>
      <c r="H3" s="86" t="s">
        <v>391</v>
      </c>
      <c r="I3" s="86" t="s">
        <v>392</v>
      </c>
      <c r="J3" s="86" t="s">
        <v>606</v>
      </c>
      <c r="K3" s="86" t="s">
        <v>1055</v>
      </c>
      <c r="L3" s="86" t="s">
        <v>1072</v>
      </c>
      <c r="M3" s="86" t="s">
        <v>1075</v>
      </c>
      <c r="N3" s="86" t="s">
        <v>1093</v>
      </c>
      <c r="O3" s="86" t="s">
        <v>1878</v>
      </c>
      <c r="P3" s="86" t="s">
        <v>1879</v>
      </c>
    </row>
    <row r="4" spans="1:16" x14ac:dyDescent="0.2">
      <c r="A4" s="3" t="s">
        <v>359</v>
      </c>
      <c r="B4" s="3" t="s">
        <v>2120</v>
      </c>
      <c r="C4" s="37" t="s">
        <v>10</v>
      </c>
      <c r="D4" s="692" t="s">
        <v>208</v>
      </c>
      <c r="E4" s="642" t="s">
        <v>209</v>
      </c>
      <c r="F4" s="642" t="s">
        <v>210</v>
      </c>
      <c r="G4" s="642" t="s">
        <v>223</v>
      </c>
      <c r="H4" s="642" t="s">
        <v>211</v>
      </c>
      <c r="I4" s="642" t="s">
        <v>212</v>
      </c>
      <c r="J4" s="642" t="s">
        <v>1877</v>
      </c>
      <c r="K4" s="642" t="s">
        <v>214</v>
      </c>
      <c r="L4" s="642" t="s">
        <v>215</v>
      </c>
      <c r="M4" s="642" t="s">
        <v>216</v>
      </c>
      <c r="N4" s="642" t="s">
        <v>219</v>
      </c>
      <c r="O4" s="642" t="s">
        <v>218</v>
      </c>
      <c r="P4" s="642" t="s">
        <v>208</v>
      </c>
    </row>
    <row r="5" spans="1:16" x14ac:dyDescent="0.2">
      <c r="A5" s="3"/>
      <c r="B5" s="129"/>
      <c r="C5" s="757" t="s">
        <v>3221</v>
      </c>
      <c r="D5" s="785"/>
      <c r="E5" s="642"/>
      <c r="F5" s="642"/>
      <c r="G5" s="642"/>
      <c r="H5" s="642"/>
      <c r="I5" s="642"/>
      <c r="J5" s="642"/>
      <c r="K5" s="642"/>
      <c r="L5" s="642"/>
      <c r="M5" s="642"/>
      <c r="N5" s="642"/>
      <c r="O5" s="642"/>
      <c r="P5" s="642"/>
    </row>
    <row r="6" spans="1:16" x14ac:dyDescent="0.2">
      <c r="A6" s="55"/>
      <c r="B6" s="55"/>
      <c r="C6" s="37"/>
      <c r="D6" s="692"/>
      <c r="E6" s="642"/>
      <c r="F6" s="642"/>
      <c r="G6" s="642"/>
      <c r="H6" s="642"/>
      <c r="I6" s="642"/>
      <c r="J6" s="642"/>
      <c r="K6" s="642"/>
      <c r="L6" s="642"/>
      <c r="M6" s="642"/>
      <c r="N6" s="642"/>
      <c r="O6" s="642"/>
      <c r="P6" s="642"/>
    </row>
    <row r="7" spans="1:16" x14ac:dyDescent="0.2">
      <c r="B7" s="45" t="s">
        <v>2121</v>
      </c>
      <c r="D7" s="692"/>
      <c r="E7" s="642"/>
      <c r="F7" s="642"/>
      <c r="G7" s="642"/>
      <c r="H7" s="642"/>
      <c r="I7" s="642"/>
      <c r="J7" s="642"/>
      <c r="K7" s="642"/>
      <c r="L7" s="642"/>
      <c r="M7" s="642"/>
      <c r="N7" s="642"/>
      <c r="O7" s="642"/>
      <c r="P7" s="642"/>
    </row>
    <row r="8" spans="1:16" x14ac:dyDescent="0.2">
      <c r="A8" s="115">
        <v>1</v>
      </c>
      <c r="B8" s="115"/>
      <c r="C8" s="687">
        <f>SUM(D8:P8)/13</f>
        <v>7978229230.7692308</v>
      </c>
      <c r="D8" s="688">
        <v>7577445000</v>
      </c>
      <c r="E8" s="688">
        <v>7577445000</v>
      </c>
      <c r="F8" s="688">
        <v>7577445000</v>
      </c>
      <c r="G8" s="688">
        <v>7577445000</v>
      </c>
      <c r="H8" s="688">
        <v>7577445000</v>
      </c>
      <c r="I8" s="688">
        <v>8077445000</v>
      </c>
      <c r="J8" s="688">
        <v>8132985000</v>
      </c>
      <c r="K8" s="688">
        <v>8132985000</v>
      </c>
      <c r="L8" s="688">
        <v>8132985000</v>
      </c>
      <c r="M8" s="688">
        <v>8162985000</v>
      </c>
      <c r="N8" s="688">
        <v>8312985000</v>
      </c>
      <c r="O8" s="688">
        <v>8562985000</v>
      </c>
      <c r="P8" s="688">
        <v>8314400000</v>
      </c>
    </row>
    <row r="9" spans="1:16" x14ac:dyDescent="0.2">
      <c r="A9" s="115"/>
      <c r="B9" s="45" t="s">
        <v>3222</v>
      </c>
      <c r="C9" s="7"/>
      <c r="D9" s="687"/>
      <c r="E9" s="687"/>
      <c r="F9" s="687"/>
      <c r="G9" s="687"/>
      <c r="H9" s="687"/>
      <c r="I9" s="687"/>
      <c r="J9" s="687"/>
      <c r="K9" s="687"/>
      <c r="L9" s="687"/>
      <c r="M9" s="687"/>
      <c r="N9" s="687"/>
      <c r="O9" s="687"/>
      <c r="P9" s="687"/>
    </row>
    <row r="10" spans="1:16" x14ac:dyDescent="0.2">
      <c r="A10" s="115">
        <f>A8+1</f>
        <v>2</v>
      </c>
      <c r="B10" s="115"/>
      <c r="C10" s="687">
        <f t="shared" ref="C10:C14" si="0">SUM(D10:P10)/13</f>
        <v>-347872307.69230771</v>
      </c>
      <c r="D10" s="688">
        <v>-323585000</v>
      </c>
      <c r="E10" s="688">
        <v>-323585000</v>
      </c>
      <c r="F10" s="688">
        <v>-323585000</v>
      </c>
      <c r="G10" s="688">
        <v>-323585000</v>
      </c>
      <c r="H10" s="688">
        <v>-323585000</v>
      </c>
      <c r="I10" s="688">
        <v>-379125000</v>
      </c>
      <c r="J10" s="688">
        <v>-379125000</v>
      </c>
      <c r="K10" s="688">
        <v>-379125000</v>
      </c>
      <c r="L10" s="688">
        <v>-379125000</v>
      </c>
      <c r="M10" s="688">
        <v>-409125000</v>
      </c>
      <c r="N10" s="688">
        <v>-409125000</v>
      </c>
      <c r="O10" s="688">
        <v>-409125000</v>
      </c>
      <c r="P10" s="688">
        <v>-160540000</v>
      </c>
    </row>
    <row r="11" spans="1:16" x14ac:dyDescent="0.2">
      <c r="A11" s="115"/>
      <c r="B11" s="45" t="s">
        <v>2461</v>
      </c>
      <c r="C11" s="14"/>
      <c r="D11" s="687"/>
      <c r="E11" s="687"/>
      <c r="F11" s="687"/>
      <c r="G11" s="687"/>
      <c r="H11" s="687"/>
      <c r="I11" s="687"/>
      <c r="J11" s="687"/>
      <c r="K11" s="687"/>
      <c r="L11" s="687"/>
      <c r="M11" s="687"/>
      <c r="N11" s="687"/>
      <c r="O11" s="687"/>
      <c r="P11" s="687"/>
    </row>
    <row r="12" spans="1:16" x14ac:dyDescent="0.2">
      <c r="A12" s="115" t="s">
        <v>578</v>
      </c>
      <c r="B12" s="45"/>
      <c r="C12" s="687">
        <f>SUM(D12:P12)/13</f>
        <v>0</v>
      </c>
      <c r="D12" s="715">
        <v>0</v>
      </c>
      <c r="E12" s="715">
        <v>0</v>
      </c>
      <c r="F12" s="715">
        <v>0</v>
      </c>
      <c r="G12" s="715">
        <v>0</v>
      </c>
      <c r="H12" s="715">
        <v>0</v>
      </c>
      <c r="I12" s="715">
        <v>0</v>
      </c>
      <c r="J12" s="715">
        <v>0</v>
      </c>
      <c r="K12" s="715">
        <v>0</v>
      </c>
      <c r="L12" s="715">
        <v>0</v>
      </c>
      <c r="M12" s="715">
        <v>0</v>
      </c>
      <c r="N12" s="715">
        <v>0</v>
      </c>
      <c r="O12" s="715">
        <v>0</v>
      </c>
      <c r="P12" s="715">
        <v>0</v>
      </c>
    </row>
    <row r="13" spans="1:16" x14ac:dyDescent="0.2">
      <c r="A13" s="115"/>
      <c r="B13" s="45" t="s">
        <v>2122</v>
      </c>
      <c r="D13" s="687"/>
      <c r="E13" s="687"/>
      <c r="F13" s="687"/>
      <c r="G13" s="687"/>
      <c r="H13" s="687"/>
      <c r="I13" s="687"/>
      <c r="J13" s="687"/>
      <c r="K13" s="687"/>
      <c r="L13" s="687"/>
      <c r="M13" s="687"/>
      <c r="N13" s="687"/>
      <c r="O13" s="687"/>
      <c r="P13" s="687"/>
    </row>
    <row r="14" spans="1:16" x14ac:dyDescent="0.2">
      <c r="A14" s="115">
        <f>A10+1</f>
        <v>3</v>
      </c>
      <c r="B14" s="115"/>
      <c r="C14" s="687">
        <f t="shared" si="0"/>
        <v>359069668.49923074</v>
      </c>
      <c r="D14" s="688">
        <v>400783844.87</v>
      </c>
      <c r="E14" s="688">
        <v>400780003.69999999</v>
      </c>
      <c r="F14" s="688">
        <v>400776146.32999998</v>
      </c>
      <c r="G14" s="688">
        <v>400772272.69999999</v>
      </c>
      <c r="H14" s="688">
        <v>400768382.73000002</v>
      </c>
      <c r="I14" s="688">
        <v>400764476.36000001</v>
      </c>
      <c r="J14" s="688">
        <v>345220553.51999998</v>
      </c>
      <c r="K14" s="688">
        <v>345216614.13999999</v>
      </c>
      <c r="L14" s="688">
        <v>345212658.14999998</v>
      </c>
      <c r="M14" s="688">
        <v>306908685.48000002</v>
      </c>
      <c r="N14" s="688">
        <v>306904696.05000001</v>
      </c>
      <c r="O14" s="688">
        <v>306900689.80000001</v>
      </c>
      <c r="P14" s="688">
        <v>306896666.66000003</v>
      </c>
    </row>
    <row r="15" spans="1:16" x14ac:dyDescent="0.2">
      <c r="A15" s="115"/>
      <c r="B15" s="45"/>
      <c r="C15" s="14"/>
      <c r="D15" s="687"/>
      <c r="E15" s="687"/>
      <c r="F15" s="687"/>
      <c r="G15" s="687"/>
      <c r="H15" s="687"/>
      <c r="I15" s="687"/>
      <c r="J15" s="687"/>
      <c r="K15" s="687"/>
      <c r="L15" s="687"/>
      <c r="M15" s="687"/>
      <c r="N15" s="687"/>
      <c r="O15" s="687"/>
      <c r="P15" s="687"/>
    </row>
    <row r="16" spans="1:16" x14ac:dyDescent="0.2">
      <c r="A16" s="115">
        <f>A14+1</f>
        <v>4</v>
      </c>
      <c r="B16" s="426" t="s">
        <v>2778</v>
      </c>
      <c r="C16" s="687"/>
      <c r="D16" s="687"/>
      <c r="E16" s="687"/>
      <c r="F16" s="687"/>
      <c r="G16" s="687"/>
      <c r="H16" s="687"/>
      <c r="I16" s="687"/>
      <c r="J16" s="687"/>
      <c r="K16" s="687"/>
      <c r="L16" s="687"/>
      <c r="M16" s="687"/>
      <c r="N16" s="687"/>
      <c r="O16" s="687"/>
      <c r="P16" s="687"/>
    </row>
    <row r="17" spans="1:16" x14ac:dyDescent="0.2">
      <c r="A17" s="115"/>
      <c r="B17" s="45"/>
      <c r="C17" s="14"/>
      <c r="D17" s="687"/>
      <c r="E17" s="687"/>
      <c r="F17" s="687"/>
      <c r="G17" s="687"/>
      <c r="H17" s="687"/>
      <c r="I17" s="687"/>
      <c r="J17" s="687"/>
      <c r="K17" s="687"/>
      <c r="L17" s="687"/>
      <c r="M17" s="687"/>
      <c r="N17" s="687"/>
      <c r="O17" s="687"/>
      <c r="P17" s="687"/>
    </row>
    <row r="18" spans="1:16" x14ac:dyDescent="0.2">
      <c r="A18" s="115">
        <f>A16+1</f>
        <v>5</v>
      </c>
      <c r="B18" s="426" t="s">
        <v>2778</v>
      </c>
      <c r="C18" s="687"/>
      <c r="D18" s="687"/>
      <c r="E18" s="687"/>
      <c r="F18" s="687"/>
      <c r="G18" s="687"/>
      <c r="H18" s="687"/>
      <c r="I18" s="687"/>
      <c r="J18" s="687"/>
      <c r="K18" s="687"/>
      <c r="L18" s="687"/>
      <c r="M18" s="687"/>
      <c r="N18" s="687"/>
      <c r="O18" s="687"/>
      <c r="P18" s="687"/>
    </row>
    <row r="19" spans="1:16" x14ac:dyDescent="0.2">
      <c r="A19" s="14"/>
      <c r="B19" s="45"/>
      <c r="C19" s="14"/>
      <c r="D19" s="14"/>
      <c r="E19" s="14"/>
      <c r="F19" s="14"/>
      <c r="G19" s="14"/>
      <c r="H19" s="14"/>
      <c r="I19" s="14"/>
      <c r="J19" s="14"/>
      <c r="K19" s="14"/>
      <c r="L19" s="14"/>
      <c r="M19" s="14"/>
      <c r="N19" s="14"/>
      <c r="O19" s="14"/>
      <c r="P19" s="14"/>
    </row>
    <row r="20" spans="1:16" x14ac:dyDescent="0.2">
      <c r="A20" s="115">
        <v>6</v>
      </c>
      <c r="B20" s="426" t="s">
        <v>2778</v>
      </c>
      <c r="C20" s="687"/>
      <c r="D20" s="687"/>
      <c r="E20" s="687"/>
      <c r="F20" s="687"/>
      <c r="G20" s="687"/>
      <c r="H20" s="687"/>
      <c r="I20" s="687"/>
      <c r="J20" s="687"/>
      <c r="K20" s="687"/>
      <c r="L20" s="687"/>
      <c r="M20" s="687"/>
      <c r="N20" s="687"/>
      <c r="O20" s="687"/>
      <c r="P20" s="687"/>
    </row>
    <row r="21" spans="1:16" x14ac:dyDescent="0.2">
      <c r="A21" s="115"/>
      <c r="B21" s="45"/>
      <c r="C21" s="14"/>
      <c r="D21" s="687"/>
      <c r="E21" s="687"/>
      <c r="F21" s="687"/>
      <c r="G21" s="687"/>
      <c r="H21" s="687"/>
      <c r="I21" s="687"/>
      <c r="J21" s="687"/>
      <c r="K21" s="687"/>
      <c r="L21" s="687"/>
      <c r="M21" s="687"/>
      <c r="N21" s="687"/>
      <c r="O21" s="687"/>
      <c r="P21" s="687"/>
    </row>
    <row r="22" spans="1:16" x14ac:dyDescent="0.2">
      <c r="A22" s="115">
        <f>A20+1</f>
        <v>7</v>
      </c>
      <c r="B22" s="426" t="s">
        <v>2778</v>
      </c>
      <c r="C22" s="687"/>
      <c r="D22" s="687"/>
      <c r="E22" s="687"/>
      <c r="F22" s="687"/>
      <c r="G22" s="687"/>
      <c r="H22" s="687"/>
      <c r="I22" s="687"/>
      <c r="J22" s="687"/>
      <c r="K22" s="687"/>
      <c r="L22" s="687"/>
      <c r="M22" s="687"/>
      <c r="N22" s="687"/>
      <c r="O22" s="687"/>
      <c r="P22" s="687"/>
    </row>
    <row r="23" spans="1:16" x14ac:dyDescent="0.2">
      <c r="A23" s="14"/>
      <c r="B23" s="45" t="s">
        <v>2753</v>
      </c>
    </row>
    <row r="24" spans="1:16" x14ac:dyDescent="0.2">
      <c r="A24" s="115">
        <v>18</v>
      </c>
      <c r="B24" s="115"/>
      <c r="C24" s="687">
        <f t="shared" ref="C24:C28" si="1">SUM(D24:P24)/13</f>
        <v>1016158796.1538461</v>
      </c>
      <c r="D24" s="688">
        <v>920004950</v>
      </c>
      <c r="E24" s="688">
        <v>920004950</v>
      </c>
      <c r="F24" s="688">
        <v>920004950</v>
      </c>
      <c r="G24" s="688">
        <v>1045004950</v>
      </c>
      <c r="H24" s="688">
        <v>1045004950</v>
      </c>
      <c r="I24" s="688">
        <v>1045004950</v>
      </c>
      <c r="J24" s="688">
        <v>1045004950</v>
      </c>
      <c r="K24" s="688">
        <v>1045004950</v>
      </c>
      <c r="L24" s="688">
        <v>1045004950</v>
      </c>
      <c r="M24" s="688">
        <v>1045004950</v>
      </c>
      <c r="N24" s="688">
        <v>1045004950</v>
      </c>
      <c r="O24" s="688">
        <v>1045004950</v>
      </c>
      <c r="P24" s="688">
        <v>1045004950</v>
      </c>
    </row>
    <row r="25" spans="1:16" x14ac:dyDescent="0.2">
      <c r="A25" s="115"/>
      <c r="B25" s="45" t="s">
        <v>3223</v>
      </c>
      <c r="D25" s="687"/>
      <c r="E25" s="687"/>
      <c r="F25" s="687"/>
      <c r="G25" s="687"/>
      <c r="H25" s="687"/>
      <c r="I25" s="687"/>
      <c r="J25" s="687"/>
      <c r="K25" s="687"/>
      <c r="L25" s="687"/>
      <c r="M25" s="687"/>
      <c r="N25" s="687"/>
      <c r="O25" s="687"/>
      <c r="P25" s="687"/>
    </row>
    <row r="26" spans="1:16" x14ac:dyDescent="0.2">
      <c r="A26" s="115">
        <f>A24+1</f>
        <v>19</v>
      </c>
      <c r="B26" s="115"/>
      <c r="C26" s="687">
        <f t="shared" si="1"/>
        <v>-7930950.6525641084</v>
      </c>
      <c r="D26" s="688">
        <v>-5994294.0027777841</v>
      </c>
      <c r="E26" s="688">
        <v>-5974252.5777777843</v>
      </c>
      <c r="F26" s="688">
        <v>-5954211.1527777845</v>
      </c>
      <c r="G26" s="688">
        <v>-8642089.775000006</v>
      </c>
      <c r="H26" s="688">
        <v>-8614505.3972222283</v>
      </c>
      <c r="I26" s="688">
        <v>-8586921.0194444507</v>
      </c>
      <c r="J26" s="688">
        <v>-8559336.6416666731</v>
      </c>
      <c r="K26" s="688">
        <v>-8531752.2638888955</v>
      </c>
      <c r="L26" s="688">
        <v>-8504167.8861111179</v>
      </c>
      <c r="M26" s="688">
        <v>-8476583.5083333403</v>
      </c>
      <c r="N26" s="688">
        <v>-8448999.1305555627</v>
      </c>
      <c r="O26" s="688">
        <v>-8421414.7527777832</v>
      </c>
      <c r="P26" s="688">
        <v>-8393830.3750000075</v>
      </c>
    </row>
    <row r="27" spans="1:16" x14ac:dyDescent="0.2">
      <c r="A27" s="115"/>
      <c r="B27" s="45" t="s">
        <v>2757</v>
      </c>
      <c r="D27" s="687"/>
      <c r="E27" s="687"/>
      <c r="F27" s="687"/>
      <c r="G27" s="687"/>
      <c r="H27" s="687"/>
      <c r="I27" s="687"/>
      <c r="J27" s="687"/>
      <c r="K27" s="687"/>
      <c r="L27" s="687"/>
      <c r="M27" s="687"/>
      <c r="N27" s="687"/>
      <c r="O27" s="687"/>
      <c r="P27" s="687"/>
    </row>
    <row r="28" spans="1:16" x14ac:dyDescent="0.2">
      <c r="A28" s="115">
        <f>A26+1</f>
        <v>20</v>
      </c>
      <c r="B28" s="115"/>
      <c r="C28" s="687">
        <f t="shared" si="1"/>
        <v>-1765704.6568627453</v>
      </c>
      <c r="D28" s="688">
        <v>-1868438.4803921569</v>
      </c>
      <c r="E28" s="688">
        <v>-1851316.1764705901</v>
      </c>
      <c r="F28" s="688">
        <v>-1834193.87254902</v>
      </c>
      <c r="G28" s="688">
        <v>-1817071.5686274499</v>
      </c>
      <c r="H28" s="688">
        <v>-1799949.2647058801</v>
      </c>
      <c r="I28" s="688">
        <v>-1782826.96078431</v>
      </c>
      <c r="J28" s="688">
        <v>-1765704.65686275</v>
      </c>
      <c r="K28" s="688">
        <v>-1748582.3529411801</v>
      </c>
      <c r="L28" s="688">
        <v>-1731460.04901961</v>
      </c>
      <c r="M28" s="688">
        <v>-1714337.74509804</v>
      </c>
      <c r="N28" s="688">
        <v>-1697215.4411764699</v>
      </c>
      <c r="O28" s="688">
        <v>-1680093.1372549001</v>
      </c>
      <c r="P28" s="688">
        <v>-1662970.83333333</v>
      </c>
    </row>
    <row r="29" spans="1:16" x14ac:dyDescent="0.2">
      <c r="A29" s="14"/>
      <c r="B29" s="45" t="s">
        <v>2758</v>
      </c>
    </row>
    <row r="30" spans="1:16" x14ac:dyDescent="0.2">
      <c r="A30" s="115">
        <v>27</v>
      </c>
      <c r="B30" s="115"/>
      <c r="C30" s="687">
        <f t="shared" ref="C30" si="2">SUM(D30:P30)/13</f>
        <v>9628637288.470768</v>
      </c>
      <c r="D30" s="688">
        <v>9207566591</v>
      </c>
      <c r="E30" s="688">
        <v>9294081853.8299999</v>
      </c>
      <c r="F30" s="688">
        <v>9349324864.9099998</v>
      </c>
      <c r="G30" s="688">
        <v>9437924950.3500004</v>
      </c>
      <c r="H30" s="688">
        <v>9504068511.6800003</v>
      </c>
      <c r="I30" s="688">
        <v>9561267490.0900002</v>
      </c>
      <c r="J30" s="688">
        <v>9535912748.2199993</v>
      </c>
      <c r="K30" s="688">
        <v>9652163149.4300003</v>
      </c>
      <c r="L30" s="688">
        <v>9822899207.7000008</v>
      </c>
      <c r="M30" s="688">
        <v>9831798569.7900009</v>
      </c>
      <c r="N30" s="688">
        <v>9969354609.6200008</v>
      </c>
      <c r="O30" s="688">
        <v>10048621041.889999</v>
      </c>
      <c r="P30" s="688">
        <v>9957301161.6100006</v>
      </c>
    </row>
    <row r="31" spans="1:16" x14ac:dyDescent="0.2">
      <c r="A31" s="115"/>
      <c r="B31" s="45" t="s">
        <v>3224</v>
      </c>
      <c r="D31" s="687"/>
      <c r="E31" s="687"/>
      <c r="F31" s="687"/>
      <c r="G31" s="687"/>
      <c r="H31" s="687"/>
      <c r="I31" s="687"/>
      <c r="J31" s="687"/>
      <c r="K31" s="687"/>
      <c r="L31" s="687"/>
      <c r="M31" s="687"/>
      <c r="N31" s="687"/>
      <c r="O31" s="687"/>
      <c r="P31" s="687"/>
    </row>
    <row r="32" spans="1:16" x14ac:dyDescent="0.2">
      <c r="A32" s="115">
        <v>30</v>
      </c>
      <c r="B32" s="115"/>
      <c r="C32" s="687">
        <f t="shared" ref="C32:C34" si="3">SUM(D32:P32)/13</f>
        <v>-3725675.7407692303</v>
      </c>
      <c r="D32" s="688">
        <v>-3413591</v>
      </c>
      <c r="E32" s="688">
        <v>-3482554.96</v>
      </c>
      <c r="F32" s="688">
        <v>-3559166.7</v>
      </c>
      <c r="G32" s="688">
        <v>-3569359.83</v>
      </c>
      <c r="H32" s="688">
        <v>-3607275.78</v>
      </c>
      <c r="I32" s="688">
        <v>-3621653.75</v>
      </c>
      <c r="J32" s="688">
        <v>-3714713.13</v>
      </c>
      <c r="K32" s="688">
        <v>-3837828.39</v>
      </c>
      <c r="L32" s="688">
        <v>-3896367.31</v>
      </c>
      <c r="M32" s="688">
        <v>-3896831.81</v>
      </c>
      <c r="N32" s="688">
        <v>-3906893.61</v>
      </c>
      <c r="O32" s="688">
        <v>-3906371.17</v>
      </c>
      <c r="P32" s="688">
        <v>-4021177.19</v>
      </c>
    </row>
    <row r="33" spans="1:16" x14ac:dyDescent="0.2">
      <c r="A33" s="115"/>
      <c r="B33" s="45" t="s">
        <v>3225</v>
      </c>
      <c r="D33" s="687"/>
      <c r="E33" s="687"/>
      <c r="F33" s="687"/>
      <c r="G33" s="687"/>
      <c r="H33" s="687"/>
      <c r="I33" s="687"/>
      <c r="J33" s="687"/>
      <c r="K33" s="687"/>
      <c r="L33" s="687"/>
      <c r="M33" s="687"/>
      <c r="N33" s="687"/>
      <c r="O33" s="687"/>
      <c r="P33" s="687"/>
    </row>
    <row r="34" spans="1:16" x14ac:dyDescent="0.2">
      <c r="A34" s="115">
        <f>A32+1</f>
        <v>31</v>
      </c>
      <c r="B34" s="115"/>
      <c r="C34" s="687">
        <f t="shared" si="3"/>
        <v>22979584.85846154</v>
      </c>
      <c r="D34" s="688">
        <v>24687325.109999999</v>
      </c>
      <c r="E34" s="688">
        <v>24177463.109999999</v>
      </c>
      <c r="F34" s="688">
        <v>23667601.109999999</v>
      </c>
      <c r="G34" s="688">
        <v>23779821.739999998</v>
      </c>
      <c r="H34" s="688">
        <v>23269959.739999998</v>
      </c>
      <c r="I34" s="688">
        <v>22760097.739999998</v>
      </c>
      <c r="J34" s="688">
        <v>22900638.359999999</v>
      </c>
      <c r="K34" s="688">
        <v>22398732.359999999</v>
      </c>
      <c r="L34" s="688">
        <v>21896826.359999999</v>
      </c>
      <c r="M34" s="688">
        <v>22007295.870000001</v>
      </c>
      <c r="N34" s="688">
        <v>21505389.870000001</v>
      </c>
      <c r="O34" s="688">
        <v>21207609.039999999</v>
      </c>
      <c r="P34" s="688">
        <v>24475842.75</v>
      </c>
    </row>
    <row r="35" spans="1:16" x14ac:dyDescent="0.2">
      <c r="A35" s="115"/>
      <c r="B35" s="115"/>
      <c r="C35" s="687"/>
      <c r="D35" s="687"/>
      <c r="E35" s="687"/>
      <c r="F35" s="687"/>
      <c r="G35" s="687"/>
      <c r="H35" s="687"/>
      <c r="I35" s="687"/>
      <c r="J35" s="687"/>
      <c r="K35" s="687"/>
      <c r="L35" s="687"/>
      <c r="M35" s="687"/>
      <c r="N35" s="687"/>
      <c r="O35" s="687"/>
      <c r="P35" s="687"/>
    </row>
    <row r="36" spans="1:16" x14ac:dyDescent="0.2">
      <c r="A36" s="115"/>
      <c r="B36" s="53" t="s">
        <v>429</v>
      </c>
      <c r="C36" s="687"/>
      <c r="D36" s="687"/>
      <c r="E36" s="687"/>
      <c r="F36" s="687"/>
      <c r="G36" s="687"/>
      <c r="H36" s="687"/>
      <c r="I36" s="687"/>
      <c r="J36" s="687"/>
      <c r="K36" s="687"/>
      <c r="L36" s="687"/>
      <c r="M36" s="687"/>
      <c r="N36" s="687"/>
      <c r="O36" s="687"/>
      <c r="P36" s="687"/>
    </row>
    <row r="37" spans="1:16" x14ac:dyDescent="0.2">
      <c r="A37" s="115"/>
      <c r="B37" s="626" t="s">
        <v>2123</v>
      </c>
      <c r="C37" s="687"/>
      <c r="D37" s="687"/>
      <c r="E37" s="687"/>
      <c r="F37" s="687"/>
      <c r="G37" s="687"/>
      <c r="H37" s="687"/>
      <c r="I37" s="687"/>
      <c r="J37" s="687"/>
      <c r="K37" s="687"/>
      <c r="L37" s="687"/>
      <c r="M37" s="687"/>
      <c r="N37" s="687"/>
      <c r="O37" s="687"/>
      <c r="P37" s="687"/>
    </row>
    <row r="38" spans="1:16" x14ac:dyDescent="0.2">
      <c r="A38" s="115"/>
      <c r="B38" s="630" t="s">
        <v>2144</v>
      </c>
      <c r="C38" s="687"/>
      <c r="D38" s="687"/>
      <c r="E38" s="687"/>
      <c r="F38" s="687"/>
      <c r="G38" s="687"/>
      <c r="H38" s="687"/>
      <c r="I38" s="687"/>
      <c r="J38" s="687"/>
      <c r="K38" s="687"/>
      <c r="L38" s="687"/>
      <c r="M38" s="687"/>
      <c r="N38" s="687"/>
      <c r="O38" s="687"/>
      <c r="P38" s="687"/>
    </row>
    <row r="39" spans="1:16" x14ac:dyDescent="0.2">
      <c r="A39" s="115"/>
      <c r="B39" s="628" t="s">
        <v>2844</v>
      </c>
      <c r="C39" s="426" t="s">
        <v>2778</v>
      </c>
      <c r="D39" s="687"/>
      <c r="E39" s="687"/>
      <c r="F39" s="687"/>
      <c r="G39" s="687"/>
      <c r="H39" s="687"/>
      <c r="I39" s="687"/>
      <c r="J39" s="687"/>
      <c r="K39" s="687"/>
      <c r="L39" s="687"/>
      <c r="M39" s="687"/>
      <c r="N39" s="687"/>
      <c r="O39" s="687"/>
      <c r="P39" s="687"/>
    </row>
    <row r="40" spans="1:16" x14ac:dyDescent="0.2">
      <c r="A40" s="14"/>
      <c r="B40" s="1039" t="s">
        <v>2845</v>
      </c>
      <c r="C40" s="14"/>
      <c r="D40" s="14"/>
      <c r="E40" s="14"/>
      <c r="F40" s="14"/>
      <c r="G40" s="14"/>
      <c r="H40" s="14"/>
      <c r="I40" s="14"/>
      <c r="J40" s="14"/>
    </row>
    <row r="41" spans="1:16" x14ac:dyDescent="0.2">
      <c r="A41" s="14"/>
      <c r="B41" s="625"/>
      <c r="C41" s="14"/>
      <c r="D41" s="14"/>
      <c r="E41" s="14"/>
      <c r="F41" s="14"/>
      <c r="G41" s="14"/>
      <c r="H41" s="14"/>
      <c r="I41" s="14"/>
      <c r="J41" s="14"/>
    </row>
    <row r="42" spans="1:16" x14ac:dyDescent="0.2">
      <c r="A42" s="14"/>
      <c r="B42" s="45" t="s">
        <v>265</v>
      </c>
      <c r="C42" s="14"/>
      <c r="D42" s="14"/>
      <c r="E42" s="14"/>
      <c r="F42" s="14"/>
      <c r="G42" s="14"/>
      <c r="H42" s="14"/>
      <c r="I42" s="14"/>
      <c r="J42" s="14"/>
    </row>
    <row r="43" spans="1:16" x14ac:dyDescent="0.2">
      <c r="A43" s="14"/>
      <c r="B43" s="628" t="s">
        <v>2291</v>
      </c>
      <c r="C43" s="14"/>
      <c r="D43" s="14"/>
      <c r="E43" s="14"/>
      <c r="F43" s="14"/>
      <c r="G43" s="14"/>
      <c r="H43" s="14"/>
      <c r="I43" s="14"/>
      <c r="J43" s="14"/>
    </row>
    <row r="44" spans="1:16" x14ac:dyDescent="0.2">
      <c r="A44" s="14"/>
      <c r="B44" s="628" t="s">
        <v>2292</v>
      </c>
      <c r="C44" s="14"/>
      <c r="D44" s="14"/>
      <c r="E44" s="14"/>
      <c r="F44" s="14"/>
      <c r="G44" s="14"/>
      <c r="H44" s="14"/>
      <c r="I44" s="14"/>
      <c r="J44" s="14"/>
    </row>
    <row r="45" spans="1:16" x14ac:dyDescent="0.2">
      <c r="A45" s="14"/>
      <c r="B45" s="628" t="s">
        <v>2465</v>
      </c>
      <c r="C45" s="14"/>
      <c r="D45" s="14"/>
      <c r="E45" s="14"/>
      <c r="F45" s="14"/>
      <c r="G45" s="14"/>
      <c r="H45" s="14"/>
      <c r="I45" s="14"/>
      <c r="J45" s="14"/>
    </row>
    <row r="46" spans="1:16" x14ac:dyDescent="0.2">
      <c r="A46" s="14"/>
      <c r="B46" s="628" t="s">
        <v>2293</v>
      </c>
      <c r="C46" s="14"/>
      <c r="D46" s="14"/>
      <c r="E46" s="14"/>
      <c r="F46" s="14"/>
      <c r="G46" s="14"/>
      <c r="H46" s="14"/>
      <c r="I46" s="14"/>
      <c r="J46" s="14"/>
    </row>
    <row r="47" spans="1:16" x14ac:dyDescent="0.2">
      <c r="A47" s="14"/>
      <c r="B47" s="628" t="s">
        <v>2779</v>
      </c>
      <c r="C47" s="426" t="s">
        <v>2778</v>
      </c>
      <c r="D47" s="14"/>
      <c r="E47" s="14"/>
      <c r="F47" s="14"/>
      <c r="G47" s="14"/>
      <c r="H47" s="14"/>
      <c r="I47" s="14"/>
      <c r="J47" s="14"/>
    </row>
    <row r="48" spans="1:16" x14ac:dyDescent="0.2">
      <c r="A48" s="14"/>
      <c r="B48" s="628" t="s">
        <v>2776</v>
      </c>
      <c r="C48" s="426" t="s">
        <v>2778</v>
      </c>
      <c r="D48" s="14"/>
      <c r="E48" s="14"/>
      <c r="F48" s="14"/>
      <c r="G48" s="14"/>
      <c r="H48" s="14"/>
      <c r="I48" s="14"/>
      <c r="J48" s="14"/>
    </row>
    <row r="49" spans="1:13" x14ac:dyDescent="0.2">
      <c r="A49" s="14"/>
      <c r="B49" s="628" t="s">
        <v>2842</v>
      </c>
      <c r="C49" s="426" t="s">
        <v>2778</v>
      </c>
      <c r="D49" s="14"/>
      <c r="E49" s="14"/>
      <c r="F49" s="14"/>
      <c r="G49" s="14"/>
      <c r="H49" s="14"/>
      <c r="I49" s="14"/>
      <c r="J49" s="14"/>
    </row>
    <row r="50" spans="1:13" x14ac:dyDescent="0.2">
      <c r="A50" s="14"/>
      <c r="B50" s="628" t="s">
        <v>2843</v>
      </c>
      <c r="C50" s="426" t="s">
        <v>2778</v>
      </c>
      <c r="D50" s="14"/>
      <c r="E50" s="14"/>
      <c r="F50" s="14"/>
      <c r="G50" s="14"/>
      <c r="H50" s="14"/>
      <c r="I50" s="14"/>
      <c r="J50" s="14"/>
    </row>
    <row r="51" spans="1:13" x14ac:dyDescent="0.2">
      <c r="A51" s="14"/>
      <c r="B51" s="628" t="s">
        <v>2754</v>
      </c>
      <c r="C51" s="14"/>
      <c r="D51" s="14"/>
      <c r="E51" s="14"/>
      <c r="F51" s="14"/>
      <c r="G51" s="14"/>
      <c r="H51" s="14"/>
      <c r="I51" s="14"/>
      <c r="J51" s="14"/>
    </row>
    <row r="52" spans="1:13" x14ac:dyDescent="0.2">
      <c r="A52" s="14"/>
      <c r="B52" s="628" t="s">
        <v>2755</v>
      </c>
      <c r="C52" s="14"/>
      <c r="D52" s="14"/>
      <c r="E52" s="14"/>
      <c r="F52" s="14"/>
      <c r="G52" s="14"/>
      <c r="H52" s="14"/>
      <c r="I52" s="14"/>
      <c r="J52" s="14"/>
    </row>
    <row r="53" spans="1:13" x14ac:dyDescent="0.2">
      <c r="A53" s="14"/>
      <c r="B53" s="625" t="s">
        <v>2345</v>
      </c>
      <c r="C53" s="14"/>
      <c r="D53" s="14"/>
      <c r="E53" s="14"/>
      <c r="F53" s="14"/>
      <c r="G53" s="14"/>
      <c r="H53" s="14"/>
      <c r="I53" s="14"/>
      <c r="J53" s="14"/>
    </row>
    <row r="54" spans="1:13" x14ac:dyDescent="0.2">
      <c r="A54" s="14"/>
      <c r="B54" s="14"/>
      <c r="C54" s="14"/>
      <c r="D54" s="14"/>
      <c r="E54" s="14"/>
      <c r="F54" s="14"/>
      <c r="G54" s="14"/>
      <c r="H54" s="115" t="s">
        <v>1177</v>
      </c>
      <c r="I54" s="14"/>
      <c r="J54" s="14"/>
    </row>
    <row r="55" spans="1:13" x14ac:dyDescent="0.2">
      <c r="A55" s="14"/>
      <c r="B55" s="14"/>
      <c r="C55" s="115"/>
      <c r="D55" s="14"/>
      <c r="E55" s="115" t="s">
        <v>2087</v>
      </c>
      <c r="F55" s="115" t="s">
        <v>2088</v>
      </c>
      <c r="G55" s="115" t="s">
        <v>2088</v>
      </c>
      <c r="H55" s="115" t="s">
        <v>227</v>
      </c>
      <c r="I55" s="115" t="s">
        <v>1652</v>
      </c>
      <c r="J55" s="14"/>
    </row>
    <row r="56" spans="1:13" x14ac:dyDescent="0.2">
      <c r="A56" s="14"/>
      <c r="B56" s="14"/>
      <c r="C56" s="129" t="s">
        <v>2089</v>
      </c>
      <c r="D56" s="14"/>
      <c r="E56" s="129" t="s">
        <v>203</v>
      </c>
      <c r="F56" s="129" t="s">
        <v>2090</v>
      </c>
      <c r="G56" s="129" t="s">
        <v>2170</v>
      </c>
      <c r="H56" s="376" t="s">
        <v>2341</v>
      </c>
      <c r="I56" s="129" t="s">
        <v>1177</v>
      </c>
      <c r="J56" s="129" t="s">
        <v>196</v>
      </c>
    </row>
    <row r="57" spans="1:13" x14ac:dyDescent="0.2">
      <c r="B57" s="14"/>
      <c r="C57" s="801" t="s">
        <v>2895</v>
      </c>
      <c r="D57" s="745"/>
      <c r="E57" s="111">
        <v>400000000</v>
      </c>
      <c r="F57" s="802">
        <v>38469</v>
      </c>
      <c r="G57" s="111">
        <v>5426936</v>
      </c>
      <c r="H57" s="157">
        <v>5</v>
      </c>
      <c r="I57" s="839" t="s">
        <v>2893</v>
      </c>
      <c r="J57" s="99" t="s">
        <v>2896</v>
      </c>
      <c r="K57" s="99"/>
      <c r="L57" s="99"/>
      <c r="M57" s="99"/>
    </row>
    <row r="58" spans="1:13" x14ac:dyDescent="0.2">
      <c r="B58" s="14"/>
      <c r="C58" s="801" t="s">
        <v>2897</v>
      </c>
      <c r="D58" s="745"/>
      <c r="E58" s="111">
        <v>200000000</v>
      </c>
      <c r="F58" s="802">
        <v>38610</v>
      </c>
      <c r="G58" s="111">
        <v>3435743</v>
      </c>
      <c r="H58" s="157">
        <v>30</v>
      </c>
      <c r="I58" s="111">
        <f>G58/H58</f>
        <v>114524.76666666666</v>
      </c>
      <c r="J58" s="99"/>
      <c r="K58" s="99"/>
      <c r="L58" s="99"/>
      <c r="M58" s="99"/>
    </row>
    <row r="59" spans="1:13" x14ac:dyDescent="0.2">
      <c r="B59" s="14"/>
      <c r="C59" s="801" t="s">
        <v>2898</v>
      </c>
      <c r="D59" s="745"/>
      <c r="E59" s="111">
        <v>200000000</v>
      </c>
      <c r="F59" s="802">
        <v>38741</v>
      </c>
      <c r="G59" s="111">
        <v>3779170</v>
      </c>
      <c r="H59" s="157">
        <v>30</v>
      </c>
      <c r="I59" s="111">
        <f>G59/H59</f>
        <v>125972.33333333333</v>
      </c>
      <c r="J59" s="99"/>
      <c r="K59" s="99"/>
      <c r="L59" s="99"/>
      <c r="M59" s="99"/>
    </row>
    <row r="60" spans="1:13" x14ac:dyDescent="0.2">
      <c r="B60" s="14"/>
      <c r="C60" s="801" t="s">
        <v>2899</v>
      </c>
      <c r="D60" s="745"/>
      <c r="E60" s="111">
        <v>125000000</v>
      </c>
      <c r="F60" s="802">
        <v>40612</v>
      </c>
      <c r="G60" s="111">
        <v>2715463</v>
      </c>
      <c r="H60" s="157">
        <v>30</v>
      </c>
      <c r="I60" s="111">
        <f>G60/H60</f>
        <v>90515.433333333334</v>
      </c>
      <c r="J60" s="99"/>
      <c r="K60" s="99"/>
      <c r="L60" s="99"/>
      <c r="M60" s="99"/>
    </row>
    <row r="61" spans="1:13" x14ac:dyDescent="0.2">
      <c r="B61" s="14"/>
      <c r="C61" s="745" t="s">
        <v>574</v>
      </c>
      <c r="D61" s="745"/>
      <c r="E61" s="111"/>
      <c r="F61" s="802"/>
      <c r="G61" s="111"/>
      <c r="H61" s="157"/>
      <c r="I61" s="99"/>
      <c r="J61" s="99"/>
      <c r="K61" s="99"/>
      <c r="L61" s="99"/>
      <c r="M61" s="99"/>
    </row>
    <row r="62" spans="1:13" x14ac:dyDescent="0.2">
      <c r="B62" s="14"/>
      <c r="C62" s="838"/>
      <c r="D62" s="838"/>
      <c r="E62" s="14"/>
      <c r="F62" s="14"/>
      <c r="G62" s="14"/>
      <c r="H62" s="14"/>
      <c r="I62" s="621">
        <f>SUM(I58:I61)</f>
        <v>331012.53333333333</v>
      </c>
      <c r="J62" s="628" t="s">
        <v>2344</v>
      </c>
      <c r="K62" s="14"/>
      <c r="L62" s="14"/>
      <c r="M62" s="14"/>
    </row>
    <row r="63" spans="1:13" x14ac:dyDescent="0.2">
      <c r="B63" s="628" t="s">
        <v>2756</v>
      </c>
      <c r="G63" s="14"/>
      <c r="H63" s="14"/>
      <c r="I63" s="14"/>
      <c r="J63" s="14"/>
      <c r="K63" s="14"/>
      <c r="L63" s="14"/>
      <c r="M63" s="14"/>
    </row>
    <row r="64" spans="1:13" x14ac:dyDescent="0.2">
      <c r="B64" s="625" t="s">
        <v>2342</v>
      </c>
      <c r="G64" s="14"/>
      <c r="H64" s="14"/>
      <c r="I64" s="14"/>
      <c r="J64" s="14"/>
      <c r="K64" s="14"/>
      <c r="L64" s="14"/>
      <c r="M64" s="14"/>
    </row>
    <row r="65" spans="2:13" x14ac:dyDescent="0.2">
      <c r="B65" s="14"/>
      <c r="G65" s="115" t="s">
        <v>1177</v>
      </c>
      <c r="H65" s="14"/>
      <c r="I65" s="14"/>
      <c r="J65" s="14"/>
      <c r="K65" s="14"/>
      <c r="L65" s="14"/>
      <c r="M65" s="14"/>
    </row>
    <row r="66" spans="2:13" x14ac:dyDescent="0.2">
      <c r="B66" s="14"/>
      <c r="C66" s="115"/>
      <c r="E66" s="800" t="s">
        <v>2171</v>
      </c>
      <c r="F66" s="115" t="s">
        <v>1177</v>
      </c>
      <c r="G66" s="115" t="s">
        <v>227</v>
      </c>
      <c r="H66" s="115" t="s">
        <v>1652</v>
      </c>
      <c r="I66" s="115"/>
      <c r="J66" s="14"/>
      <c r="K66" s="14"/>
      <c r="L66" s="14"/>
      <c r="M66" s="14"/>
    </row>
    <row r="67" spans="2:13" x14ac:dyDescent="0.2">
      <c r="B67" s="14"/>
      <c r="C67" s="129" t="s">
        <v>2172</v>
      </c>
      <c r="E67" s="129" t="s">
        <v>2090</v>
      </c>
      <c r="F67" s="129" t="s">
        <v>203</v>
      </c>
      <c r="G67" s="376" t="s">
        <v>2341</v>
      </c>
      <c r="H67" s="129" t="s">
        <v>1177</v>
      </c>
      <c r="I67" s="129" t="s">
        <v>196</v>
      </c>
      <c r="J67" s="14"/>
      <c r="K67" s="14"/>
      <c r="L67" s="14"/>
      <c r="M67" s="14"/>
    </row>
    <row r="68" spans="2:13" x14ac:dyDescent="0.2">
      <c r="B68" s="14"/>
      <c r="C68" s="801" t="s">
        <v>2900</v>
      </c>
      <c r="D68" s="745"/>
      <c r="E68" s="803" t="s">
        <v>2901</v>
      </c>
      <c r="F68" s="111">
        <v>-286600</v>
      </c>
      <c r="G68" s="157">
        <v>34</v>
      </c>
      <c r="H68" s="111">
        <f>F68/G68</f>
        <v>-8429.4117647058829</v>
      </c>
      <c r="I68" s="99" t="s">
        <v>2902</v>
      </c>
      <c r="J68" s="99"/>
      <c r="K68" s="99"/>
      <c r="L68" s="99"/>
      <c r="M68" s="99"/>
    </row>
    <row r="69" spans="2:13" x14ac:dyDescent="0.2">
      <c r="B69" s="14"/>
      <c r="C69" s="801" t="s">
        <v>2903</v>
      </c>
      <c r="D69" s="745"/>
      <c r="E69" s="804" t="s">
        <v>2904</v>
      </c>
      <c r="F69" s="111">
        <v>6247500</v>
      </c>
      <c r="G69" s="157">
        <v>34</v>
      </c>
      <c r="H69" s="111">
        <f t="shared" ref="H69:H70" si="4">F69/G69</f>
        <v>183750</v>
      </c>
      <c r="I69" s="99" t="s">
        <v>2905</v>
      </c>
      <c r="J69" s="99"/>
      <c r="K69" s="99"/>
      <c r="L69" s="99"/>
      <c r="M69" s="99"/>
    </row>
    <row r="70" spans="2:13" x14ac:dyDescent="0.2">
      <c r="B70" s="14"/>
      <c r="C70" s="801" t="s">
        <v>2903</v>
      </c>
      <c r="D70" s="745"/>
      <c r="E70" s="804" t="s">
        <v>2904</v>
      </c>
      <c r="F70" s="111">
        <v>1025000</v>
      </c>
      <c r="G70" s="157">
        <v>34</v>
      </c>
      <c r="H70" s="111">
        <f t="shared" si="4"/>
        <v>30147.058823529413</v>
      </c>
      <c r="I70" s="99" t="s">
        <v>2906</v>
      </c>
      <c r="J70" s="99"/>
      <c r="K70" s="99"/>
      <c r="L70" s="99"/>
      <c r="M70" s="99"/>
    </row>
    <row r="71" spans="2:13" x14ac:dyDescent="0.2">
      <c r="B71" s="14"/>
      <c r="C71" s="745" t="s">
        <v>574</v>
      </c>
      <c r="D71" s="745"/>
      <c r="E71" s="804"/>
      <c r="F71" s="111"/>
      <c r="G71" s="157"/>
      <c r="H71" s="111"/>
      <c r="I71" s="644"/>
      <c r="J71" s="99"/>
      <c r="K71" s="99"/>
      <c r="L71" s="99"/>
      <c r="M71" s="99"/>
    </row>
    <row r="72" spans="2:13" x14ac:dyDescent="0.2">
      <c r="B72" s="14"/>
      <c r="C72" s="838"/>
      <c r="D72" s="838"/>
      <c r="E72" s="14"/>
      <c r="F72" s="14"/>
      <c r="G72" s="14"/>
      <c r="H72" s="621">
        <f>SUM(H68:H71)</f>
        <v>205467.64705882355</v>
      </c>
      <c r="I72" s="628" t="s">
        <v>2343</v>
      </c>
      <c r="J72" s="14"/>
      <c r="K72" s="14"/>
      <c r="L72" s="14"/>
      <c r="M72" s="14"/>
    </row>
    <row r="73" spans="2:13" x14ac:dyDescent="0.2">
      <c r="B73" s="14"/>
      <c r="C73" s="14"/>
      <c r="D73" s="14"/>
      <c r="E73" s="14"/>
      <c r="F73" s="14"/>
      <c r="G73" s="14"/>
      <c r="H73" s="14"/>
      <c r="I73" s="14"/>
      <c r="J73" s="14"/>
      <c r="K73" s="14"/>
      <c r="L73" s="14"/>
      <c r="M73" s="14"/>
    </row>
    <row r="74" spans="2:13" x14ac:dyDescent="0.2">
      <c r="B74" s="628" t="s">
        <v>2759</v>
      </c>
      <c r="C74" s="14"/>
      <c r="D74" s="14"/>
      <c r="E74" s="14"/>
      <c r="F74" s="14"/>
      <c r="G74" s="14"/>
      <c r="H74" s="14"/>
      <c r="I74" s="14"/>
      <c r="J74" s="14"/>
      <c r="K74" s="14"/>
      <c r="L74" s="14"/>
      <c r="M74" s="14"/>
    </row>
    <row r="75" spans="2:13" x14ac:dyDescent="0.2">
      <c r="B75" s="628" t="s">
        <v>2760</v>
      </c>
      <c r="C75" s="14"/>
      <c r="D75" s="14"/>
      <c r="E75" s="14"/>
      <c r="F75" s="14"/>
      <c r="G75" s="14"/>
      <c r="H75" s="14"/>
      <c r="I75" s="14"/>
      <c r="J75" s="14"/>
      <c r="K75" s="14"/>
      <c r="L75" s="14"/>
      <c r="M75" s="14"/>
    </row>
    <row r="76" spans="2:13" x14ac:dyDescent="0.2">
      <c r="B76" s="628" t="s">
        <v>2761</v>
      </c>
      <c r="C76" s="14"/>
      <c r="D76" s="14"/>
      <c r="E76" s="14"/>
      <c r="F76" s="14"/>
      <c r="G76" s="14"/>
      <c r="H76" s="14"/>
      <c r="I76" s="14"/>
      <c r="J76" s="14"/>
      <c r="K76" s="14"/>
      <c r="L76" s="14"/>
      <c r="M76" s="14"/>
    </row>
  </sheetData>
  <pageMargins left="0.7" right="0.7" top="0.75" bottom="0.75" header="0.3" footer="0.3"/>
  <pageSetup scale="57" fitToHeight="0" orientation="landscape" cellComments="asDisplayed" r:id="rId1"/>
  <headerFooter>
    <oddHeader>&amp;CSchedule 5 ROR-2
Return and Capitalization&amp;"Arial,Bold"
Exhibit G-2</oddHeader>
    <oddFooter>&amp;R5-ROR-2</oddFooter>
  </headerFooter>
  <rowBreaks count="1" manualBreakCount="1">
    <brk id="41" max="1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84"/>
  <sheetViews>
    <sheetView zoomScale="85" zoomScaleNormal="85" workbookViewId="0"/>
  </sheetViews>
  <sheetFormatPr defaultRowHeight="12.75" x14ac:dyDescent="0.2"/>
  <cols>
    <col min="1" max="1" width="4.7109375" customWidth="1"/>
    <col min="2" max="2" width="10.7109375" customWidth="1"/>
    <col min="3" max="13" width="13.7109375" customWidth="1"/>
  </cols>
  <sheetData>
    <row r="1" spans="1:13" x14ac:dyDescent="0.2">
      <c r="A1" s="456" t="s">
        <v>1444</v>
      </c>
      <c r="B1" s="238"/>
      <c r="C1" s="238"/>
      <c r="D1" s="238"/>
      <c r="E1" s="238"/>
      <c r="F1" s="238"/>
      <c r="G1" s="238"/>
      <c r="H1" s="238"/>
      <c r="I1" s="644" t="s">
        <v>17</v>
      </c>
      <c r="J1" s="457"/>
      <c r="K1" s="238"/>
      <c r="L1" s="238"/>
    </row>
    <row r="2" spans="1:13" x14ac:dyDescent="0.2">
      <c r="A2" s="456"/>
      <c r="B2" s="238"/>
      <c r="C2" s="238"/>
      <c r="D2" s="238"/>
      <c r="E2" s="238"/>
      <c r="F2" s="238"/>
      <c r="G2" s="238"/>
      <c r="H2" s="238"/>
      <c r="I2" s="238"/>
      <c r="J2" s="238"/>
      <c r="K2" s="238"/>
      <c r="L2" s="238"/>
    </row>
    <row r="3" spans="1:13" x14ac:dyDescent="0.2">
      <c r="A3" s="456"/>
      <c r="B3" s="456" t="s">
        <v>360</v>
      </c>
      <c r="C3" s="238"/>
      <c r="D3" s="238"/>
      <c r="E3" s="238"/>
      <c r="F3" s="238"/>
      <c r="G3" s="238"/>
      <c r="H3" s="238"/>
      <c r="I3" s="238"/>
      <c r="J3" s="238"/>
      <c r="K3" s="238"/>
      <c r="L3" s="238"/>
    </row>
    <row r="4" spans="1:13" x14ac:dyDescent="0.2">
      <c r="A4" s="456"/>
      <c r="B4" s="456"/>
      <c r="C4" s="238"/>
      <c r="D4" s="238"/>
      <c r="E4" s="238"/>
      <c r="F4" s="238"/>
      <c r="G4" s="238"/>
      <c r="H4" s="238"/>
      <c r="I4" s="238"/>
      <c r="J4" s="238"/>
      <c r="K4" s="238"/>
      <c r="L4" s="238"/>
    </row>
    <row r="5" spans="1:13" x14ac:dyDescent="0.2">
      <c r="A5" s="456"/>
      <c r="B5" s="626" t="s">
        <v>1980</v>
      </c>
      <c r="C5" s="238"/>
      <c r="D5" s="238"/>
      <c r="E5" s="238"/>
      <c r="F5" s="238"/>
      <c r="G5" s="238"/>
      <c r="H5" s="626"/>
      <c r="I5" s="1024" t="s">
        <v>2246</v>
      </c>
      <c r="J5" s="262">
        <v>2011</v>
      </c>
      <c r="K5" s="238"/>
      <c r="L5" s="238"/>
    </row>
    <row r="6" spans="1:13" x14ac:dyDescent="0.2">
      <c r="A6" s="456"/>
      <c r="B6" s="626"/>
      <c r="C6" s="238"/>
      <c r="D6" s="238"/>
      <c r="E6" s="238"/>
      <c r="F6" s="238"/>
      <c r="G6" s="238"/>
      <c r="H6" s="238"/>
      <c r="I6" s="238"/>
      <c r="J6" s="238"/>
      <c r="K6" s="238"/>
      <c r="L6" s="238"/>
    </row>
    <row r="7" spans="1:13" x14ac:dyDescent="0.2">
      <c r="A7" s="456"/>
      <c r="B7" s="86" t="s">
        <v>403</v>
      </c>
      <c r="C7" s="86" t="s">
        <v>387</v>
      </c>
      <c r="D7" s="86" t="s">
        <v>388</v>
      </c>
      <c r="E7" s="86" t="s">
        <v>389</v>
      </c>
      <c r="F7" s="86" t="s">
        <v>390</v>
      </c>
      <c r="G7" s="86" t="s">
        <v>391</v>
      </c>
      <c r="H7" s="86" t="s">
        <v>392</v>
      </c>
      <c r="I7" s="86" t="s">
        <v>606</v>
      </c>
      <c r="J7" s="86" t="s">
        <v>1055</v>
      </c>
      <c r="K7" s="86" t="s">
        <v>1072</v>
      </c>
      <c r="L7" s="86" t="s">
        <v>1075</v>
      </c>
      <c r="M7" s="86" t="s">
        <v>1093</v>
      </c>
    </row>
    <row r="8" spans="1:13" x14ac:dyDescent="0.2">
      <c r="A8" s="238"/>
      <c r="B8" s="588"/>
      <c r="C8" s="238"/>
      <c r="D8" s="238"/>
      <c r="E8" s="238"/>
      <c r="F8" s="238"/>
      <c r="G8" s="238"/>
      <c r="H8" s="238"/>
      <c r="I8" s="238"/>
      <c r="J8" s="238"/>
      <c r="K8" s="238"/>
      <c r="M8" s="260" t="s">
        <v>1488</v>
      </c>
    </row>
    <row r="9" spans="1:13" x14ac:dyDescent="0.2">
      <c r="A9" s="238"/>
      <c r="B9" s="115"/>
      <c r="C9" s="86"/>
      <c r="D9" s="86"/>
      <c r="E9" s="238"/>
      <c r="F9" s="238"/>
      <c r="G9" s="238"/>
      <c r="H9" s="238"/>
      <c r="I9" s="238"/>
      <c r="J9" s="238"/>
      <c r="K9" s="238"/>
      <c r="L9" s="238"/>
    </row>
    <row r="10" spans="1:13" x14ac:dyDescent="0.2">
      <c r="A10" s="53" t="s">
        <v>369</v>
      </c>
      <c r="B10" s="129" t="s">
        <v>2295</v>
      </c>
      <c r="C10" s="86">
        <v>350.1</v>
      </c>
      <c r="D10" s="86">
        <v>350.2</v>
      </c>
      <c r="E10" s="86">
        <v>352</v>
      </c>
      <c r="F10" s="86">
        <v>353</v>
      </c>
      <c r="G10" s="86">
        <v>354</v>
      </c>
      <c r="H10" s="86">
        <v>355</v>
      </c>
      <c r="I10" s="86">
        <v>356</v>
      </c>
      <c r="J10" s="86">
        <v>357</v>
      </c>
      <c r="K10" s="86">
        <v>358</v>
      </c>
      <c r="L10" s="86">
        <v>359</v>
      </c>
      <c r="M10" s="3" t="s">
        <v>224</v>
      </c>
    </row>
    <row r="11" spans="1:13" x14ac:dyDescent="0.2">
      <c r="A11" s="713">
        <v>1</v>
      </c>
      <c r="B11" s="1006" t="s">
        <v>2907</v>
      </c>
      <c r="C11" s="715">
        <v>73238678.133749753</v>
      </c>
      <c r="D11" s="715">
        <v>80739599.943877995</v>
      </c>
      <c r="E11" s="715">
        <v>175457663</v>
      </c>
      <c r="F11" s="715">
        <v>1680213303</v>
      </c>
      <c r="G11" s="715">
        <v>625307190</v>
      </c>
      <c r="H11" s="715">
        <v>113770199</v>
      </c>
      <c r="I11" s="715">
        <v>422173397</v>
      </c>
      <c r="J11" s="715">
        <v>284096</v>
      </c>
      <c r="K11" s="715">
        <v>2302928</v>
      </c>
      <c r="L11" s="715">
        <v>28619068</v>
      </c>
      <c r="M11" s="240">
        <f t="shared" ref="M11:M23" si="0">SUM(C11:L11)</f>
        <v>3202106122.0776277</v>
      </c>
    </row>
    <row r="12" spans="1:13" x14ac:dyDescent="0.2">
      <c r="A12" s="713">
        <f>A11+1</f>
        <v>2</v>
      </c>
      <c r="B12" s="1007" t="s">
        <v>2908</v>
      </c>
      <c r="C12" s="242">
        <f t="shared" ref="C12:C22" si="1">C146+C94 +C11</f>
        <v>73457066.593749762</v>
      </c>
      <c r="D12" s="255">
        <f t="shared" ref="D12:D22" si="2">D146+D94 +D11</f>
        <v>80546971.169541121</v>
      </c>
      <c r="E12" s="242">
        <f t="shared" ref="E12:E22" si="3">E146+E94 +E11</f>
        <v>175531481.41356131</v>
      </c>
      <c r="F12" s="242">
        <f t="shared" ref="F12:F22" si="4">F146+F94 +F11</f>
        <v>1682797635.0329154</v>
      </c>
      <c r="G12" s="242">
        <f t="shared" ref="G12:G22" si="5">G146+G94 +G11</f>
        <v>567348227.32210553</v>
      </c>
      <c r="H12" s="242">
        <f t="shared" ref="H12:H22" si="6">H146+H94 +H11</f>
        <v>113938318.92202199</v>
      </c>
      <c r="I12" s="242">
        <f t="shared" ref="I12:I22" si="7">I146+I94 +I11</f>
        <v>481950573.18677878</v>
      </c>
      <c r="J12" s="242">
        <f t="shared" ref="J12:J22" si="8">J146+J94 +J11</f>
        <v>295577.7987194506</v>
      </c>
      <c r="K12" s="242">
        <f t="shared" ref="K12:K22" si="9">K146+K94 +K11</f>
        <v>2404664.3934925948</v>
      </c>
      <c r="L12" s="242">
        <f t="shared" ref="L12:L22" si="10">L146+L94 +L11</f>
        <v>28589734.865862545</v>
      </c>
      <c r="M12" s="240">
        <f t="shared" si="0"/>
        <v>3206860250.6987481</v>
      </c>
    </row>
    <row r="13" spans="1:13" x14ac:dyDescent="0.2">
      <c r="A13" s="713">
        <f t="shared" ref="A13:A24" si="11">A12+1</f>
        <v>3</v>
      </c>
      <c r="B13" s="1006" t="s">
        <v>2909</v>
      </c>
      <c r="C13" s="242">
        <f t="shared" si="1"/>
        <v>74787427.373749748</v>
      </c>
      <c r="D13" s="255">
        <f t="shared" si="2"/>
        <v>80611200.853383794</v>
      </c>
      <c r="E13" s="242">
        <f t="shared" si="3"/>
        <v>169945548.55485356</v>
      </c>
      <c r="F13" s="242">
        <f t="shared" si="4"/>
        <v>1690133298.3933339</v>
      </c>
      <c r="G13" s="242">
        <f t="shared" si="5"/>
        <v>567137048.72267985</v>
      </c>
      <c r="H13" s="242">
        <f t="shared" si="6"/>
        <v>113779196.70482847</v>
      </c>
      <c r="I13" s="242">
        <f t="shared" si="7"/>
        <v>481820290.49641466</v>
      </c>
      <c r="J13" s="242">
        <f t="shared" si="8"/>
        <v>279721.12840740097</v>
      </c>
      <c r="K13" s="242">
        <f t="shared" si="9"/>
        <v>2294339.9336039471</v>
      </c>
      <c r="L13" s="242">
        <f t="shared" si="10"/>
        <v>28585656.244062718</v>
      </c>
      <c r="M13" s="240">
        <f t="shared" si="0"/>
        <v>3209373728.4053178</v>
      </c>
    </row>
    <row r="14" spans="1:13" x14ac:dyDescent="0.2">
      <c r="A14" s="713">
        <f t="shared" si="11"/>
        <v>4</v>
      </c>
      <c r="B14" s="1006" t="s">
        <v>2910</v>
      </c>
      <c r="C14" s="242">
        <f t="shared" si="1"/>
        <v>74795217.34160465</v>
      </c>
      <c r="D14" s="255">
        <f t="shared" si="2"/>
        <v>80612219.087539837</v>
      </c>
      <c r="E14" s="242">
        <f t="shared" si="3"/>
        <v>169790453.84600785</v>
      </c>
      <c r="F14" s="242">
        <f t="shared" si="4"/>
        <v>1690160751.3703785</v>
      </c>
      <c r="G14" s="242">
        <f t="shared" si="5"/>
        <v>567661454.0895505</v>
      </c>
      <c r="H14" s="242">
        <f t="shared" si="6"/>
        <v>113755178.2007353</v>
      </c>
      <c r="I14" s="242">
        <f t="shared" si="7"/>
        <v>481718133.36987513</v>
      </c>
      <c r="J14" s="242">
        <f t="shared" si="8"/>
        <v>279788.08779118274</v>
      </c>
      <c r="K14" s="242">
        <f t="shared" si="9"/>
        <v>2027535.8746725109</v>
      </c>
      <c r="L14" s="242">
        <f t="shared" si="10"/>
        <v>28585632.637573875</v>
      </c>
      <c r="M14" s="240">
        <f t="shared" si="0"/>
        <v>3209386363.9057283</v>
      </c>
    </row>
    <row r="15" spans="1:13" x14ac:dyDescent="0.2">
      <c r="A15" s="713">
        <f t="shared" si="11"/>
        <v>5</v>
      </c>
      <c r="B15" s="1007" t="s">
        <v>2911</v>
      </c>
      <c r="C15" s="242">
        <f t="shared" si="1"/>
        <v>74795234.991604626</v>
      </c>
      <c r="D15" s="255">
        <f t="shared" si="2"/>
        <v>80612604.237539843</v>
      </c>
      <c r="E15" s="242">
        <f t="shared" si="3"/>
        <v>169924864.5307903</v>
      </c>
      <c r="F15" s="242">
        <f t="shared" si="4"/>
        <v>1696326180.1864076</v>
      </c>
      <c r="G15" s="242">
        <f t="shared" si="5"/>
        <v>566761574.36815965</v>
      </c>
      <c r="H15" s="242">
        <f t="shared" si="6"/>
        <v>113916544.10908431</v>
      </c>
      <c r="I15" s="242">
        <f t="shared" si="7"/>
        <v>481642641.87827826</v>
      </c>
      <c r="J15" s="242">
        <f t="shared" si="8"/>
        <v>279915.33529867319</v>
      </c>
      <c r="K15" s="242">
        <f t="shared" si="9"/>
        <v>2032633.7046299321</v>
      </c>
      <c r="L15" s="242">
        <f t="shared" si="10"/>
        <v>28579816.914835498</v>
      </c>
      <c r="M15" s="240">
        <f t="shared" si="0"/>
        <v>3214872010.2566285</v>
      </c>
    </row>
    <row r="16" spans="1:13" x14ac:dyDescent="0.2">
      <c r="A16" s="713">
        <f t="shared" si="11"/>
        <v>6</v>
      </c>
      <c r="B16" s="1006" t="s">
        <v>2912</v>
      </c>
      <c r="C16" s="242">
        <f t="shared" si="1"/>
        <v>74795238.761604637</v>
      </c>
      <c r="D16" s="255">
        <f t="shared" si="2"/>
        <v>80620100.959240481</v>
      </c>
      <c r="E16" s="242">
        <f t="shared" si="3"/>
        <v>170558043.70641863</v>
      </c>
      <c r="F16" s="242">
        <f t="shared" si="4"/>
        <v>1714436872.5787203</v>
      </c>
      <c r="G16" s="242">
        <f t="shared" si="5"/>
        <v>566864531.86583722</v>
      </c>
      <c r="H16" s="242">
        <f t="shared" si="6"/>
        <v>113893083.50910904</v>
      </c>
      <c r="I16" s="242">
        <f t="shared" si="7"/>
        <v>482371550.71679872</v>
      </c>
      <c r="J16" s="242">
        <f t="shared" si="8"/>
        <v>288922.15985010547</v>
      </c>
      <c r="K16" s="242">
        <f t="shared" si="9"/>
        <v>2136935.5571260513</v>
      </c>
      <c r="L16" s="242">
        <f t="shared" si="10"/>
        <v>28573849.40020011</v>
      </c>
      <c r="M16" s="240">
        <f t="shared" si="0"/>
        <v>3234539129.2149053</v>
      </c>
    </row>
    <row r="17" spans="1:15" x14ac:dyDescent="0.2">
      <c r="A17" s="713">
        <f t="shared" si="11"/>
        <v>7</v>
      </c>
      <c r="B17" s="1006" t="s">
        <v>2913</v>
      </c>
      <c r="C17" s="242">
        <f t="shared" si="1"/>
        <v>74844263.131604627</v>
      </c>
      <c r="D17" s="255">
        <f t="shared" si="2"/>
        <v>81691265.588791117</v>
      </c>
      <c r="E17" s="242">
        <f t="shared" si="3"/>
        <v>170958762.27738491</v>
      </c>
      <c r="F17" s="242">
        <f t="shared" si="4"/>
        <v>1735666103.3151286</v>
      </c>
      <c r="G17" s="242">
        <f t="shared" si="5"/>
        <v>577247106.14222729</v>
      </c>
      <c r="H17" s="242">
        <f t="shared" si="6"/>
        <v>114731218.22735055</v>
      </c>
      <c r="I17" s="242">
        <f t="shared" si="7"/>
        <v>494362200.46276397</v>
      </c>
      <c r="J17" s="242">
        <f t="shared" si="8"/>
        <v>482728.24136280821</v>
      </c>
      <c r="K17" s="242">
        <f t="shared" si="9"/>
        <v>2163631.5885720174</v>
      </c>
      <c r="L17" s="242">
        <f t="shared" si="10"/>
        <v>28542191.855289228</v>
      </c>
      <c r="M17" s="240">
        <f t="shared" si="0"/>
        <v>3280689470.8304749</v>
      </c>
    </row>
    <row r="18" spans="1:15" x14ac:dyDescent="0.2">
      <c r="A18" s="713">
        <f t="shared" si="11"/>
        <v>8</v>
      </c>
      <c r="B18" s="1007" t="s">
        <v>2914</v>
      </c>
      <c r="C18" s="242">
        <f t="shared" si="1"/>
        <v>74920480.484972969</v>
      </c>
      <c r="D18" s="255">
        <f t="shared" si="2"/>
        <v>81729920.444638789</v>
      </c>
      <c r="E18" s="242">
        <f t="shared" si="3"/>
        <v>171060161.05498421</v>
      </c>
      <c r="F18" s="242">
        <f t="shared" si="4"/>
        <v>1743964017.9181209</v>
      </c>
      <c r="G18" s="242">
        <f t="shared" si="5"/>
        <v>574223967.56237209</v>
      </c>
      <c r="H18" s="242">
        <f t="shared" si="6"/>
        <v>114567872.98898427</v>
      </c>
      <c r="I18" s="242">
        <f t="shared" si="7"/>
        <v>492517255.01446348</v>
      </c>
      <c r="J18" s="242">
        <f t="shared" si="8"/>
        <v>559089.52905644081</v>
      </c>
      <c r="K18" s="242">
        <f t="shared" si="9"/>
        <v>3553785.0588286985</v>
      </c>
      <c r="L18" s="242">
        <f t="shared" si="10"/>
        <v>28542591.060878161</v>
      </c>
      <c r="M18" s="240">
        <f t="shared" si="0"/>
        <v>3285639141.1173</v>
      </c>
    </row>
    <row r="19" spans="1:15" x14ac:dyDescent="0.2">
      <c r="A19" s="713">
        <f t="shared" si="11"/>
        <v>9</v>
      </c>
      <c r="B19" s="1006" t="s">
        <v>2915</v>
      </c>
      <c r="C19" s="242">
        <f t="shared" si="1"/>
        <v>74920537.504972965</v>
      </c>
      <c r="D19" s="255">
        <f t="shared" si="2"/>
        <v>81744340.133592948</v>
      </c>
      <c r="E19" s="242">
        <f t="shared" si="3"/>
        <v>171926958.43963206</v>
      </c>
      <c r="F19" s="242">
        <f t="shared" si="4"/>
        <v>1746839739.1766684</v>
      </c>
      <c r="G19" s="242">
        <f t="shared" si="5"/>
        <v>574264332.90075576</v>
      </c>
      <c r="H19" s="242">
        <f t="shared" si="6"/>
        <v>114577668.41572046</v>
      </c>
      <c r="I19" s="242">
        <f t="shared" si="7"/>
        <v>493513717.9861328</v>
      </c>
      <c r="J19" s="242">
        <f t="shared" si="8"/>
        <v>576137.02659772732</v>
      </c>
      <c r="K19" s="242">
        <f t="shared" si="9"/>
        <v>3735050.8809699151</v>
      </c>
      <c r="L19" s="242">
        <f t="shared" si="10"/>
        <v>28542594.018175934</v>
      </c>
      <c r="M19" s="240">
        <f t="shared" si="0"/>
        <v>3290641076.4832187</v>
      </c>
    </row>
    <row r="20" spans="1:15" x14ac:dyDescent="0.2">
      <c r="A20" s="713">
        <f t="shared" si="11"/>
        <v>10</v>
      </c>
      <c r="B20" s="1006" t="s">
        <v>2916</v>
      </c>
      <c r="C20" s="242">
        <f t="shared" si="1"/>
        <v>74920593.214972973</v>
      </c>
      <c r="D20" s="255">
        <f t="shared" si="2"/>
        <v>81754779.851453379</v>
      </c>
      <c r="E20" s="242">
        <f t="shared" si="3"/>
        <v>171968348.03331807</v>
      </c>
      <c r="F20" s="242">
        <f t="shared" si="4"/>
        <v>1749282821.7081285</v>
      </c>
      <c r="G20" s="242">
        <f t="shared" si="5"/>
        <v>549677061.82516789</v>
      </c>
      <c r="H20" s="242">
        <f t="shared" si="6"/>
        <v>131446925.18969929</v>
      </c>
      <c r="I20" s="242">
        <f t="shared" si="7"/>
        <v>422626020.18010461</v>
      </c>
      <c r="J20" s="242">
        <f t="shared" si="8"/>
        <v>574863.10573136655</v>
      </c>
      <c r="K20" s="242">
        <f t="shared" si="9"/>
        <v>3570476.482585304</v>
      </c>
      <c r="L20" s="830">
        <f t="shared" si="10"/>
        <v>110386399.15906338</v>
      </c>
      <c r="M20" s="240">
        <f t="shared" si="0"/>
        <v>3296208288.7502246</v>
      </c>
    </row>
    <row r="21" spans="1:15" x14ac:dyDescent="0.2">
      <c r="A21" s="713">
        <f t="shared" si="11"/>
        <v>11</v>
      </c>
      <c r="B21" s="1007" t="s">
        <v>2917</v>
      </c>
      <c r="C21" s="242">
        <f t="shared" si="1"/>
        <v>74920598.90497297</v>
      </c>
      <c r="D21" s="255">
        <f t="shared" si="2"/>
        <v>81804912.711581707</v>
      </c>
      <c r="E21" s="242">
        <f t="shared" si="3"/>
        <v>171978342.0634681</v>
      </c>
      <c r="F21" s="242">
        <f t="shared" si="4"/>
        <v>1747977368.9915271</v>
      </c>
      <c r="G21" s="242">
        <f t="shared" si="5"/>
        <v>549752297.94316494</v>
      </c>
      <c r="H21" s="242">
        <f t="shared" si="6"/>
        <v>131513375.04205282</v>
      </c>
      <c r="I21" s="242">
        <f t="shared" si="7"/>
        <v>422414349.0881362</v>
      </c>
      <c r="J21" s="242">
        <f t="shared" si="8"/>
        <v>573331.26492349117</v>
      </c>
      <c r="K21" s="242">
        <f t="shared" si="9"/>
        <v>3537284.2586575979</v>
      </c>
      <c r="L21" s="242">
        <f t="shared" si="10"/>
        <v>110386758.85783069</v>
      </c>
      <c r="M21" s="240">
        <f t="shared" si="0"/>
        <v>3294858619.1263151</v>
      </c>
    </row>
    <row r="22" spans="1:15" x14ac:dyDescent="0.2">
      <c r="A22" s="713">
        <f t="shared" si="11"/>
        <v>12</v>
      </c>
      <c r="B22" s="1007" t="s">
        <v>2918</v>
      </c>
      <c r="C22" s="242">
        <f t="shared" si="1"/>
        <v>74633156.694972962</v>
      </c>
      <c r="D22" s="255">
        <f t="shared" si="2"/>
        <v>82090720.20901759</v>
      </c>
      <c r="E22" s="242">
        <f t="shared" si="3"/>
        <v>171931707.14933094</v>
      </c>
      <c r="F22" s="242">
        <f t="shared" si="4"/>
        <v>1754489044.7857895</v>
      </c>
      <c r="G22" s="242">
        <f t="shared" si="5"/>
        <v>549890096.5202713</v>
      </c>
      <c r="H22" s="242">
        <f t="shared" si="6"/>
        <v>131633764.98054659</v>
      </c>
      <c r="I22" s="242">
        <f t="shared" si="7"/>
        <v>422512012.3417123</v>
      </c>
      <c r="J22" s="242">
        <f t="shared" si="8"/>
        <v>566811.76181018155</v>
      </c>
      <c r="K22" s="242">
        <f t="shared" si="9"/>
        <v>3500178.0403815792</v>
      </c>
      <c r="L22" s="242">
        <f t="shared" si="10"/>
        <v>110386745.74886647</v>
      </c>
      <c r="M22" s="240">
        <f t="shared" si="0"/>
        <v>3301634238.2326994</v>
      </c>
    </row>
    <row r="23" spans="1:15" x14ac:dyDescent="0.2">
      <c r="A23" s="713">
        <f t="shared" si="11"/>
        <v>13</v>
      </c>
      <c r="B23" s="1006" t="s">
        <v>2919</v>
      </c>
      <c r="C23" s="121">
        <v>74607469.009499431</v>
      </c>
      <c r="D23" s="121">
        <v>82090980.758505225</v>
      </c>
      <c r="E23" s="595">
        <f>'7-PlantStudy'!E10</f>
        <v>170948030</v>
      </c>
      <c r="F23" s="595">
        <f>'7-PlantStudy'!E11</f>
        <v>1756511619</v>
      </c>
      <c r="G23" s="595">
        <f>'7-PlantStudy'!E20</f>
        <v>550516805</v>
      </c>
      <c r="H23" s="595">
        <f>'7-PlantStudy'!E21</f>
        <v>132075054</v>
      </c>
      <c r="I23" s="595">
        <f>'7-PlantStudy'!E22</f>
        <v>421892563</v>
      </c>
      <c r="J23" s="595">
        <f>'7-PlantStudy'!E23</f>
        <v>558943</v>
      </c>
      <c r="K23" s="595">
        <f>'7-PlantStudy'!E24</f>
        <v>3408604</v>
      </c>
      <c r="L23" s="595">
        <f>'7-PlantStudy'!E25</f>
        <v>110352407</v>
      </c>
      <c r="M23" s="385">
        <f t="shared" si="0"/>
        <v>3302962474.7680044</v>
      </c>
      <c r="O23" s="1"/>
    </row>
    <row r="24" spans="1:15" x14ac:dyDescent="0.2">
      <c r="A24" s="713">
        <f t="shared" si="11"/>
        <v>14</v>
      </c>
      <c r="B24" s="717" t="s">
        <v>1445</v>
      </c>
      <c r="C24" s="240">
        <f t="shared" ref="C24:M24" si="12">AVERAGE(C11:C23)</f>
        <v>74587381.703233227</v>
      </c>
      <c r="D24" s="240">
        <f t="shared" si="12"/>
        <v>81280739.688361853</v>
      </c>
      <c r="E24" s="240">
        <f t="shared" si="12"/>
        <v>171690797.23613459</v>
      </c>
      <c r="F24" s="240">
        <f t="shared" si="12"/>
        <v>1722215288.8813167</v>
      </c>
      <c r="G24" s="240">
        <f t="shared" si="12"/>
        <v>568203976.48171473</v>
      </c>
      <c r="H24" s="240">
        <f t="shared" si="12"/>
        <v>119507569.17616408</v>
      </c>
      <c r="I24" s="240">
        <f t="shared" si="12"/>
        <v>461654977.28626597</v>
      </c>
      <c r="J24" s="240">
        <f t="shared" si="12"/>
        <v>430763.418426833</v>
      </c>
      <c r="K24" s="240">
        <f t="shared" si="12"/>
        <v>2820619.0595015492</v>
      </c>
      <c r="L24" s="240">
        <f t="shared" si="12"/>
        <v>53744111.21251066</v>
      </c>
      <c r="M24" s="240">
        <f t="shared" si="12"/>
        <v>3256136224.14363</v>
      </c>
    </row>
    <row r="25" spans="1:15" x14ac:dyDescent="0.2">
      <c r="A25" s="626"/>
      <c r="B25" s="626"/>
      <c r="C25" s="626"/>
      <c r="D25" s="626"/>
      <c r="E25" s="626"/>
      <c r="F25" s="626"/>
      <c r="G25" s="626"/>
      <c r="H25" s="626"/>
      <c r="I25" s="626"/>
      <c r="J25" s="626"/>
      <c r="K25" s="626"/>
      <c r="L25" s="626"/>
    </row>
    <row r="26" spans="1:15" x14ac:dyDescent="0.2">
      <c r="A26" s="626"/>
      <c r="B26" s="456" t="s">
        <v>361</v>
      </c>
      <c r="C26" s="626"/>
      <c r="D26" s="626"/>
      <c r="E26" s="626"/>
      <c r="F26" s="626"/>
      <c r="G26" s="626"/>
      <c r="H26" s="626"/>
      <c r="I26" s="626"/>
      <c r="J26" s="626"/>
      <c r="K26" s="626"/>
      <c r="L26" s="626"/>
    </row>
    <row r="27" spans="1:15" x14ac:dyDescent="0.2">
      <c r="A27" s="626"/>
      <c r="B27" s="456"/>
      <c r="C27" s="626"/>
      <c r="D27" s="626"/>
      <c r="E27" s="626"/>
      <c r="F27" s="626"/>
      <c r="G27" s="626"/>
      <c r="H27" s="626"/>
      <c r="I27" s="626"/>
      <c r="J27" s="626"/>
      <c r="K27" s="626"/>
      <c r="L27" s="626"/>
    </row>
    <row r="28" spans="1:15" x14ac:dyDescent="0.2">
      <c r="A28" s="626"/>
      <c r="B28" s="248" t="s">
        <v>2247</v>
      </c>
      <c r="C28" s="628"/>
      <c r="D28" s="628"/>
      <c r="E28" s="628"/>
      <c r="F28" s="628"/>
      <c r="G28" s="628"/>
      <c r="H28" s="628"/>
      <c r="I28" s="626"/>
      <c r="J28" s="626"/>
      <c r="K28" s="626"/>
      <c r="L28" s="626"/>
    </row>
    <row r="29" spans="1:15" x14ac:dyDescent="0.2">
      <c r="A29" s="626"/>
      <c r="B29" s="1045"/>
      <c r="C29" s="628"/>
      <c r="D29" s="628"/>
      <c r="E29" s="628"/>
      <c r="F29" s="628"/>
      <c r="G29" s="628"/>
      <c r="H29" s="628"/>
      <c r="I29" s="626"/>
      <c r="J29" s="626"/>
      <c r="K29" s="626"/>
      <c r="L29" s="626"/>
    </row>
    <row r="30" spans="1:15" x14ac:dyDescent="0.2">
      <c r="A30" s="456"/>
      <c r="B30" s="376" t="s">
        <v>403</v>
      </c>
      <c r="C30" s="376" t="s">
        <v>387</v>
      </c>
      <c r="D30" s="376" t="s">
        <v>388</v>
      </c>
      <c r="E30" s="376" t="s">
        <v>389</v>
      </c>
      <c r="F30" s="376" t="s">
        <v>390</v>
      </c>
      <c r="G30" s="628"/>
      <c r="H30" s="628"/>
      <c r="I30" s="626"/>
      <c r="J30" s="626"/>
      <c r="K30" s="626"/>
      <c r="L30" s="626"/>
    </row>
    <row r="31" spans="1:15" x14ac:dyDescent="0.2">
      <c r="A31" s="238"/>
      <c r="B31" s="590"/>
      <c r="C31" s="248"/>
      <c r="D31" s="248"/>
      <c r="E31" s="248"/>
      <c r="F31" s="590" t="s">
        <v>1446</v>
      </c>
      <c r="G31" s="628"/>
      <c r="H31" s="628"/>
      <c r="K31" s="626"/>
      <c r="L31" s="626"/>
    </row>
    <row r="32" spans="1:15" x14ac:dyDescent="0.2">
      <c r="A32" s="238"/>
      <c r="B32" s="115"/>
      <c r="C32" s="376"/>
      <c r="D32" s="376"/>
      <c r="E32" s="248"/>
      <c r="F32" s="248"/>
      <c r="G32" s="628"/>
      <c r="H32" s="628"/>
      <c r="K32" s="626"/>
      <c r="L32" s="626"/>
    </row>
    <row r="33" spans="1:12" ht="12.75" customHeight="1" x14ac:dyDescent="0.2">
      <c r="A33" s="53" t="s">
        <v>369</v>
      </c>
      <c r="B33" s="129" t="s">
        <v>2295</v>
      </c>
      <c r="C33" s="589">
        <v>360</v>
      </c>
      <c r="D33" s="589">
        <v>361</v>
      </c>
      <c r="E33" s="589">
        <v>362</v>
      </c>
      <c r="F33" s="129" t="s">
        <v>224</v>
      </c>
      <c r="G33" s="628"/>
      <c r="H33" s="628"/>
      <c r="K33" s="626"/>
      <c r="L33" s="626"/>
    </row>
    <row r="34" spans="1:12" ht="12.75" customHeight="1" x14ac:dyDescent="0.2">
      <c r="A34" s="713">
        <f>A24+1</f>
        <v>15</v>
      </c>
      <c r="B34" s="1006" t="s">
        <v>2907</v>
      </c>
      <c r="C34" s="243">
        <v>25780</v>
      </c>
      <c r="D34" s="243">
        <v>1107531</v>
      </c>
      <c r="E34" s="243">
        <v>16087946</v>
      </c>
      <c r="F34" s="240">
        <f>SUM(C34:E34)</f>
        <v>17221257</v>
      </c>
      <c r="G34" s="626"/>
      <c r="H34" s="626"/>
      <c r="K34" s="626"/>
      <c r="L34" s="626"/>
    </row>
    <row r="35" spans="1:12" ht="12.75" customHeight="1" x14ac:dyDescent="0.2">
      <c r="A35" s="713">
        <f>A34+1</f>
        <v>16</v>
      </c>
      <c r="B35" s="1006" t="s">
        <v>2919</v>
      </c>
      <c r="C35" s="461">
        <v>75876</v>
      </c>
      <c r="D35" s="461">
        <v>683247</v>
      </c>
      <c r="E35" s="461">
        <v>5875711</v>
      </c>
      <c r="F35" s="385">
        <f>SUM(C35:E35)</f>
        <v>6634834</v>
      </c>
      <c r="G35" s="626"/>
      <c r="H35" s="626"/>
      <c r="K35" s="626"/>
      <c r="L35" s="626"/>
    </row>
    <row r="36" spans="1:12" ht="12.75" customHeight="1" x14ac:dyDescent="0.2">
      <c r="A36" s="713">
        <f>A35+1</f>
        <v>17</v>
      </c>
      <c r="B36" s="717" t="s">
        <v>1447</v>
      </c>
      <c r="C36" s="240">
        <f>AVERAGE(C34:C35)</f>
        <v>50828</v>
      </c>
      <c r="D36" s="240">
        <f>AVERAGE(D34:D35)</f>
        <v>895389</v>
      </c>
      <c r="E36" s="240">
        <f>AVERAGE(E34:E35)</f>
        <v>10981828.5</v>
      </c>
      <c r="F36" s="240">
        <f>AVERAGE(F34:F35)</f>
        <v>11928045.5</v>
      </c>
      <c r="G36" s="626"/>
      <c r="H36" s="626"/>
      <c r="K36" s="626"/>
      <c r="L36" s="626"/>
    </row>
    <row r="37" spans="1:12" ht="12.75" customHeight="1" x14ac:dyDescent="0.2">
      <c r="A37" s="626"/>
      <c r="B37" s="626"/>
      <c r="C37" s="626"/>
      <c r="D37" s="626"/>
      <c r="E37" s="626"/>
      <c r="F37" s="626"/>
      <c r="G37" s="626"/>
      <c r="H37" s="626"/>
      <c r="K37" s="626"/>
      <c r="L37" s="626"/>
    </row>
    <row r="38" spans="1:12" x14ac:dyDescent="0.2">
      <c r="A38" s="626"/>
      <c r="B38" s="1" t="s">
        <v>1158</v>
      </c>
      <c r="C38" s="22"/>
      <c r="D38" s="22"/>
      <c r="E38" s="718"/>
      <c r="F38" s="719"/>
      <c r="G38" s="720"/>
      <c r="H38" s="626"/>
      <c r="K38" s="626"/>
      <c r="L38" s="626"/>
    </row>
    <row r="39" spans="1:12" x14ac:dyDescent="0.2">
      <c r="A39" s="626"/>
      <c r="B39" s="626" t="s">
        <v>1159</v>
      </c>
      <c r="C39" s="22"/>
      <c r="D39" s="22"/>
      <c r="E39" s="718"/>
      <c r="F39" s="719"/>
      <c r="G39" s="720"/>
      <c r="H39" s="626"/>
      <c r="K39" s="626"/>
      <c r="L39" s="626"/>
    </row>
    <row r="40" spans="1:12" x14ac:dyDescent="0.2">
      <c r="A40" s="626"/>
      <c r="B40" s="626"/>
      <c r="C40" s="22"/>
      <c r="D40" s="22"/>
      <c r="E40" s="718"/>
      <c r="F40" s="719"/>
      <c r="G40" s="720"/>
      <c r="H40" s="626"/>
      <c r="K40" s="626"/>
      <c r="L40" s="626"/>
    </row>
    <row r="41" spans="1:12" x14ac:dyDescent="0.2">
      <c r="A41" s="626"/>
      <c r="B41" s="626"/>
      <c r="C41" s="22"/>
      <c r="D41" s="458" t="s">
        <v>203</v>
      </c>
      <c r="E41" s="459" t="s">
        <v>207</v>
      </c>
      <c r="F41" s="719"/>
      <c r="G41" s="720"/>
      <c r="H41" s="626"/>
      <c r="K41" s="626"/>
      <c r="L41" s="626"/>
    </row>
    <row r="42" spans="1:12" x14ac:dyDescent="0.2">
      <c r="A42" s="713">
        <f>A36+1</f>
        <v>18</v>
      </c>
      <c r="B42" s="626"/>
      <c r="C42" s="718" t="s">
        <v>362</v>
      </c>
      <c r="D42" s="719">
        <f>M24+F36</f>
        <v>3268064269.64363</v>
      </c>
      <c r="E42" s="721" t="str">
        <f>"Sum of Line "&amp;A24&amp;", "&amp;M7&amp;" and Line "&amp;A36&amp;", "&amp;F30&amp;""</f>
        <v>Sum of Line 14, Col 12 and Line 17, Col 5</v>
      </c>
      <c r="F42" s="626"/>
      <c r="G42" s="626"/>
      <c r="H42" s="626"/>
      <c r="K42" s="626"/>
      <c r="L42" s="626"/>
    </row>
    <row r="43" spans="1:12" x14ac:dyDescent="0.2">
      <c r="A43" s="713">
        <f>A42+1</f>
        <v>19</v>
      </c>
      <c r="B43" s="626"/>
      <c r="C43" s="718" t="s">
        <v>174</v>
      </c>
      <c r="D43" s="719">
        <f>M23+F35</f>
        <v>3309597308.7680044</v>
      </c>
      <c r="E43" s="721" t="str">
        <f>"Sum of Line "&amp;A23&amp;", "&amp;M7&amp;" and Line "&amp;A35&amp;", "&amp;F30&amp;""</f>
        <v>Sum of Line 13, Col 12 and Line 16, Col 5</v>
      </c>
      <c r="F43" s="626"/>
      <c r="G43" s="626"/>
      <c r="H43" s="626"/>
      <c r="I43" s="626"/>
      <c r="J43" s="626"/>
      <c r="K43" s="626"/>
      <c r="L43" s="626"/>
    </row>
    <row r="44" spans="1:12" x14ac:dyDescent="0.2">
      <c r="A44" s="626"/>
      <c r="B44" s="626"/>
      <c r="C44" s="22"/>
      <c r="D44" s="22"/>
      <c r="E44" s="722"/>
      <c r="F44" s="723"/>
      <c r="G44" s="724"/>
      <c r="H44" s="626"/>
      <c r="I44" s="626"/>
      <c r="J44" s="626"/>
      <c r="K44" s="626"/>
      <c r="L44" s="626"/>
    </row>
    <row r="45" spans="1:12" x14ac:dyDescent="0.2">
      <c r="A45" s="626"/>
      <c r="B45" s="1" t="s">
        <v>2248</v>
      </c>
      <c r="C45" s="626"/>
      <c r="D45" s="626"/>
      <c r="E45" s="722"/>
      <c r="F45" s="723"/>
      <c r="G45" s="724"/>
      <c r="H45" s="626"/>
      <c r="I45" s="626"/>
      <c r="J45" s="626"/>
      <c r="K45" s="626"/>
      <c r="L45" s="626"/>
    </row>
    <row r="46" spans="1:12" x14ac:dyDescent="0.2">
      <c r="A46" s="626"/>
      <c r="B46" s="630" t="s">
        <v>343</v>
      </c>
      <c r="C46" s="626"/>
      <c r="D46" s="626"/>
      <c r="E46" s="722"/>
      <c r="F46" s="723"/>
      <c r="G46" s="724"/>
      <c r="H46" s="626"/>
      <c r="I46" s="626"/>
      <c r="J46" s="626"/>
      <c r="K46" s="626"/>
      <c r="L46" s="626"/>
    </row>
    <row r="47" spans="1:12" ht="12.75" customHeight="1" x14ac:dyDescent="0.2">
      <c r="A47" s="626"/>
      <c r="B47" s="630"/>
      <c r="C47" s="626"/>
      <c r="D47" s="626"/>
      <c r="E47" s="722"/>
      <c r="F47" s="723"/>
      <c r="G47" s="724"/>
      <c r="H47" s="626"/>
      <c r="I47" s="626"/>
      <c r="J47" s="626"/>
      <c r="K47" s="626"/>
      <c r="L47" s="626"/>
    </row>
    <row r="48" spans="1:12" x14ac:dyDescent="0.2">
      <c r="A48" s="626"/>
      <c r="B48" s="1"/>
      <c r="C48" s="260" t="s">
        <v>404</v>
      </c>
      <c r="D48" s="626"/>
      <c r="E48" s="722"/>
      <c r="F48" s="86" t="s">
        <v>403</v>
      </c>
      <c r="G48" s="86" t="s">
        <v>387</v>
      </c>
      <c r="H48" s="86" t="s">
        <v>388</v>
      </c>
      <c r="I48" s="626"/>
      <c r="J48" s="626"/>
      <c r="K48" s="626"/>
      <c r="L48" s="626"/>
    </row>
    <row r="49" spans="1:12" x14ac:dyDescent="0.2">
      <c r="A49" s="626"/>
      <c r="B49" s="1"/>
      <c r="C49" s="713" t="s">
        <v>455</v>
      </c>
      <c r="D49" s="722"/>
      <c r="F49" s="713" t="s">
        <v>1471</v>
      </c>
      <c r="G49" s="713" t="s">
        <v>1472</v>
      </c>
      <c r="H49" s="77" t="s">
        <v>224</v>
      </c>
      <c r="I49" s="724"/>
      <c r="J49" s="626"/>
      <c r="K49" s="626"/>
      <c r="L49" s="626"/>
    </row>
    <row r="50" spans="1:12" x14ac:dyDescent="0.2">
      <c r="A50" s="626"/>
      <c r="B50" s="626"/>
      <c r="C50" s="713" t="s">
        <v>221</v>
      </c>
      <c r="D50" s="26" t="s">
        <v>222</v>
      </c>
      <c r="F50" s="26" t="s">
        <v>423</v>
      </c>
      <c r="G50" s="26" t="s">
        <v>423</v>
      </c>
      <c r="H50" s="26" t="s">
        <v>1448</v>
      </c>
      <c r="I50" s="26"/>
      <c r="J50" s="626"/>
      <c r="K50" s="626"/>
      <c r="L50" s="626"/>
    </row>
    <row r="51" spans="1:12" x14ac:dyDescent="0.2">
      <c r="A51" s="626"/>
      <c r="B51" s="626"/>
      <c r="C51" s="3" t="s">
        <v>220</v>
      </c>
      <c r="D51" s="25" t="s">
        <v>207</v>
      </c>
      <c r="F51" s="31" t="s">
        <v>2</v>
      </c>
      <c r="G51" s="31" t="s">
        <v>2</v>
      </c>
      <c r="H51" s="31" t="s">
        <v>2</v>
      </c>
      <c r="I51" s="29" t="s">
        <v>196</v>
      </c>
      <c r="J51" s="626"/>
      <c r="K51" s="626"/>
      <c r="L51" s="626"/>
    </row>
    <row r="52" spans="1:12" x14ac:dyDescent="0.2">
      <c r="A52" s="713">
        <f>A43+1</f>
        <v>20</v>
      </c>
      <c r="B52" s="626"/>
      <c r="C52" s="725" t="s">
        <v>208</v>
      </c>
      <c r="D52" s="726" t="s">
        <v>1473</v>
      </c>
      <c r="F52" s="111">
        <v>1804660920</v>
      </c>
      <c r="G52" s="715">
        <v>1315217471</v>
      </c>
      <c r="H52" s="719">
        <f>SUM(F52:G52)</f>
        <v>3119878391</v>
      </c>
      <c r="I52" s="726" t="s">
        <v>2249</v>
      </c>
      <c r="J52" s="628"/>
      <c r="K52" s="626"/>
      <c r="L52" s="626"/>
    </row>
    <row r="53" spans="1:12" ht="12.75" customHeight="1" x14ac:dyDescent="0.2">
      <c r="A53" s="713">
        <f>A52+1</f>
        <v>21</v>
      </c>
      <c r="B53" s="626"/>
      <c r="C53" s="714" t="s">
        <v>208</v>
      </c>
      <c r="D53" s="726" t="s">
        <v>2289</v>
      </c>
      <c r="E53" s="14"/>
      <c r="F53" s="111">
        <v>2123098622</v>
      </c>
      <c r="G53" s="715">
        <v>1557464316</v>
      </c>
      <c r="H53" s="719">
        <f>SUM(F53:G53)</f>
        <v>3680562938</v>
      </c>
      <c r="I53" s="625" t="s">
        <v>2250</v>
      </c>
      <c r="J53" s="628"/>
      <c r="K53" s="626"/>
      <c r="L53" s="626"/>
    </row>
    <row r="54" spans="1:12" ht="12.75" customHeight="1" x14ac:dyDescent="0.2">
      <c r="A54" s="626"/>
      <c r="B54" s="626"/>
      <c r="C54" s="714"/>
      <c r="D54" s="727"/>
      <c r="E54" s="728"/>
      <c r="F54" s="719"/>
      <c r="G54" s="630"/>
      <c r="H54" s="626"/>
      <c r="I54" s="626"/>
      <c r="J54" s="626"/>
      <c r="K54" s="626"/>
      <c r="L54" s="626"/>
    </row>
    <row r="55" spans="1:12" ht="12.75" customHeight="1" x14ac:dyDescent="0.2">
      <c r="A55" s="626"/>
      <c r="B55" s="626"/>
      <c r="C55" s="22" t="s">
        <v>1475</v>
      </c>
      <c r="D55" s="22"/>
      <c r="E55" s="722"/>
      <c r="F55" s="459" t="s">
        <v>203</v>
      </c>
      <c r="G55" s="460" t="s">
        <v>207</v>
      </c>
      <c r="H55" s="626"/>
      <c r="I55" s="626"/>
      <c r="J55" s="626"/>
      <c r="K55" s="626"/>
      <c r="L55" s="626"/>
    </row>
    <row r="56" spans="1:12" x14ac:dyDescent="0.2">
      <c r="A56" s="713">
        <f>A53+1</f>
        <v>22</v>
      </c>
      <c r="B56" s="626"/>
      <c r="C56" s="22"/>
      <c r="D56" s="22"/>
      <c r="E56" s="718" t="s">
        <v>94</v>
      </c>
      <c r="F56" s="719">
        <f>(H52+H53)/2</f>
        <v>3400220664.5</v>
      </c>
      <c r="G56" s="729" t="str">
        <f>"Average of Line "&amp;A52&amp;" and "&amp;A53&amp;"."</f>
        <v>Average of Line 20 and 21.</v>
      </c>
      <c r="H56" s="626"/>
      <c r="I56" s="626"/>
      <c r="J56" s="626"/>
      <c r="K56" s="626"/>
      <c r="L56" s="626"/>
    </row>
    <row r="57" spans="1:12" x14ac:dyDescent="0.2">
      <c r="A57" s="713">
        <f>A56+1</f>
        <v>23</v>
      </c>
      <c r="B57" s="626"/>
      <c r="C57" s="22"/>
      <c r="D57" s="22"/>
      <c r="E57" s="730" t="s">
        <v>274</v>
      </c>
      <c r="F57" s="36">
        <f>'27-Allocators'!G15</f>
        <v>3.9273273898169321E-2</v>
      </c>
      <c r="G57" s="729" t="str">
        <f>"27-Allocators, Line "&amp;'27-Allocators'!A15&amp;""</f>
        <v>27-Allocators, Line 9</v>
      </c>
      <c r="H57" s="626"/>
      <c r="I57" s="626"/>
      <c r="J57" s="626"/>
      <c r="K57" s="626"/>
      <c r="L57" s="626"/>
    </row>
    <row r="58" spans="1:12" x14ac:dyDescent="0.2">
      <c r="A58" s="713">
        <f>A57+1</f>
        <v>24</v>
      </c>
      <c r="B58" s="626"/>
      <c r="C58" s="22"/>
      <c r="D58" s="22"/>
      <c r="E58" s="730" t="s">
        <v>344</v>
      </c>
      <c r="F58" s="719">
        <f>F56*F57</f>
        <v>133537797.4711238</v>
      </c>
      <c r="G58" s="729" t="str">
        <f>"Line "&amp;A56&amp;" * Line "&amp;A57&amp;"."</f>
        <v>Line 22 * Line 23.</v>
      </c>
      <c r="H58" s="626"/>
      <c r="I58" s="626"/>
      <c r="J58" s="626"/>
      <c r="K58" s="626"/>
      <c r="L58" s="626"/>
    </row>
    <row r="59" spans="1:12" x14ac:dyDescent="0.2">
      <c r="A59" s="626"/>
      <c r="B59" s="626"/>
      <c r="C59" s="22"/>
      <c r="D59" s="22"/>
      <c r="E59" s="730"/>
      <c r="F59" s="719"/>
      <c r="G59" s="720"/>
      <c r="H59" s="626"/>
      <c r="I59" s="626"/>
      <c r="J59" s="626"/>
      <c r="K59" s="626"/>
      <c r="L59" s="626"/>
    </row>
    <row r="60" spans="1:12" x14ac:dyDescent="0.2">
      <c r="A60" s="626"/>
      <c r="B60" s="626"/>
      <c r="C60" s="22" t="s">
        <v>1474</v>
      </c>
      <c r="D60" s="22"/>
      <c r="E60" s="722"/>
      <c r="F60" s="459" t="s">
        <v>203</v>
      </c>
      <c r="G60" s="460" t="s">
        <v>207</v>
      </c>
      <c r="H60" s="626"/>
      <c r="I60" s="626"/>
      <c r="J60" s="626"/>
      <c r="K60" s="626"/>
      <c r="L60" s="626"/>
    </row>
    <row r="61" spans="1:12" x14ac:dyDescent="0.2">
      <c r="A61" s="713">
        <f>A58+1</f>
        <v>25</v>
      </c>
      <c r="B61" s="626"/>
      <c r="C61" s="22"/>
      <c r="D61" s="22"/>
      <c r="E61" s="718" t="s">
        <v>174</v>
      </c>
      <c r="F61" s="719">
        <f>H53</f>
        <v>3680562938</v>
      </c>
      <c r="G61" s="729" t="str">
        <f>"Line "&amp;A53&amp;"."</f>
        <v>Line 21.</v>
      </c>
      <c r="H61" s="626"/>
      <c r="I61" s="626"/>
      <c r="J61" s="626"/>
      <c r="K61" s="626"/>
      <c r="L61" s="626"/>
    </row>
    <row r="62" spans="1:12" x14ac:dyDescent="0.2">
      <c r="A62" s="713">
        <f>A61+1</f>
        <v>26</v>
      </c>
      <c r="B62" s="626"/>
      <c r="C62" s="22"/>
      <c r="D62" s="22"/>
      <c r="E62" s="730" t="s">
        <v>274</v>
      </c>
      <c r="F62" s="36">
        <f>'27-Allocators'!G15</f>
        <v>3.9273273898169321E-2</v>
      </c>
      <c r="G62" s="729" t="str">
        <f>"27-Allocators, Line "&amp;'27-Allocators'!A15&amp;""</f>
        <v>27-Allocators, Line 9</v>
      </c>
      <c r="H62" s="626"/>
      <c r="I62" s="626"/>
      <c r="J62" s="626"/>
      <c r="K62" s="626"/>
      <c r="L62" s="626"/>
    </row>
    <row r="63" spans="1:12" x14ac:dyDescent="0.2">
      <c r="A63" s="713">
        <f>A62+1</f>
        <v>27</v>
      </c>
      <c r="B63" s="626"/>
      <c r="C63" s="22"/>
      <c r="D63" s="22"/>
      <c r="E63" s="730" t="s">
        <v>344</v>
      </c>
      <c r="F63" s="719">
        <f>F61*F62</f>
        <v>144547756.36352479</v>
      </c>
      <c r="G63" s="729" t="str">
        <f>"Line "&amp;A61&amp;" * Line "&amp;A62&amp;"."</f>
        <v>Line 25 * Line 26.</v>
      </c>
      <c r="H63" s="626"/>
      <c r="I63" s="626"/>
      <c r="J63" s="626"/>
      <c r="K63" s="626"/>
      <c r="L63" s="626"/>
    </row>
    <row r="64" spans="1:12" x14ac:dyDescent="0.2">
      <c r="A64" s="626"/>
      <c r="B64" s="626"/>
      <c r="C64" s="626"/>
      <c r="D64" s="626"/>
      <c r="E64" s="626"/>
      <c r="F64" s="626"/>
      <c r="G64" s="626"/>
      <c r="H64" s="626"/>
      <c r="I64" s="626"/>
      <c r="J64" s="626"/>
      <c r="K64" s="626"/>
      <c r="L64" s="626"/>
    </row>
    <row r="65" spans="1:13" x14ac:dyDescent="0.2">
      <c r="A65" s="626"/>
      <c r="B65" s="626"/>
      <c r="C65" s="626"/>
      <c r="D65" s="626"/>
      <c r="E65" s="626"/>
      <c r="F65" s="626"/>
      <c r="G65" s="626"/>
      <c r="H65" s="626"/>
      <c r="I65" s="626"/>
      <c r="J65" s="626"/>
      <c r="K65" s="626"/>
      <c r="L65" s="626"/>
    </row>
    <row r="66" spans="1:13" x14ac:dyDescent="0.2">
      <c r="A66" s="626"/>
      <c r="B66" s="1" t="s">
        <v>1981</v>
      </c>
      <c r="C66" s="626"/>
      <c r="D66" s="626"/>
      <c r="E66" s="626"/>
      <c r="F66" s="626"/>
      <c r="G66" s="626"/>
      <c r="H66" s="626"/>
      <c r="I66" s="626"/>
      <c r="J66" s="626"/>
      <c r="K66" s="626"/>
      <c r="L66" s="626"/>
    </row>
    <row r="67" spans="1:13" x14ac:dyDescent="0.2">
      <c r="A67" s="626"/>
      <c r="C67" s="626"/>
      <c r="D67" s="626"/>
      <c r="E67" s="626"/>
      <c r="F67" s="626"/>
      <c r="G67" s="626"/>
      <c r="H67" s="626"/>
      <c r="I67" s="626"/>
      <c r="J67" s="626"/>
      <c r="K67" s="626"/>
      <c r="L67" s="626"/>
    </row>
    <row r="68" spans="1:13" x14ac:dyDescent="0.2">
      <c r="B68" s="1" t="s">
        <v>1982</v>
      </c>
      <c r="C68" s="626"/>
      <c r="D68" s="626"/>
      <c r="E68" s="626"/>
      <c r="F68" s="626"/>
      <c r="G68" s="626"/>
      <c r="H68" s="626"/>
      <c r="I68" s="626"/>
      <c r="J68" s="626"/>
      <c r="K68" s="626"/>
      <c r="L68" s="626"/>
    </row>
    <row r="69" spans="1:13" x14ac:dyDescent="0.2">
      <c r="A69" s="626"/>
      <c r="C69" s="626"/>
      <c r="D69" s="626"/>
      <c r="E69" s="626"/>
      <c r="F69" s="626"/>
      <c r="G69" s="626"/>
      <c r="H69" s="626"/>
      <c r="I69" s="626"/>
      <c r="J69" s="626"/>
      <c r="K69" s="626"/>
      <c r="L69" s="626"/>
    </row>
    <row r="70" spans="1:13" x14ac:dyDescent="0.2">
      <c r="A70" s="456"/>
      <c r="B70" s="86" t="s">
        <v>403</v>
      </c>
      <c r="C70" s="86" t="s">
        <v>387</v>
      </c>
      <c r="D70" s="86" t="s">
        <v>388</v>
      </c>
      <c r="E70" s="86" t="s">
        <v>389</v>
      </c>
      <c r="F70" s="86" t="s">
        <v>390</v>
      </c>
      <c r="G70" s="86" t="s">
        <v>391</v>
      </c>
      <c r="H70" s="86" t="s">
        <v>392</v>
      </c>
      <c r="I70" s="86" t="s">
        <v>606</v>
      </c>
      <c r="J70" s="86" t="s">
        <v>1055</v>
      </c>
      <c r="K70" s="86" t="s">
        <v>1072</v>
      </c>
      <c r="L70" s="86" t="s">
        <v>1075</v>
      </c>
      <c r="M70" s="86" t="s">
        <v>1093</v>
      </c>
    </row>
    <row r="71" spans="1:13" x14ac:dyDescent="0.2">
      <c r="A71" s="238"/>
      <c r="B71" s="260"/>
      <c r="C71" s="238"/>
      <c r="D71" s="238"/>
      <c r="E71" s="238"/>
      <c r="F71" s="238"/>
      <c r="G71" s="238"/>
      <c r="H71" s="238"/>
      <c r="I71" s="238"/>
      <c r="J71" s="238"/>
      <c r="K71" s="238"/>
      <c r="M71" s="260" t="s">
        <v>1488</v>
      </c>
    </row>
    <row r="72" spans="1:13" x14ac:dyDescent="0.2">
      <c r="A72" s="238"/>
      <c r="B72" s="115"/>
      <c r="C72" s="86"/>
      <c r="D72" s="86"/>
      <c r="E72" s="238"/>
      <c r="F72" s="238"/>
      <c r="G72" s="238"/>
      <c r="H72" s="238"/>
      <c r="I72" s="238"/>
      <c r="J72" s="238"/>
      <c r="K72" s="238"/>
      <c r="L72" s="238"/>
    </row>
    <row r="73" spans="1:13" x14ac:dyDescent="0.2">
      <c r="A73" s="53"/>
      <c r="B73" s="129" t="s">
        <v>2295</v>
      </c>
      <c r="C73" s="86">
        <v>350.1</v>
      </c>
      <c r="D73" s="86">
        <v>350.2</v>
      </c>
      <c r="E73" s="86">
        <v>352</v>
      </c>
      <c r="F73" s="86">
        <v>353</v>
      </c>
      <c r="G73" s="86">
        <v>354</v>
      </c>
      <c r="H73" s="86">
        <v>355</v>
      </c>
      <c r="I73" s="86">
        <v>356</v>
      </c>
      <c r="J73" s="86">
        <v>357</v>
      </c>
      <c r="K73" s="86">
        <v>358</v>
      </c>
      <c r="L73" s="86">
        <v>359</v>
      </c>
      <c r="M73" s="3" t="s">
        <v>224</v>
      </c>
    </row>
    <row r="74" spans="1:13" x14ac:dyDescent="0.2">
      <c r="A74" s="713">
        <f>A63+1</f>
        <v>28</v>
      </c>
      <c r="B74" s="1007" t="s">
        <v>2908</v>
      </c>
      <c r="C74" s="715">
        <v>218388.46000000834</v>
      </c>
      <c r="D74" s="715">
        <v>-181276.43000000715</v>
      </c>
      <c r="E74" s="243">
        <v>401078.39999997616</v>
      </c>
      <c r="F74" s="243">
        <v>7769717.4300003052</v>
      </c>
      <c r="G74" s="243">
        <v>-57127765.980000019</v>
      </c>
      <c r="H74" s="243">
        <v>2374042.5900000334</v>
      </c>
      <c r="I74" s="243">
        <v>60385292.659999967</v>
      </c>
      <c r="J74" s="243">
        <v>141438.6799999997</v>
      </c>
      <c r="K74" s="243">
        <v>688306.18000000715</v>
      </c>
      <c r="L74" s="243">
        <v>13387.509999997914</v>
      </c>
      <c r="M74" s="240">
        <f t="shared" ref="M74:M85" si="13">SUM(C74:L74)</f>
        <v>14682609.500000268</v>
      </c>
    </row>
    <row r="75" spans="1:13" x14ac:dyDescent="0.2">
      <c r="A75" s="713">
        <f t="shared" ref="A75:A86" si="14">A74+1</f>
        <v>29</v>
      </c>
      <c r="B75" s="1006" t="s">
        <v>2909</v>
      </c>
      <c r="C75" s="715">
        <v>1330360.7799999863</v>
      </c>
      <c r="D75" s="715">
        <v>96010.300000011921</v>
      </c>
      <c r="E75" s="243">
        <v>-1732527.0199999213</v>
      </c>
      <c r="F75" s="243">
        <v>9174729.0599999428</v>
      </c>
      <c r="G75" s="243">
        <v>-426118.41999995708</v>
      </c>
      <c r="H75" s="243">
        <v>-1482854.0100000501</v>
      </c>
      <c r="I75" s="243">
        <v>-267227.17999994755</v>
      </c>
      <c r="J75" s="243">
        <v>-195330.58999999613</v>
      </c>
      <c r="K75" s="243">
        <v>-746409.46999999881</v>
      </c>
      <c r="L75" s="243">
        <v>-4220.2599999979138</v>
      </c>
      <c r="M75" s="240">
        <f t="shared" si="13"/>
        <v>5746413.1900000721</v>
      </c>
    </row>
    <row r="76" spans="1:13" x14ac:dyDescent="0.2">
      <c r="A76" s="713">
        <f t="shared" si="14"/>
        <v>30</v>
      </c>
      <c r="B76" s="1006" t="s">
        <v>2910</v>
      </c>
      <c r="C76" s="715">
        <v>8779.0000000149012</v>
      </c>
      <c r="D76" s="715">
        <v>1208.6799999922514</v>
      </c>
      <c r="E76" s="243">
        <v>161418.30999994278</v>
      </c>
      <c r="F76" s="243">
        <v>1116987.1199998856</v>
      </c>
      <c r="G76" s="243">
        <v>913059.27999997139</v>
      </c>
      <c r="H76" s="243">
        <v>189607.02000004053</v>
      </c>
      <c r="I76" s="243">
        <v>-55329.830000042915</v>
      </c>
      <c r="J76" s="243">
        <v>824.8399999961257</v>
      </c>
      <c r="K76" s="243">
        <v>-1805085.4399999976</v>
      </c>
      <c r="L76" s="243">
        <v>-7.3799999989569187</v>
      </c>
      <c r="M76" s="240">
        <f t="shared" si="13"/>
        <v>531461.59999980405</v>
      </c>
    </row>
    <row r="77" spans="1:13" x14ac:dyDescent="0.2">
      <c r="A77" s="713">
        <f t="shared" si="14"/>
        <v>31</v>
      </c>
      <c r="B77" s="1007" t="s">
        <v>2911</v>
      </c>
      <c r="C77" s="715">
        <v>17.649999976158142</v>
      </c>
      <c r="D77" s="715">
        <v>385.15000000596046</v>
      </c>
      <c r="E77" s="243">
        <v>1455152.2699999809</v>
      </c>
      <c r="F77" s="243">
        <v>18935734.320000648</v>
      </c>
      <c r="G77" s="243">
        <v>-855883.53999996185</v>
      </c>
      <c r="H77" s="243">
        <v>1647603.5999999642</v>
      </c>
      <c r="I77" s="243">
        <v>119366.79000008106</v>
      </c>
      <c r="J77" s="243">
        <v>1567.5</v>
      </c>
      <c r="K77" s="243">
        <v>34489.800000011921</v>
      </c>
      <c r="L77" s="243">
        <v>-5788.5500000007451</v>
      </c>
      <c r="M77" s="240">
        <f t="shared" si="13"/>
        <v>21332644.990000706</v>
      </c>
    </row>
    <row r="78" spans="1:13" x14ac:dyDescent="0.2">
      <c r="A78" s="713">
        <f t="shared" si="14"/>
        <v>32</v>
      </c>
      <c r="B78" s="1006" t="s">
        <v>2912</v>
      </c>
      <c r="C78" s="715">
        <v>3.7700000107288361</v>
      </c>
      <c r="D78" s="715">
        <v>11185.350000008941</v>
      </c>
      <c r="E78" s="243">
        <v>20541095.269999981</v>
      </c>
      <c r="F78" s="243">
        <v>52525224.859999657</v>
      </c>
      <c r="G78" s="243">
        <v>252033.50999999046</v>
      </c>
      <c r="H78" s="243">
        <v>-138575.23999994993</v>
      </c>
      <c r="I78" s="243">
        <v>1709539.4700000286</v>
      </c>
      <c r="J78" s="243">
        <v>110950.6799999997</v>
      </c>
      <c r="K78" s="243">
        <v>705663.00999999046</v>
      </c>
      <c r="L78" s="243">
        <v>-3522.7999999970198</v>
      </c>
      <c r="M78" s="240">
        <f t="shared" si="13"/>
        <v>75713597.879999712</v>
      </c>
    </row>
    <row r="79" spans="1:13" x14ac:dyDescent="0.2">
      <c r="A79" s="713">
        <f t="shared" si="14"/>
        <v>33</v>
      </c>
      <c r="B79" s="1006" t="s">
        <v>2913</v>
      </c>
      <c r="C79" s="715">
        <v>49024.369999989867</v>
      </c>
      <c r="D79" s="715">
        <v>1071907.4699999839</v>
      </c>
      <c r="E79" s="243">
        <v>4840823.0699999928</v>
      </c>
      <c r="F79" s="243">
        <v>65276286.960000038</v>
      </c>
      <c r="G79" s="243">
        <v>10339993.129999995</v>
      </c>
      <c r="H79" s="243">
        <v>2409646.7900000215</v>
      </c>
      <c r="I79" s="243">
        <v>11170602.939999938</v>
      </c>
      <c r="J79" s="243">
        <v>2387402.6200000048</v>
      </c>
      <c r="K79" s="243">
        <v>180614.25999999046</v>
      </c>
      <c r="L79" s="243">
        <v>-31633.820000004023</v>
      </c>
      <c r="M79" s="240">
        <f t="shared" si="13"/>
        <v>97694667.789999947</v>
      </c>
    </row>
    <row r="80" spans="1:13" x14ac:dyDescent="0.2">
      <c r="A80" s="713">
        <f t="shared" si="14"/>
        <v>34</v>
      </c>
      <c r="B80" s="1007" t="s">
        <v>2914</v>
      </c>
      <c r="C80" s="715">
        <v>85931.480000004172</v>
      </c>
      <c r="D80" s="715">
        <v>57977.879999995232</v>
      </c>
      <c r="E80" s="243">
        <v>1197391.8900000453</v>
      </c>
      <c r="F80" s="243">
        <v>25709365.160000324</v>
      </c>
      <c r="G80" s="243">
        <v>-3342666.2300000191</v>
      </c>
      <c r="H80" s="243">
        <v>-1681310.9800000191</v>
      </c>
      <c r="I80" s="243">
        <v>-2115814.7099999189</v>
      </c>
      <c r="J80" s="243">
        <v>940657.46999999881</v>
      </c>
      <c r="K80" s="243">
        <v>9405200.9500000179</v>
      </c>
      <c r="L80" s="243">
        <v>457.24000000208616</v>
      </c>
      <c r="M80" s="240">
        <f t="shared" si="13"/>
        <v>30257190.150000431</v>
      </c>
    </row>
    <row r="81" spans="1:13" x14ac:dyDescent="0.2">
      <c r="A81" s="713">
        <f t="shared" si="14"/>
        <v>35</v>
      </c>
      <c r="B81" s="1006" t="s">
        <v>2915</v>
      </c>
      <c r="C81" s="715">
        <v>57.019999995827675</v>
      </c>
      <c r="D81" s="715">
        <v>20974.390000015497</v>
      </c>
      <c r="E81" s="243">
        <v>10279783.909999967</v>
      </c>
      <c r="F81" s="243">
        <v>8939393.9199991226</v>
      </c>
      <c r="G81" s="243">
        <v>480233.72000002861</v>
      </c>
      <c r="H81" s="243">
        <v>99899.329999983311</v>
      </c>
      <c r="I81" s="243">
        <v>1037614.2599999905</v>
      </c>
      <c r="J81" s="243">
        <v>209999.80999999493</v>
      </c>
      <c r="K81" s="243">
        <v>1226369.2599999905</v>
      </c>
      <c r="L81" s="243">
        <v>135.11999999731779</v>
      </c>
      <c r="M81" s="240">
        <f t="shared" si="13"/>
        <v>22294460.739999086</v>
      </c>
    </row>
    <row r="82" spans="1:13" x14ac:dyDescent="0.2">
      <c r="A82" s="713">
        <f t="shared" si="14"/>
        <v>36</v>
      </c>
      <c r="B82" s="1006" t="s">
        <v>2916</v>
      </c>
      <c r="C82" s="715">
        <v>55.71000000834465</v>
      </c>
      <c r="D82" s="715">
        <v>15028.679999992251</v>
      </c>
      <c r="E82" s="243">
        <v>201293.96000003815</v>
      </c>
      <c r="F82" s="243">
        <v>6854994.930000782</v>
      </c>
      <c r="G82" s="243">
        <v>-24918652.519999981</v>
      </c>
      <c r="H82" s="243">
        <v>17934765.919999957</v>
      </c>
      <c r="I82" s="243">
        <v>-66639978.720000148</v>
      </c>
      <c r="J82" s="243">
        <v>-15692.809999994934</v>
      </c>
      <c r="K82" s="243">
        <v>-1113442.0200000107</v>
      </c>
      <c r="L82" s="243">
        <v>81843858.100000009</v>
      </c>
      <c r="M82" s="240">
        <f t="shared" si="13"/>
        <v>14162231.23000066</v>
      </c>
    </row>
    <row r="83" spans="1:13" x14ac:dyDescent="0.2">
      <c r="A83" s="713">
        <f t="shared" si="14"/>
        <v>37</v>
      </c>
      <c r="B83" s="1007" t="s">
        <v>2917</v>
      </c>
      <c r="C83" s="715">
        <v>5.6899999976158142</v>
      </c>
      <c r="D83" s="715">
        <v>75011.629999995232</v>
      </c>
      <c r="E83" s="243">
        <v>228631.50999999046</v>
      </c>
      <c r="F83" s="243">
        <v>-4021318.970000267</v>
      </c>
      <c r="G83" s="243">
        <v>87741.589999914169</v>
      </c>
      <c r="H83" s="243">
        <v>680856.52999997139</v>
      </c>
      <c r="I83" s="243">
        <v>-555269.84999990463</v>
      </c>
      <c r="J83" s="243">
        <v>-18870</v>
      </c>
      <c r="K83" s="243">
        <v>-224564.79999998212</v>
      </c>
      <c r="L83" s="243">
        <v>377.82999999821186</v>
      </c>
      <c r="M83" s="240">
        <f t="shared" si="13"/>
        <v>-3747398.8400002867</v>
      </c>
    </row>
    <row r="84" spans="1:13" x14ac:dyDescent="0.2">
      <c r="A84" s="713">
        <f t="shared" si="14"/>
        <v>38</v>
      </c>
      <c r="B84" s="1007" t="s">
        <v>2918</v>
      </c>
      <c r="C84" s="715">
        <v>-287442.21000000834</v>
      </c>
      <c r="D84" s="715">
        <v>284951.82000000775</v>
      </c>
      <c r="E84" s="243">
        <v>-559041.76000005007</v>
      </c>
      <c r="F84" s="243">
        <v>10853984.549999714</v>
      </c>
      <c r="G84" s="243">
        <v>138515.3900001049</v>
      </c>
      <c r="H84" s="243">
        <v>1233535.8600000143</v>
      </c>
      <c r="I84" s="243">
        <v>15106.899999976158</v>
      </c>
      <c r="J84" s="243">
        <v>-80310.580000005662</v>
      </c>
      <c r="K84" s="243">
        <v>-251045.26000002027</v>
      </c>
      <c r="L84" s="243">
        <v>63.780000001192093</v>
      </c>
      <c r="M84" s="240">
        <f t="shared" si="13"/>
        <v>11348318.489999734</v>
      </c>
    </row>
    <row r="85" spans="1:13" x14ac:dyDescent="0.2">
      <c r="A85" s="713">
        <f t="shared" si="14"/>
        <v>39</v>
      </c>
      <c r="B85" s="1006" t="s">
        <v>2919</v>
      </c>
      <c r="C85" s="121">
        <v>-28961.289999991655</v>
      </c>
      <c r="D85" s="121">
        <v>390.17000000178814</v>
      </c>
      <c r="E85" s="461">
        <v>-418701.88999998569</v>
      </c>
      <c r="F85" s="461">
        <v>3879096.1399989128</v>
      </c>
      <c r="G85" s="461">
        <v>947494.54999995232</v>
      </c>
      <c r="H85" s="461">
        <v>4521522.6200000048</v>
      </c>
      <c r="I85" s="461">
        <v>-1677599.7699999809</v>
      </c>
      <c r="J85" s="461">
        <v>-96931.439999997616</v>
      </c>
      <c r="K85" s="461">
        <v>-619551.91999998689</v>
      </c>
      <c r="L85" s="461">
        <v>167070.82000000775</v>
      </c>
      <c r="M85" s="385">
        <f t="shared" si="13"/>
        <v>6673827.9899989367</v>
      </c>
    </row>
    <row r="86" spans="1:13" x14ac:dyDescent="0.2">
      <c r="A86" s="713">
        <f t="shared" si="14"/>
        <v>40</v>
      </c>
      <c r="B86" s="717" t="s">
        <v>4</v>
      </c>
      <c r="C86" s="240">
        <f>SUM(C74:C85)</f>
        <v>1376220.4299999923</v>
      </c>
      <c r="D86" s="240">
        <f t="shared" ref="D86:L86" si="15">SUM(D74:D85)</f>
        <v>1453755.0900000036</v>
      </c>
      <c r="E86" s="240">
        <f t="shared" si="15"/>
        <v>36596397.919999957</v>
      </c>
      <c r="F86" s="240">
        <f t="shared" si="15"/>
        <v>207014195.47999907</v>
      </c>
      <c r="G86" s="240">
        <f t="shared" si="15"/>
        <v>-73512015.519999981</v>
      </c>
      <c r="H86" s="240">
        <f t="shared" si="15"/>
        <v>27788740.029999971</v>
      </c>
      <c r="I86" s="240">
        <f t="shared" si="15"/>
        <v>3126302.9600000381</v>
      </c>
      <c r="J86" s="240">
        <f t="shared" si="15"/>
        <v>3385706.1799999997</v>
      </c>
      <c r="K86" s="240">
        <f t="shared" si="15"/>
        <v>7480544.5500000119</v>
      </c>
      <c r="L86" s="240">
        <f t="shared" si="15"/>
        <v>81980177.590000018</v>
      </c>
      <c r="M86" s="240">
        <f>SUM(M74:M85)</f>
        <v>296690024.70999908</v>
      </c>
    </row>
    <row r="88" spans="1:13" x14ac:dyDescent="0.2">
      <c r="B88" s="45" t="s">
        <v>2243</v>
      </c>
      <c r="C88" s="14"/>
      <c r="D88" s="14"/>
      <c r="E88" s="14"/>
    </row>
    <row r="89" spans="1:13" x14ac:dyDescent="0.2">
      <c r="B89" s="14"/>
      <c r="C89" s="14"/>
      <c r="D89" s="14"/>
    </row>
    <row r="90" spans="1:13" x14ac:dyDescent="0.2">
      <c r="A90" s="456"/>
      <c r="B90" s="376" t="s">
        <v>403</v>
      </c>
      <c r="C90" s="376" t="s">
        <v>387</v>
      </c>
      <c r="D90" s="376" t="s">
        <v>388</v>
      </c>
      <c r="E90" s="86" t="s">
        <v>389</v>
      </c>
      <c r="F90" s="86" t="s">
        <v>390</v>
      </c>
      <c r="G90" s="86" t="s">
        <v>391</v>
      </c>
      <c r="H90" s="86" t="s">
        <v>392</v>
      </c>
      <c r="I90" s="86" t="s">
        <v>606</v>
      </c>
      <c r="J90" s="86" t="s">
        <v>1055</v>
      </c>
      <c r="K90" s="86" t="s">
        <v>1072</v>
      </c>
      <c r="L90" s="86" t="s">
        <v>1075</v>
      </c>
      <c r="M90" s="86" t="s">
        <v>1093</v>
      </c>
    </row>
    <row r="91" spans="1:13" x14ac:dyDescent="0.2">
      <c r="A91" s="238"/>
      <c r="B91" s="590"/>
      <c r="C91" s="248"/>
      <c r="D91" s="248"/>
      <c r="E91" s="238"/>
      <c r="F91" s="238"/>
      <c r="G91" s="238"/>
      <c r="H91" s="238"/>
      <c r="I91" s="238"/>
      <c r="J91" s="238"/>
      <c r="K91" s="238"/>
      <c r="M91" s="260" t="s">
        <v>1488</v>
      </c>
    </row>
    <row r="92" spans="1:13" x14ac:dyDescent="0.2">
      <c r="A92" s="238"/>
      <c r="B92" s="115"/>
      <c r="C92" s="376"/>
      <c r="D92" s="376"/>
      <c r="E92" s="238"/>
      <c r="F92" s="238"/>
      <c r="G92" s="238"/>
      <c r="H92" s="238"/>
      <c r="I92" s="238"/>
      <c r="J92" s="238"/>
      <c r="K92" s="238"/>
      <c r="L92" s="238"/>
    </row>
    <row r="93" spans="1:13" x14ac:dyDescent="0.2">
      <c r="A93" s="53"/>
      <c r="B93" s="129" t="s">
        <v>2295</v>
      </c>
      <c r="C93" s="376">
        <v>350.1</v>
      </c>
      <c r="D93" s="376">
        <v>350.2</v>
      </c>
      <c r="E93" s="86">
        <v>352</v>
      </c>
      <c r="F93" s="86">
        <v>353</v>
      </c>
      <c r="G93" s="86">
        <v>354</v>
      </c>
      <c r="H93" s="86">
        <v>355</v>
      </c>
      <c r="I93" s="86">
        <v>356</v>
      </c>
      <c r="J93" s="86">
        <v>357</v>
      </c>
      <c r="K93" s="86">
        <v>358</v>
      </c>
      <c r="L93" s="86">
        <v>359</v>
      </c>
      <c r="M93" s="3" t="s">
        <v>224</v>
      </c>
    </row>
    <row r="94" spans="1:13" x14ac:dyDescent="0.2">
      <c r="A94" s="713">
        <f>A86+1</f>
        <v>41</v>
      </c>
      <c r="B94" s="1007" t="s">
        <v>2908</v>
      </c>
      <c r="C94" s="715">
        <v>218388.45999999996</v>
      </c>
      <c r="D94" s="715">
        <v>-215448.05999999866</v>
      </c>
      <c r="E94" s="243">
        <v>43577.379999995232</v>
      </c>
      <c r="F94" s="243">
        <v>71391.319999992847</v>
      </c>
      <c r="G94" s="243">
        <v>-59039124.529999971</v>
      </c>
      <c r="H94" s="243">
        <v>-70456.969999998808</v>
      </c>
      <c r="I94" s="243">
        <v>59282364.250000007</v>
      </c>
      <c r="J94" s="243">
        <v>0</v>
      </c>
      <c r="K94" s="243">
        <v>0</v>
      </c>
      <c r="L94" s="243">
        <v>-22049.599999999627</v>
      </c>
      <c r="M94" s="240">
        <f t="shared" ref="M94:M105" si="16">SUM(C94:L94)</f>
        <v>268642.25000002421</v>
      </c>
    </row>
    <row r="95" spans="1:13" x14ac:dyDescent="0.2">
      <c r="A95" s="713">
        <f t="shared" ref="A95:A106" si="17">A94+1</f>
        <v>42</v>
      </c>
      <c r="B95" s="1006" t="s">
        <v>2909</v>
      </c>
      <c r="C95" s="715">
        <v>1330360.7800000003</v>
      </c>
      <c r="D95" s="715">
        <v>347.64000000059605</v>
      </c>
      <c r="E95" s="243">
        <v>-5942013.5899999961</v>
      </c>
      <c r="F95" s="243">
        <v>6444415.6099999845</v>
      </c>
      <c r="G95" s="243">
        <v>68141.319999992847</v>
      </c>
      <c r="H95" s="243">
        <v>-15956.809999998659</v>
      </c>
      <c r="I95" s="243">
        <v>-18853.759999990463</v>
      </c>
      <c r="J95" s="243">
        <v>0</v>
      </c>
      <c r="K95" s="243">
        <v>0</v>
      </c>
      <c r="L95" s="243">
        <v>-4102.769999999553</v>
      </c>
      <c r="M95" s="240">
        <f t="shared" si="16"/>
        <v>1862338.4199999934</v>
      </c>
    </row>
    <row r="96" spans="1:13" x14ac:dyDescent="0.2">
      <c r="A96" s="713">
        <f t="shared" si="17"/>
        <v>43</v>
      </c>
      <c r="B96" s="1006" t="s">
        <v>2910</v>
      </c>
      <c r="C96" s="715">
        <v>29.119999999180436</v>
      </c>
      <c r="D96" s="715">
        <v>635.42000000178814</v>
      </c>
      <c r="E96" s="243">
        <v>-184342.64999999851</v>
      </c>
      <c r="F96" s="243">
        <v>-500556.89999997616</v>
      </c>
      <c r="G96" s="243">
        <v>19339.439999967813</v>
      </c>
      <c r="H96" s="243">
        <v>-47122.719999998808</v>
      </c>
      <c r="I96" s="243">
        <v>-140259.53999999166</v>
      </c>
      <c r="J96" s="243">
        <v>0</v>
      </c>
      <c r="K96" s="243">
        <v>0</v>
      </c>
      <c r="L96" s="243">
        <v>-20.839999999850988</v>
      </c>
      <c r="M96" s="240">
        <f t="shared" si="16"/>
        <v>-852298.6699999962</v>
      </c>
    </row>
    <row r="97" spans="1:13" x14ac:dyDescent="0.2">
      <c r="A97" s="713">
        <f t="shared" si="17"/>
        <v>44</v>
      </c>
      <c r="B97" s="1007" t="s">
        <v>2911</v>
      </c>
      <c r="C97" s="715">
        <v>17.650000000372529</v>
      </c>
      <c r="D97" s="715">
        <v>385.14999999850988</v>
      </c>
      <c r="E97" s="243">
        <v>12365.240000002086</v>
      </c>
      <c r="F97" s="243">
        <v>-23314.770000010729</v>
      </c>
      <c r="G97" s="243">
        <v>-957053.90999996662</v>
      </c>
      <c r="H97" s="243">
        <v>625.01999999955297</v>
      </c>
      <c r="I97" s="243">
        <v>-234043.68999999762</v>
      </c>
      <c r="J97" s="243">
        <v>0</v>
      </c>
      <c r="K97" s="243">
        <v>0</v>
      </c>
      <c r="L97" s="243">
        <v>-5811.089999999851</v>
      </c>
      <c r="M97" s="240">
        <f t="shared" si="16"/>
        <v>-1206830.3999999743</v>
      </c>
    </row>
    <row r="98" spans="1:13" x14ac:dyDescent="0.2">
      <c r="A98" s="713">
        <f t="shared" si="17"/>
        <v>45</v>
      </c>
      <c r="B98" s="1006" t="s">
        <v>2912</v>
      </c>
      <c r="C98" s="715">
        <v>3.7699999995529652</v>
      </c>
      <c r="D98" s="715">
        <v>82.230000000447035</v>
      </c>
      <c r="E98" s="243">
        <v>-1206446.7600000016</v>
      </c>
      <c r="F98" s="243">
        <v>1432726.6999999881</v>
      </c>
      <c r="G98" s="243">
        <v>-90770.680000007153</v>
      </c>
      <c r="H98" s="243">
        <v>-11010.620000001043</v>
      </c>
      <c r="I98" s="243">
        <v>-69010.25</v>
      </c>
      <c r="J98" s="243">
        <v>0</v>
      </c>
      <c r="K98" s="243">
        <v>0</v>
      </c>
      <c r="L98" s="243">
        <v>-5550.7099999999627</v>
      </c>
      <c r="M98" s="240">
        <f t="shared" si="16"/>
        <v>50023.679999978282</v>
      </c>
    </row>
    <row r="99" spans="1:13" x14ac:dyDescent="0.2">
      <c r="A99" s="713">
        <f t="shared" si="17"/>
        <v>46</v>
      </c>
      <c r="B99" s="1006" t="s">
        <v>2913</v>
      </c>
      <c r="C99" s="715">
        <v>49024.370000001043</v>
      </c>
      <c r="D99" s="715">
        <v>1069671.4499999993</v>
      </c>
      <c r="E99" s="243">
        <v>-9577.0800000019372</v>
      </c>
      <c r="F99" s="243">
        <v>-116847.21000000834</v>
      </c>
      <c r="G99" s="243">
        <v>10437909.590000004</v>
      </c>
      <c r="H99" s="243">
        <v>668171.16000000015</v>
      </c>
      <c r="I99" s="243">
        <v>12657905.060000002</v>
      </c>
      <c r="J99" s="243">
        <v>0</v>
      </c>
      <c r="K99" s="243">
        <v>0</v>
      </c>
      <c r="L99" s="243">
        <v>-31653.5</v>
      </c>
      <c r="M99" s="240">
        <f t="shared" si="16"/>
        <v>24724603.839999996</v>
      </c>
    </row>
    <row r="100" spans="1:13" x14ac:dyDescent="0.2">
      <c r="A100" s="713">
        <f t="shared" si="17"/>
        <v>47</v>
      </c>
      <c r="B100" s="1007" t="s">
        <v>2914</v>
      </c>
      <c r="C100" s="715">
        <v>-8.5400000009685755</v>
      </c>
      <c r="D100" s="715">
        <v>-186.25</v>
      </c>
      <c r="E100" s="243">
        <v>121.60999999940395</v>
      </c>
      <c r="F100" s="243">
        <v>-140020.02000001073</v>
      </c>
      <c r="G100" s="243">
        <v>-2607904.0399999917</v>
      </c>
      <c r="H100" s="243">
        <v>827.12999999895692</v>
      </c>
      <c r="I100" s="243">
        <v>-1624544.6699999869</v>
      </c>
      <c r="J100" s="243">
        <v>0</v>
      </c>
      <c r="K100" s="243">
        <v>0</v>
      </c>
      <c r="L100" s="243">
        <v>409.09999999962747</v>
      </c>
      <c r="M100" s="240">
        <f t="shared" si="16"/>
        <v>-4371305.6799999923</v>
      </c>
    </row>
    <row r="101" spans="1:13" x14ac:dyDescent="0.2">
      <c r="A101" s="713">
        <f t="shared" si="17"/>
        <v>48</v>
      </c>
      <c r="B101" s="1006" t="s">
        <v>2915</v>
      </c>
      <c r="C101" s="715">
        <v>57.019999999552965</v>
      </c>
      <c r="D101" s="715">
        <v>1244.1200000010431</v>
      </c>
      <c r="E101" s="243">
        <v>-3026.1599999964237</v>
      </c>
      <c r="F101" s="243">
        <v>-62854.90000000596</v>
      </c>
      <c r="G101" s="243">
        <v>-531255.13000002503</v>
      </c>
      <c r="H101" s="243">
        <v>50.429999999701977</v>
      </c>
      <c r="I101" s="243">
        <v>962979.00999999046</v>
      </c>
      <c r="J101" s="243">
        <v>0</v>
      </c>
      <c r="K101" s="243">
        <v>0</v>
      </c>
      <c r="L101" s="243">
        <v>25.490000000223517</v>
      </c>
      <c r="M101" s="240">
        <f t="shared" si="16"/>
        <v>367219.87999996357</v>
      </c>
    </row>
    <row r="102" spans="1:13" x14ac:dyDescent="0.2">
      <c r="A102" s="713">
        <f t="shared" si="17"/>
        <v>49</v>
      </c>
      <c r="B102" s="1006" t="s">
        <v>2916</v>
      </c>
      <c r="C102" s="715">
        <v>55.71000000089407</v>
      </c>
      <c r="D102" s="715">
        <v>1215.4699999988079</v>
      </c>
      <c r="E102" s="243">
        <v>26613.349999997765</v>
      </c>
      <c r="F102" s="243">
        <v>304982.18999999762</v>
      </c>
      <c r="G102" s="243">
        <v>-24156632.219999999</v>
      </c>
      <c r="H102" s="243">
        <v>16754018.890000001</v>
      </c>
      <c r="I102" s="243">
        <v>-74343979.949999988</v>
      </c>
      <c r="J102" s="243">
        <v>0</v>
      </c>
      <c r="K102" s="243">
        <v>0</v>
      </c>
      <c r="L102" s="243">
        <v>81843814.170000002</v>
      </c>
      <c r="M102" s="240">
        <f t="shared" si="16"/>
        <v>430087.61000001431</v>
      </c>
    </row>
    <row r="103" spans="1:13" x14ac:dyDescent="0.2">
      <c r="A103" s="713">
        <f t="shared" si="17"/>
        <v>50</v>
      </c>
      <c r="B103" s="1007" t="s">
        <v>2917</v>
      </c>
      <c r="C103" s="715">
        <v>5.6899999994784594</v>
      </c>
      <c r="D103" s="715">
        <v>124.17999999970198</v>
      </c>
      <c r="E103" s="243">
        <v>-10209.550000000745</v>
      </c>
      <c r="F103" s="243">
        <v>10709.990000009537</v>
      </c>
      <c r="G103" s="243">
        <v>58984.930000007153</v>
      </c>
      <c r="H103" s="243">
        <v>0</v>
      </c>
      <c r="I103" s="243">
        <v>67908.189999997616</v>
      </c>
      <c r="J103" s="243">
        <v>0</v>
      </c>
      <c r="K103" s="243">
        <v>0</v>
      </c>
      <c r="L103" s="243">
        <v>362.79000000655651</v>
      </c>
      <c r="M103" s="240">
        <f t="shared" si="16"/>
        <v>127886.2200000193</v>
      </c>
    </row>
    <row r="104" spans="1:13" x14ac:dyDescent="0.2">
      <c r="A104" s="713">
        <f t="shared" si="17"/>
        <v>51</v>
      </c>
      <c r="B104" s="1007" t="s">
        <v>2918</v>
      </c>
      <c r="C104" s="715">
        <v>-287442.20999999903</v>
      </c>
      <c r="D104" s="715">
        <v>287527.49000000209</v>
      </c>
      <c r="E104" s="243">
        <v>714.93999999761581</v>
      </c>
      <c r="F104" s="243">
        <v>4407306.7599999905</v>
      </c>
      <c r="G104" s="243">
        <v>136867.06000000238</v>
      </c>
      <c r="H104" s="243">
        <v>0</v>
      </c>
      <c r="I104" s="243">
        <v>164837.67000000179</v>
      </c>
      <c r="J104" s="243">
        <v>0</v>
      </c>
      <c r="K104" s="243">
        <v>0</v>
      </c>
      <c r="L104" s="243">
        <v>0</v>
      </c>
      <c r="M104" s="240">
        <f t="shared" si="16"/>
        <v>4709811.7099999953</v>
      </c>
    </row>
    <row r="105" spans="1:13" x14ac:dyDescent="0.2">
      <c r="A105" s="713">
        <f t="shared" si="17"/>
        <v>52</v>
      </c>
      <c r="B105" s="1006" t="s">
        <v>2919</v>
      </c>
      <c r="C105" s="121">
        <v>0</v>
      </c>
      <c r="D105" s="121">
        <v>0</v>
      </c>
      <c r="E105" s="461">
        <v>-1035884.6799999997</v>
      </c>
      <c r="F105" s="461">
        <v>1122866.8300000131</v>
      </c>
      <c r="G105" s="461">
        <v>209838.59000000358</v>
      </c>
      <c r="H105" s="461">
        <v>0</v>
      </c>
      <c r="I105" s="461">
        <v>241546.02000000328</v>
      </c>
      <c r="J105" s="461">
        <v>0</v>
      </c>
      <c r="K105" s="461">
        <v>0</v>
      </c>
      <c r="L105" s="461">
        <v>0</v>
      </c>
      <c r="M105" s="385">
        <f t="shared" si="16"/>
        <v>538366.76000002027</v>
      </c>
    </row>
    <row r="106" spans="1:13" x14ac:dyDescent="0.2">
      <c r="A106" s="713">
        <f t="shared" si="17"/>
        <v>53</v>
      </c>
      <c r="B106" s="717" t="s">
        <v>4</v>
      </c>
      <c r="C106" s="240">
        <f>SUM(C94:C105)</f>
        <v>1310491.8200000003</v>
      </c>
      <c r="D106" s="240">
        <f t="shared" ref="D106:L106" si="18">SUM(D94:D105)</f>
        <v>1145598.8400000036</v>
      </c>
      <c r="E106" s="240">
        <f t="shared" si="18"/>
        <v>-8308107.950000003</v>
      </c>
      <c r="F106" s="240">
        <f t="shared" si="18"/>
        <v>12950805.599999964</v>
      </c>
      <c r="G106" s="240">
        <f t="shared" si="18"/>
        <v>-76451659.579999983</v>
      </c>
      <c r="H106" s="240">
        <f t="shared" si="18"/>
        <v>17279145.510000002</v>
      </c>
      <c r="I106" s="240">
        <f t="shared" si="18"/>
        <v>-3053151.6599999592</v>
      </c>
      <c r="J106" s="240">
        <f t="shared" si="18"/>
        <v>0</v>
      </c>
      <c r="K106" s="240">
        <f t="shared" si="18"/>
        <v>0</v>
      </c>
      <c r="L106" s="240">
        <f t="shared" si="18"/>
        <v>81775423.040000007</v>
      </c>
      <c r="M106" s="240">
        <f>SUM(M94:M105)</f>
        <v>26648545.620000042</v>
      </c>
    </row>
    <row r="108" spans="1:13" x14ac:dyDescent="0.2">
      <c r="B108" s="45" t="s">
        <v>2244</v>
      </c>
      <c r="C108" s="14"/>
      <c r="D108" s="14"/>
      <c r="E108" s="14"/>
      <c r="F108" s="14"/>
      <c r="G108" s="14"/>
    </row>
    <row r="109" spans="1:13" x14ac:dyDescent="0.2">
      <c r="B109" s="14"/>
      <c r="C109" s="14"/>
      <c r="D109" s="14"/>
      <c r="E109" s="14"/>
      <c r="F109" s="14"/>
      <c r="G109" s="14"/>
    </row>
    <row r="110" spans="1:13" x14ac:dyDescent="0.2">
      <c r="A110" s="456"/>
      <c r="B110" s="376" t="s">
        <v>403</v>
      </c>
      <c r="C110" s="376" t="s">
        <v>387</v>
      </c>
      <c r="D110" s="376" t="s">
        <v>388</v>
      </c>
      <c r="E110" s="376" t="s">
        <v>389</v>
      </c>
      <c r="F110" s="376" t="s">
        <v>390</v>
      </c>
      <c r="G110" s="376" t="s">
        <v>391</v>
      </c>
      <c r="H110" s="86" t="s">
        <v>392</v>
      </c>
      <c r="I110" s="86" t="s">
        <v>606</v>
      </c>
      <c r="J110" s="86" t="s">
        <v>1055</v>
      </c>
      <c r="K110" s="86" t="s">
        <v>1072</v>
      </c>
      <c r="L110" s="86" t="s">
        <v>1075</v>
      </c>
      <c r="M110" s="86" t="s">
        <v>1093</v>
      </c>
    </row>
    <row r="111" spans="1:13" x14ac:dyDescent="0.2">
      <c r="A111" s="238"/>
      <c r="B111" s="590"/>
      <c r="C111" s="248"/>
      <c r="D111" s="248"/>
      <c r="E111" s="248"/>
      <c r="F111" s="248"/>
      <c r="G111" s="248"/>
      <c r="H111" s="238"/>
      <c r="I111" s="238"/>
      <c r="J111" s="238"/>
      <c r="K111" s="238"/>
      <c r="M111" s="260" t="s">
        <v>1488</v>
      </c>
    </row>
    <row r="112" spans="1:13" x14ac:dyDescent="0.2">
      <c r="A112" s="238"/>
      <c r="B112" s="115"/>
      <c r="C112" s="376"/>
      <c r="D112" s="376"/>
      <c r="E112" s="248"/>
      <c r="F112" s="248"/>
      <c r="G112" s="248"/>
      <c r="H112" s="238"/>
      <c r="I112" s="238"/>
      <c r="J112" s="238"/>
      <c r="K112" s="238"/>
      <c r="L112" s="238"/>
    </row>
    <row r="113" spans="1:13" x14ac:dyDescent="0.2">
      <c r="A113" s="53"/>
      <c r="B113" s="129" t="s">
        <v>2295</v>
      </c>
      <c r="C113" s="376">
        <v>350.1</v>
      </c>
      <c r="D113" s="376">
        <v>350.2</v>
      </c>
      <c r="E113" s="376">
        <v>352</v>
      </c>
      <c r="F113" s="376">
        <v>353</v>
      </c>
      <c r="G113" s="376">
        <v>354</v>
      </c>
      <c r="H113" s="86">
        <v>355</v>
      </c>
      <c r="I113" s="86">
        <v>356</v>
      </c>
      <c r="J113" s="86">
        <v>357</v>
      </c>
      <c r="K113" s="86">
        <v>358</v>
      </c>
      <c r="L113" s="86">
        <v>359</v>
      </c>
      <c r="M113" s="3" t="s">
        <v>224</v>
      </c>
    </row>
    <row r="114" spans="1:13" x14ac:dyDescent="0.2">
      <c r="A114" s="713">
        <f>A106+1</f>
        <v>54</v>
      </c>
      <c r="B114" s="1007" t="s">
        <v>2908</v>
      </c>
      <c r="C114" s="687">
        <f t="shared" ref="C114:L114" si="19">C74-C94</f>
        <v>8.3819031715393066E-9</v>
      </c>
      <c r="D114" s="687">
        <f t="shared" si="19"/>
        <v>34171.629999991506</v>
      </c>
      <c r="E114" s="687">
        <f t="shared" si="19"/>
        <v>357501.01999998093</v>
      </c>
      <c r="F114" s="687">
        <f t="shared" si="19"/>
        <v>7698326.1100003123</v>
      </c>
      <c r="G114" s="687">
        <f t="shared" si="19"/>
        <v>1911358.5499999523</v>
      </c>
      <c r="H114" s="687">
        <f t="shared" si="19"/>
        <v>2444499.5600000322</v>
      </c>
      <c r="I114" s="687">
        <f t="shared" si="19"/>
        <v>1102928.4099999592</v>
      </c>
      <c r="J114" s="687">
        <f t="shared" si="19"/>
        <v>141438.6799999997</v>
      </c>
      <c r="K114" s="687">
        <f t="shared" si="19"/>
        <v>688306.18000000715</v>
      </c>
      <c r="L114" s="687">
        <f t="shared" si="19"/>
        <v>35437.109999997541</v>
      </c>
      <c r="M114" s="240">
        <f t="shared" ref="M114:M125" si="20">SUM(C114:L114)</f>
        <v>14413967.25000024</v>
      </c>
    </row>
    <row r="115" spans="1:13" x14ac:dyDescent="0.2">
      <c r="A115" s="713">
        <f t="shared" ref="A115:A126" si="21">A114+1</f>
        <v>55</v>
      </c>
      <c r="B115" s="1006" t="s">
        <v>2909</v>
      </c>
      <c r="C115" s="687">
        <f t="shared" ref="C115:L115" si="22">C75-C95</f>
        <v>-1.3969838619232178E-8</v>
      </c>
      <c r="D115" s="687">
        <f t="shared" si="22"/>
        <v>95662.660000011325</v>
      </c>
      <c r="E115" s="687">
        <f t="shared" si="22"/>
        <v>4209486.5700000748</v>
      </c>
      <c r="F115" s="687">
        <f t="shared" si="22"/>
        <v>2730313.4499999583</v>
      </c>
      <c r="G115" s="687">
        <f t="shared" si="22"/>
        <v>-494259.73999994993</v>
      </c>
      <c r="H115" s="687">
        <f t="shared" si="22"/>
        <v>-1466897.2000000514</v>
      </c>
      <c r="I115" s="687">
        <f t="shared" si="22"/>
        <v>-248373.41999995708</v>
      </c>
      <c r="J115" s="687">
        <f t="shared" si="22"/>
        <v>-195330.58999999613</v>
      </c>
      <c r="K115" s="687">
        <f t="shared" si="22"/>
        <v>-746409.46999999881</v>
      </c>
      <c r="L115" s="687">
        <f t="shared" si="22"/>
        <v>-117.48999999836087</v>
      </c>
      <c r="M115" s="240">
        <f t="shared" si="20"/>
        <v>3884074.7700000787</v>
      </c>
    </row>
    <row r="116" spans="1:13" x14ac:dyDescent="0.2">
      <c r="A116" s="713">
        <f t="shared" si="21"/>
        <v>56</v>
      </c>
      <c r="B116" s="1006" t="s">
        <v>2910</v>
      </c>
      <c r="C116" s="687">
        <f t="shared" ref="C116:L116" si="23">C76-C96</f>
        <v>8749.8800000157207</v>
      </c>
      <c r="D116" s="687">
        <f t="shared" si="23"/>
        <v>573.25999999046326</v>
      </c>
      <c r="E116" s="687">
        <f t="shared" si="23"/>
        <v>345760.95999994129</v>
      </c>
      <c r="F116" s="687">
        <f t="shared" si="23"/>
        <v>1617544.0199998617</v>
      </c>
      <c r="G116" s="687">
        <f t="shared" si="23"/>
        <v>893719.84000000358</v>
      </c>
      <c r="H116" s="687">
        <f t="shared" si="23"/>
        <v>236729.74000003934</v>
      </c>
      <c r="I116" s="687">
        <f t="shared" si="23"/>
        <v>84929.70999994874</v>
      </c>
      <c r="J116" s="687">
        <f t="shared" si="23"/>
        <v>824.8399999961257</v>
      </c>
      <c r="K116" s="687">
        <f t="shared" si="23"/>
        <v>-1805085.4399999976</v>
      </c>
      <c r="L116" s="687">
        <f t="shared" si="23"/>
        <v>13.46000000089407</v>
      </c>
      <c r="M116" s="240">
        <f t="shared" si="20"/>
        <v>1383760.2699998002</v>
      </c>
    </row>
    <row r="117" spans="1:13" x14ac:dyDescent="0.2">
      <c r="A117" s="713">
        <f t="shared" si="21"/>
        <v>57</v>
      </c>
      <c r="B117" s="1007" t="s">
        <v>2911</v>
      </c>
      <c r="C117" s="687">
        <f t="shared" ref="C117:L117" si="24">C77-C97</f>
        <v>-2.4214386940002441E-8</v>
      </c>
      <c r="D117" s="687">
        <f t="shared" si="24"/>
        <v>7.4505805969238281E-9</v>
      </c>
      <c r="E117" s="687">
        <f t="shared" si="24"/>
        <v>1442787.0299999788</v>
      </c>
      <c r="F117" s="687">
        <f t="shared" si="24"/>
        <v>18959049.090000659</v>
      </c>
      <c r="G117" s="687">
        <f t="shared" si="24"/>
        <v>101170.37000000477</v>
      </c>
      <c r="H117" s="687">
        <f t="shared" si="24"/>
        <v>1646978.5799999647</v>
      </c>
      <c r="I117" s="687">
        <f t="shared" si="24"/>
        <v>353410.48000007868</v>
      </c>
      <c r="J117" s="687">
        <f t="shared" si="24"/>
        <v>1567.5</v>
      </c>
      <c r="K117" s="687">
        <f t="shared" si="24"/>
        <v>34489.800000011921</v>
      </c>
      <c r="L117" s="687">
        <f t="shared" si="24"/>
        <v>22.53999999910593</v>
      </c>
      <c r="M117" s="240">
        <f t="shared" si="20"/>
        <v>22539475.390000682</v>
      </c>
    </row>
    <row r="118" spans="1:13" x14ac:dyDescent="0.2">
      <c r="A118" s="713">
        <f t="shared" si="21"/>
        <v>58</v>
      </c>
      <c r="B118" s="1006" t="s">
        <v>2912</v>
      </c>
      <c r="C118" s="687">
        <f t="shared" ref="C118:L118" si="25">C78-C98</f>
        <v>1.1175870895385742E-8</v>
      </c>
      <c r="D118" s="687">
        <f t="shared" si="25"/>
        <v>11103.120000008494</v>
      </c>
      <c r="E118" s="687">
        <f t="shared" si="25"/>
        <v>21747542.029999983</v>
      </c>
      <c r="F118" s="687">
        <f t="shared" si="25"/>
        <v>51092498.159999669</v>
      </c>
      <c r="G118" s="687">
        <f t="shared" si="25"/>
        <v>342804.18999999762</v>
      </c>
      <c r="H118" s="687">
        <f t="shared" si="25"/>
        <v>-127564.61999994889</v>
      </c>
      <c r="I118" s="687">
        <f t="shared" si="25"/>
        <v>1778549.7200000286</v>
      </c>
      <c r="J118" s="687">
        <f t="shared" si="25"/>
        <v>110950.6799999997</v>
      </c>
      <c r="K118" s="687">
        <f t="shared" si="25"/>
        <v>705663.00999999046</v>
      </c>
      <c r="L118" s="687">
        <f t="shared" si="25"/>
        <v>2027.910000002943</v>
      </c>
      <c r="M118" s="240">
        <f t="shared" si="20"/>
        <v>75663574.19999975</v>
      </c>
    </row>
    <row r="119" spans="1:13" x14ac:dyDescent="0.2">
      <c r="A119" s="713">
        <f t="shared" si="21"/>
        <v>59</v>
      </c>
      <c r="B119" s="1006" t="s">
        <v>2913</v>
      </c>
      <c r="C119" s="687">
        <f t="shared" ref="C119:L119" si="26">C79-C99</f>
        <v>-1.1175870895385742E-8</v>
      </c>
      <c r="D119" s="687">
        <f t="shared" si="26"/>
        <v>2236.0199999846518</v>
      </c>
      <c r="E119" s="687">
        <f t="shared" si="26"/>
        <v>4850400.1499999948</v>
      </c>
      <c r="F119" s="687">
        <f t="shared" si="26"/>
        <v>65393134.170000046</v>
      </c>
      <c r="G119" s="687">
        <f t="shared" si="26"/>
        <v>-97916.460000008345</v>
      </c>
      <c r="H119" s="687">
        <f t="shared" si="26"/>
        <v>1741475.6300000213</v>
      </c>
      <c r="I119" s="687">
        <f t="shared" si="26"/>
        <v>-1487302.1200000644</v>
      </c>
      <c r="J119" s="687">
        <f t="shared" si="26"/>
        <v>2387402.6200000048</v>
      </c>
      <c r="K119" s="687">
        <f t="shared" si="26"/>
        <v>180614.25999999046</v>
      </c>
      <c r="L119" s="687">
        <f t="shared" si="26"/>
        <v>19.679999995976686</v>
      </c>
      <c r="M119" s="240">
        <f t="shared" si="20"/>
        <v>72970063.949999958</v>
      </c>
    </row>
    <row r="120" spans="1:13" x14ac:dyDescent="0.2">
      <c r="A120" s="713">
        <f t="shared" si="21"/>
        <v>60</v>
      </c>
      <c r="B120" s="1007" t="s">
        <v>2914</v>
      </c>
      <c r="C120" s="687">
        <f t="shared" ref="C120:L120" si="27">C80-C100</f>
        <v>85940.020000005141</v>
      </c>
      <c r="D120" s="687">
        <f t="shared" si="27"/>
        <v>58164.129999995232</v>
      </c>
      <c r="E120" s="687">
        <f t="shared" si="27"/>
        <v>1197270.2800000459</v>
      </c>
      <c r="F120" s="687">
        <f t="shared" si="27"/>
        <v>25849385.180000335</v>
      </c>
      <c r="G120" s="687">
        <f t="shared" si="27"/>
        <v>-734762.19000002742</v>
      </c>
      <c r="H120" s="687">
        <f t="shared" si="27"/>
        <v>-1682138.110000018</v>
      </c>
      <c r="I120" s="687">
        <f t="shared" si="27"/>
        <v>-491270.03999993205</v>
      </c>
      <c r="J120" s="687">
        <f t="shared" si="27"/>
        <v>940657.46999999881</v>
      </c>
      <c r="K120" s="687">
        <f t="shared" si="27"/>
        <v>9405200.9500000179</v>
      </c>
      <c r="L120" s="687">
        <f t="shared" si="27"/>
        <v>48.140000002458692</v>
      </c>
      <c r="M120" s="240">
        <f t="shared" si="20"/>
        <v>34628495.830000415</v>
      </c>
    </row>
    <row r="121" spans="1:13" x14ac:dyDescent="0.2">
      <c r="A121" s="713">
        <f t="shared" si="21"/>
        <v>61</v>
      </c>
      <c r="B121" s="1006" t="s">
        <v>2915</v>
      </c>
      <c r="C121" s="687">
        <f t="shared" ref="C121:L121" si="28">C81-C101</f>
        <v>-3.7252902984619141E-9</v>
      </c>
      <c r="D121" s="687">
        <f t="shared" si="28"/>
        <v>19730.270000014454</v>
      </c>
      <c r="E121" s="687">
        <f t="shared" si="28"/>
        <v>10282810.069999963</v>
      </c>
      <c r="F121" s="687">
        <f t="shared" si="28"/>
        <v>9002248.8199991286</v>
      </c>
      <c r="G121" s="687">
        <f t="shared" si="28"/>
        <v>1011488.8500000536</v>
      </c>
      <c r="H121" s="687">
        <f t="shared" si="28"/>
        <v>99848.899999983609</v>
      </c>
      <c r="I121" s="687">
        <f t="shared" si="28"/>
        <v>74635.25</v>
      </c>
      <c r="J121" s="687">
        <f t="shared" si="28"/>
        <v>209999.80999999493</v>
      </c>
      <c r="K121" s="687">
        <f t="shared" si="28"/>
        <v>1226369.2599999905</v>
      </c>
      <c r="L121" s="687">
        <f t="shared" si="28"/>
        <v>109.62999999709427</v>
      </c>
      <c r="M121" s="240">
        <f t="shared" si="20"/>
        <v>21927240.85999912</v>
      </c>
    </row>
    <row r="122" spans="1:13" x14ac:dyDescent="0.2">
      <c r="A122" s="713">
        <f t="shared" si="21"/>
        <v>62</v>
      </c>
      <c r="B122" s="1006" t="s">
        <v>2916</v>
      </c>
      <c r="C122" s="687">
        <f t="shared" ref="C122:L122" si="29">C82-C102</f>
        <v>7.4505805969238281E-9</v>
      </c>
      <c r="D122" s="687">
        <f t="shared" si="29"/>
        <v>13813.209999993443</v>
      </c>
      <c r="E122" s="687">
        <f t="shared" si="29"/>
        <v>174680.61000004038</v>
      </c>
      <c r="F122" s="687">
        <f t="shared" si="29"/>
        <v>6550012.7400007844</v>
      </c>
      <c r="G122" s="687">
        <f t="shared" si="29"/>
        <v>-762020.29999998212</v>
      </c>
      <c r="H122" s="687">
        <f t="shared" si="29"/>
        <v>1180747.0299999565</v>
      </c>
      <c r="I122" s="687">
        <f t="shared" si="29"/>
        <v>7704001.2299998403</v>
      </c>
      <c r="J122" s="687">
        <f t="shared" si="29"/>
        <v>-15692.809999994934</v>
      </c>
      <c r="K122" s="687">
        <f t="shared" si="29"/>
        <v>-1113442.0200000107</v>
      </c>
      <c r="L122" s="687">
        <f t="shared" si="29"/>
        <v>43.930000007152557</v>
      </c>
      <c r="M122" s="240">
        <f t="shared" si="20"/>
        <v>13732143.620000642</v>
      </c>
    </row>
    <row r="123" spans="1:13" x14ac:dyDescent="0.2">
      <c r="A123" s="713">
        <f t="shared" si="21"/>
        <v>63</v>
      </c>
      <c r="B123" s="1007" t="s">
        <v>2917</v>
      </c>
      <c r="C123" s="687">
        <f t="shared" ref="C123:L123" si="30">C83-C103</f>
        <v>-1.862645149230957E-9</v>
      </c>
      <c r="D123" s="687">
        <f t="shared" si="30"/>
        <v>74887.44999999553</v>
      </c>
      <c r="E123" s="687">
        <f t="shared" si="30"/>
        <v>238841.05999999121</v>
      </c>
      <c r="F123" s="687">
        <f t="shared" si="30"/>
        <v>-4032028.9600002766</v>
      </c>
      <c r="G123" s="687">
        <f t="shared" si="30"/>
        <v>28756.659999907017</v>
      </c>
      <c r="H123" s="687">
        <f t="shared" si="30"/>
        <v>680856.52999997139</v>
      </c>
      <c r="I123" s="687">
        <f t="shared" si="30"/>
        <v>-623178.03999990225</v>
      </c>
      <c r="J123" s="687">
        <f t="shared" si="30"/>
        <v>-18870</v>
      </c>
      <c r="K123" s="687">
        <f t="shared" si="30"/>
        <v>-224564.79999998212</v>
      </c>
      <c r="L123" s="687">
        <f t="shared" si="30"/>
        <v>15.03999999165535</v>
      </c>
      <c r="M123" s="240">
        <f t="shared" si="20"/>
        <v>-3875285.060000306</v>
      </c>
    </row>
    <row r="124" spans="1:13" x14ac:dyDescent="0.2">
      <c r="A124" s="713">
        <f t="shared" si="21"/>
        <v>64</v>
      </c>
      <c r="B124" s="1007" t="s">
        <v>2918</v>
      </c>
      <c r="C124" s="687">
        <f t="shared" ref="C124:L124" si="31">C84-C104</f>
        <v>-9.3132257461547852E-9</v>
      </c>
      <c r="D124" s="687">
        <f t="shared" si="31"/>
        <v>-2575.6699999943376</v>
      </c>
      <c r="E124" s="687">
        <f t="shared" si="31"/>
        <v>-559756.70000004768</v>
      </c>
      <c r="F124" s="687">
        <f t="shared" si="31"/>
        <v>6446677.7899997234</v>
      </c>
      <c r="G124" s="687">
        <f t="shared" si="31"/>
        <v>1648.33000010252</v>
      </c>
      <c r="H124" s="687">
        <f t="shared" si="31"/>
        <v>1233535.8600000143</v>
      </c>
      <c r="I124" s="687">
        <f t="shared" si="31"/>
        <v>-149730.77000002563</v>
      </c>
      <c r="J124" s="687">
        <f t="shared" si="31"/>
        <v>-80310.580000005662</v>
      </c>
      <c r="K124" s="687">
        <f t="shared" si="31"/>
        <v>-251045.26000002027</v>
      </c>
      <c r="L124" s="687">
        <f t="shared" si="31"/>
        <v>63.780000001192093</v>
      </c>
      <c r="M124" s="240">
        <f t="shared" si="20"/>
        <v>6638506.7799997386</v>
      </c>
    </row>
    <row r="125" spans="1:13" x14ac:dyDescent="0.2">
      <c r="A125" s="713">
        <f t="shared" si="21"/>
        <v>65</v>
      </c>
      <c r="B125" s="1006" t="s">
        <v>2919</v>
      </c>
      <c r="C125" s="116">
        <f t="shared" ref="C125:L125" si="32">C85-C105</f>
        <v>-28961.289999991655</v>
      </c>
      <c r="D125" s="116">
        <f t="shared" si="32"/>
        <v>390.17000000178814</v>
      </c>
      <c r="E125" s="116">
        <f t="shared" si="32"/>
        <v>617182.79000001401</v>
      </c>
      <c r="F125" s="116">
        <f t="shared" si="32"/>
        <v>2756229.3099988997</v>
      </c>
      <c r="G125" s="116">
        <f t="shared" si="32"/>
        <v>737655.95999994874</v>
      </c>
      <c r="H125" s="116">
        <f t="shared" si="32"/>
        <v>4521522.6200000048</v>
      </c>
      <c r="I125" s="116">
        <f t="shared" si="32"/>
        <v>-1919145.7899999842</v>
      </c>
      <c r="J125" s="116">
        <f t="shared" si="32"/>
        <v>-96931.439999997616</v>
      </c>
      <c r="K125" s="116">
        <f t="shared" si="32"/>
        <v>-619551.91999998689</v>
      </c>
      <c r="L125" s="116">
        <f t="shared" si="32"/>
        <v>167070.82000000775</v>
      </c>
      <c r="M125" s="385">
        <f t="shared" si="20"/>
        <v>6135461.2299989164</v>
      </c>
    </row>
    <row r="126" spans="1:13" x14ac:dyDescent="0.2">
      <c r="A126" s="713">
        <f t="shared" si="21"/>
        <v>66</v>
      </c>
      <c r="B126" s="717" t="s">
        <v>4</v>
      </c>
      <c r="C126" s="240">
        <f>SUM(C114:C125)</f>
        <v>65728.609999991953</v>
      </c>
      <c r="D126" s="240">
        <f t="shared" ref="D126:L126" si="33">SUM(D114:D125)</f>
        <v>308156.25</v>
      </c>
      <c r="E126" s="240">
        <f t="shared" si="33"/>
        <v>44904505.869999953</v>
      </c>
      <c r="F126" s="240">
        <f t="shared" si="33"/>
        <v>194063389.8799991</v>
      </c>
      <c r="G126" s="240">
        <f t="shared" si="33"/>
        <v>2939644.0600000024</v>
      </c>
      <c r="H126" s="240">
        <f t="shared" si="33"/>
        <v>10509594.51999997</v>
      </c>
      <c r="I126" s="240">
        <f t="shared" si="33"/>
        <v>6179454.6199999899</v>
      </c>
      <c r="J126" s="240">
        <f t="shared" si="33"/>
        <v>3385706.1799999997</v>
      </c>
      <c r="K126" s="240">
        <f t="shared" si="33"/>
        <v>7480544.5500000119</v>
      </c>
      <c r="L126" s="240">
        <f t="shared" si="33"/>
        <v>204754.5500000054</v>
      </c>
      <c r="M126" s="240">
        <f>SUM(M114:M125)</f>
        <v>270041479.08999902</v>
      </c>
    </row>
    <row r="128" spans="1:13" x14ac:dyDescent="0.2">
      <c r="B128" s="1" t="s">
        <v>1983</v>
      </c>
    </row>
    <row r="129" spans="1:13" x14ac:dyDescent="0.2">
      <c r="B129" s="630" t="s">
        <v>1984</v>
      </c>
    </row>
    <row r="130" spans="1:13" x14ac:dyDescent="0.2">
      <c r="B130" s="16"/>
      <c r="C130" s="86">
        <v>350.1</v>
      </c>
      <c r="D130" s="86">
        <v>350.2</v>
      </c>
      <c r="E130" s="86">
        <v>352</v>
      </c>
      <c r="F130" s="86">
        <v>353</v>
      </c>
      <c r="G130" s="86">
        <v>354</v>
      </c>
      <c r="H130" s="86">
        <v>355</v>
      </c>
      <c r="I130" s="86">
        <v>356</v>
      </c>
      <c r="J130" s="86">
        <v>357</v>
      </c>
      <c r="K130" s="86">
        <v>358</v>
      </c>
      <c r="L130" s="86">
        <v>359</v>
      </c>
      <c r="M130" s="3" t="s">
        <v>224</v>
      </c>
    </row>
    <row r="131" spans="1:13" x14ac:dyDescent="0.2">
      <c r="A131" s="713">
        <f>A126+1</f>
        <v>67</v>
      </c>
      <c r="B131" s="16"/>
      <c r="C131" s="7">
        <f t="shared" ref="C131:M131" si="34">C23-C11</f>
        <v>1368790.8757496774</v>
      </c>
      <c r="D131" s="7">
        <f t="shared" si="34"/>
        <v>1351380.8146272302</v>
      </c>
      <c r="E131" s="7">
        <f t="shared" si="34"/>
        <v>-4509633</v>
      </c>
      <c r="F131" s="7">
        <f t="shared" si="34"/>
        <v>76298316</v>
      </c>
      <c r="G131" s="7">
        <f t="shared" si="34"/>
        <v>-74790385</v>
      </c>
      <c r="H131" s="7">
        <f t="shared" si="34"/>
        <v>18304855</v>
      </c>
      <c r="I131" s="7">
        <f t="shared" si="34"/>
        <v>-280834</v>
      </c>
      <c r="J131" s="7">
        <f t="shared" si="34"/>
        <v>274847</v>
      </c>
      <c r="K131" s="7">
        <f t="shared" si="34"/>
        <v>1105676</v>
      </c>
      <c r="L131" s="7">
        <f t="shared" si="34"/>
        <v>81733339</v>
      </c>
      <c r="M131" s="7">
        <f t="shared" si="34"/>
        <v>100856352.69037676</v>
      </c>
    </row>
    <row r="132" spans="1:13" x14ac:dyDescent="0.2">
      <c r="B132" s="16"/>
      <c r="C132" s="7"/>
      <c r="D132" s="7"/>
      <c r="E132" s="7"/>
      <c r="F132" s="7"/>
      <c r="G132" s="7"/>
      <c r="H132" s="7"/>
      <c r="I132" s="7"/>
      <c r="J132" s="7"/>
      <c r="K132" s="7"/>
      <c r="L132" s="7"/>
      <c r="M132" s="7"/>
    </row>
    <row r="133" spans="1:13" x14ac:dyDescent="0.2">
      <c r="B133" s="630" t="s">
        <v>1985</v>
      </c>
      <c r="C133" s="7"/>
      <c r="D133" s="7"/>
      <c r="E133" s="7"/>
      <c r="F133" s="7"/>
      <c r="G133" s="7"/>
      <c r="H133" s="7"/>
      <c r="I133" s="7"/>
      <c r="J133" s="7"/>
      <c r="K133" s="7"/>
      <c r="L133" s="7"/>
      <c r="M133" s="7"/>
    </row>
    <row r="134" spans="1:13" x14ac:dyDescent="0.2">
      <c r="B134" s="16"/>
      <c r="C134" s="86">
        <v>350.1</v>
      </c>
      <c r="D134" s="86">
        <v>350.2</v>
      </c>
      <c r="E134" s="86">
        <v>352</v>
      </c>
      <c r="F134" s="86">
        <v>353</v>
      </c>
      <c r="G134" s="86">
        <v>354</v>
      </c>
      <c r="H134" s="86">
        <v>355</v>
      </c>
      <c r="I134" s="86">
        <v>356</v>
      </c>
      <c r="J134" s="86">
        <v>357</v>
      </c>
      <c r="K134" s="86">
        <v>358</v>
      </c>
      <c r="L134" s="86">
        <v>359</v>
      </c>
      <c r="M134" s="3" t="s">
        <v>224</v>
      </c>
    </row>
    <row r="135" spans="1:13" x14ac:dyDescent="0.2">
      <c r="A135" s="713">
        <f>A131+1</f>
        <v>68</v>
      </c>
      <c r="B135" s="16"/>
      <c r="C135" s="7">
        <f t="shared" ref="C135:M135" si="35">C106</f>
        <v>1310491.8200000003</v>
      </c>
      <c r="D135" s="7">
        <f t="shared" si="35"/>
        <v>1145598.8400000036</v>
      </c>
      <c r="E135" s="7">
        <f t="shared" si="35"/>
        <v>-8308107.950000003</v>
      </c>
      <c r="F135" s="7">
        <f t="shared" si="35"/>
        <v>12950805.599999964</v>
      </c>
      <c r="G135" s="7">
        <f t="shared" si="35"/>
        <v>-76451659.579999983</v>
      </c>
      <c r="H135" s="7">
        <f t="shared" si="35"/>
        <v>17279145.510000002</v>
      </c>
      <c r="I135" s="7">
        <f t="shared" si="35"/>
        <v>-3053151.6599999592</v>
      </c>
      <c r="J135" s="7">
        <f t="shared" si="35"/>
        <v>0</v>
      </c>
      <c r="K135" s="7">
        <f t="shared" si="35"/>
        <v>0</v>
      </c>
      <c r="L135" s="7">
        <f t="shared" si="35"/>
        <v>81775423.040000007</v>
      </c>
      <c r="M135" s="7">
        <f t="shared" si="35"/>
        <v>26648545.620000042</v>
      </c>
    </row>
    <row r="136" spans="1:13" x14ac:dyDescent="0.2">
      <c r="B136" s="16"/>
      <c r="C136" s="7"/>
      <c r="D136" s="7"/>
      <c r="E136" s="7"/>
      <c r="F136" s="7"/>
      <c r="G136" s="7"/>
      <c r="H136" s="7"/>
      <c r="I136" s="7"/>
      <c r="J136" s="7"/>
      <c r="K136" s="7"/>
      <c r="L136" s="7"/>
      <c r="M136" s="7"/>
    </row>
    <row r="137" spans="1:13" x14ac:dyDescent="0.2">
      <c r="B137" s="630" t="s">
        <v>1986</v>
      </c>
      <c r="C137" s="7"/>
      <c r="D137" s="7"/>
      <c r="E137" s="7"/>
      <c r="F137" s="7"/>
      <c r="G137" s="7"/>
      <c r="H137" s="7"/>
      <c r="I137" s="7"/>
      <c r="J137" s="7"/>
      <c r="K137" s="7"/>
      <c r="L137" s="7"/>
      <c r="M137" s="7"/>
    </row>
    <row r="138" spans="1:13" x14ac:dyDescent="0.2">
      <c r="C138" s="86">
        <v>350.1</v>
      </c>
      <c r="D138" s="86">
        <v>350.2</v>
      </c>
      <c r="E138" s="86">
        <v>352</v>
      </c>
      <c r="F138" s="86">
        <v>353</v>
      </c>
      <c r="G138" s="86">
        <v>354</v>
      </c>
      <c r="H138" s="86">
        <v>355</v>
      </c>
      <c r="I138" s="86">
        <v>356</v>
      </c>
      <c r="J138" s="86">
        <v>357</v>
      </c>
      <c r="K138" s="86">
        <v>358</v>
      </c>
      <c r="L138" s="86">
        <v>359</v>
      </c>
      <c r="M138" s="3" t="s">
        <v>224</v>
      </c>
    </row>
    <row r="139" spans="1:13" x14ac:dyDescent="0.2">
      <c r="A139" s="713">
        <f>A135+1</f>
        <v>69</v>
      </c>
      <c r="C139" s="7">
        <f t="shared" ref="C139:M139" si="36">C131-C135</f>
        <v>58299.055749677122</v>
      </c>
      <c r="D139" s="7">
        <f t="shared" si="36"/>
        <v>205781.97462722659</v>
      </c>
      <c r="E139" s="7">
        <f t="shared" si="36"/>
        <v>3798474.950000003</v>
      </c>
      <c r="F139" s="7">
        <f t="shared" si="36"/>
        <v>63347510.400000036</v>
      </c>
      <c r="G139" s="7">
        <f t="shared" si="36"/>
        <v>1661274.5799999833</v>
      </c>
      <c r="H139" s="7">
        <f t="shared" si="36"/>
        <v>1025709.4899999984</v>
      </c>
      <c r="I139" s="7">
        <f t="shared" si="36"/>
        <v>2772317.6599999592</v>
      </c>
      <c r="J139" s="7">
        <f t="shared" si="36"/>
        <v>274847</v>
      </c>
      <c r="K139" s="7">
        <f t="shared" si="36"/>
        <v>1105676</v>
      </c>
      <c r="L139" s="7">
        <f t="shared" si="36"/>
        <v>-42084.040000006557</v>
      </c>
      <c r="M139" s="7">
        <f t="shared" si="36"/>
        <v>74207807.070376724</v>
      </c>
    </row>
    <row r="141" spans="1:13" x14ac:dyDescent="0.2">
      <c r="B141" s="45" t="s">
        <v>2245</v>
      </c>
      <c r="C141" s="14"/>
      <c r="D141" s="14"/>
      <c r="E141" s="14"/>
      <c r="F141" s="14"/>
      <c r="G141" s="14"/>
    </row>
    <row r="142" spans="1:13" x14ac:dyDescent="0.2">
      <c r="A142" s="456"/>
      <c r="B142" s="376" t="s">
        <v>403</v>
      </c>
      <c r="C142" s="376" t="s">
        <v>387</v>
      </c>
      <c r="D142" s="376" t="s">
        <v>388</v>
      </c>
      <c r="E142" s="376" t="s">
        <v>389</v>
      </c>
      <c r="F142" s="376" t="s">
        <v>390</v>
      </c>
      <c r="G142" s="376" t="s">
        <v>391</v>
      </c>
      <c r="H142" s="86" t="s">
        <v>392</v>
      </c>
      <c r="I142" s="86" t="s">
        <v>606</v>
      </c>
      <c r="J142" s="86" t="s">
        <v>1055</v>
      </c>
      <c r="K142" s="86" t="s">
        <v>1072</v>
      </c>
      <c r="L142" s="86" t="s">
        <v>1075</v>
      </c>
      <c r="M142" s="86" t="s">
        <v>1093</v>
      </c>
    </row>
    <row r="143" spans="1:13" x14ac:dyDescent="0.2">
      <c r="A143" s="238"/>
      <c r="B143" s="588"/>
      <c r="C143" s="248"/>
      <c r="D143" s="248"/>
      <c r="E143" s="248"/>
      <c r="F143" s="731"/>
      <c r="G143" s="248"/>
      <c r="H143" s="238"/>
      <c r="I143" s="238"/>
      <c r="J143" s="238"/>
      <c r="K143" s="238"/>
      <c r="L143" s="238"/>
      <c r="M143" s="260" t="s">
        <v>1488</v>
      </c>
    </row>
    <row r="144" spans="1:13" x14ac:dyDescent="0.2">
      <c r="A144" s="238"/>
      <c r="B144" s="115"/>
      <c r="C144" s="376"/>
      <c r="D144" s="376"/>
      <c r="E144" s="248"/>
      <c r="F144" s="248"/>
      <c r="G144" s="248"/>
      <c r="H144" s="238"/>
      <c r="I144" s="238"/>
      <c r="J144" s="238"/>
      <c r="K144" s="238"/>
      <c r="L144" s="238"/>
    </row>
    <row r="145" spans="1:13" x14ac:dyDescent="0.2">
      <c r="A145" s="53"/>
      <c r="B145" s="129" t="s">
        <v>2295</v>
      </c>
      <c r="C145" s="376">
        <v>350.1</v>
      </c>
      <c r="D145" s="376">
        <v>350.2</v>
      </c>
      <c r="E145" s="376">
        <v>352</v>
      </c>
      <c r="F145" s="376">
        <v>353</v>
      </c>
      <c r="G145" s="376">
        <v>354</v>
      </c>
      <c r="H145" s="86">
        <v>355</v>
      </c>
      <c r="I145" s="86">
        <v>356</v>
      </c>
      <c r="J145" s="86">
        <v>357</v>
      </c>
      <c r="K145" s="86">
        <v>358</v>
      </c>
      <c r="L145" s="86">
        <v>359</v>
      </c>
      <c r="M145" s="3" t="s">
        <v>224</v>
      </c>
    </row>
    <row r="146" spans="1:13" x14ac:dyDescent="0.2">
      <c r="A146" s="713">
        <f>A139+1</f>
        <v>70</v>
      </c>
      <c r="B146" s="1007" t="s">
        <v>2908</v>
      </c>
      <c r="C146" s="687">
        <f t="shared" ref="C146:C157" si="37">C114*($C$139/$C$126)</f>
        <v>7.434464843939729E-9</v>
      </c>
      <c r="D146" s="687">
        <f t="shared" ref="D146:D157" si="38">D114*($D$139/$D$126)</f>
        <v>22819.285663131046</v>
      </c>
      <c r="E146" s="687">
        <f t="shared" ref="E146:E157" si="39">E114*($E$139/$E$126)</f>
        <v>30241.033561324854</v>
      </c>
      <c r="F146" s="687">
        <f t="shared" ref="F146:F157" si="40">F114*($F$139/$F$126)</f>
        <v>2512940.7129154643</v>
      </c>
      <c r="G146" s="687">
        <f t="shared" ref="G146:G157" si="41">G114*($G$139/$G$126)</f>
        <v>1080161.8521055046</v>
      </c>
      <c r="H146" s="687">
        <f t="shared" ref="H146:H157" si="42">H114*($H$139/$H$126)</f>
        <v>238576.89202198267</v>
      </c>
      <c r="I146" s="687">
        <f t="shared" ref="I146:I157" si="43">I114*($I$139/$I$126)</f>
        <v>494811.93677874561</v>
      </c>
      <c r="J146" s="687">
        <f t="shared" ref="J146:J157" si="44">J114*($J$139/$J$126)</f>
        <v>11481.798719450582</v>
      </c>
      <c r="K146" s="687">
        <f t="shared" ref="K146:K157" si="45">K114*($K$139/$K$126)</f>
        <v>101736.39349259496</v>
      </c>
      <c r="L146" s="687">
        <f t="shared" ref="L146:L157" si="46">L114*($L$139/$L$126)</f>
        <v>-7283.5341374562349</v>
      </c>
      <c r="M146" s="240">
        <f t="shared" ref="M146:M157" si="47">SUM(C146:L146)</f>
        <v>4485486.371120749</v>
      </c>
    </row>
    <row r="147" spans="1:13" x14ac:dyDescent="0.2">
      <c r="A147" s="713">
        <f t="shared" ref="A147:A158" si="48">A146+1</f>
        <v>71</v>
      </c>
      <c r="B147" s="1006" t="s">
        <v>2909</v>
      </c>
      <c r="C147" s="687">
        <f t="shared" si="37"/>
        <v>-1.2390774739899549E-8</v>
      </c>
      <c r="D147" s="687">
        <f t="shared" si="38"/>
        <v>63882.043842678293</v>
      </c>
      <c r="E147" s="687">
        <f t="shared" si="39"/>
        <v>356080.73129225004</v>
      </c>
      <c r="F147" s="687">
        <f t="shared" si="40"/>
        <v>891247.7504184735</v>
      </c>
      <c r="G147" s="687">
        <f t="shared" si="41"/>
        <v>-279319.919425659</v>
      </c>
      <c r="H147" s="687">
        <f t="shared" si="42"/>
        <v>-143165.40719351012</v>
      </c>
      <c r="I147" s="687">
        <f t="shared" si="43"/>
        <v>-111428.93036416039</v>
      </c>
      <c r="J147" s="687">
        <f t="shared" si="44"/>
        <v>-15856.670312049626</v>
      </c>
      <c r="K147" s="687">
        <f t="shared" si="45"/>
        <v>-110324.45988864773</v>
      </c>
      <c r="L147" s="687">
        <f t="shared" si="46"/>
        <v>24.148200172018932</v>
      </c>
      <c r="M147" s="240">
        <f t="shared" si="47"/>
        <v>651139.28656953445</v>
      </c>
    </row>
    <row r="148" spans="1:13" x14ac:dyDescent="0.2">
      <c r="A148" s="713">
        <f t="shared" si="48"/>
        <v>72</v>
      </c>
      <c r="B148" s="1006" t="s">
        <v>2910</v>
      </c>
      <c r="C148" s="687">
        <f t="shared" si="37"/>
        <v>7760.8478548985559</v>
      </c>
      <c r="D148" s="687">
        <f t="shared" si="38"/>
        <v>382.8141560420774</v>
      </c>
      <c r="E148" s="687">
        <f t="shared" si="39"/>
        <v>29247.941154278898</v>
      </c>
      <c r="F148" s="687">
        <f t="shared" si="40"/>
        <v>528009.87704461301</v>
      </c>
      <c r="G148" s="687">
        <f t="shared" si="41"/>
        <v>505065.92687063513</v>
      </c>
      <c r="H148" s="687">
        <f t="shared" si="42"/>
        <v>23104.215906825801</v>
      </c>
      <c r="I148" s="687">
        <f t="shared" si="43"/>
        <v>38102.413460483251</v>
      </c>
      <c r="J148" s="687">
        <f t="shared" si="44"/>
        <v>66.959383781771393</v>
      </c>
      <c r="K148" s="687">
        <f t="shared" si="45"/>
        <v>-266804.05893143622</v>
      </c>
      <c r="L148" s="687">
        <f t="shared" si="46"/>
        <v>-2.7664888445101679</v>
      </c>
      <c r="M148" s="240">
        <f t="shared" si="47"/>
        <v>864934.17041127803</v>
      </c>
    </row>
    <row r="149" spans="1:13" x14ac:dyDescent="0.2">
      <c r="A149" s="713">
        <f t="shared" si="48"/>
        <v>73</v>
      </c>
      <c r="B149" s="1007" t="s">
        <v>2911</v>
      </c>
      <c r="C149" s="687">
        <f t="shared" si="37"/>
        <v>-2.147734288249255E-8</v>
      </c>
      <c r="D149" s="687">
        <f t="shared" si="38"/>
        <v>4.9753824151036556E-9</v>
      </c>
      <c r="E149" s="687">
        <f t="shared" si="39"/>
        <v>122045.44478243978</v>
      </c>
      <c r="F149" s="687">
        <f t="shared" si="40"/>
        <v>6188743.586029198</v>
      </c>
      <c r="G149" s="687">
        <f t="shared" si="41"/>
        <v>57174.188609147692</v>
      </c>
      <c r="H149" s="687">
        <f t="shared" si="42"/>
        <v>160740.88834901026</v>
      </c>
      <c r="I149" s="687">
        <f t="shared" si="43"/>
        <v>158552.19840311442</v>
      </c>
      <c r="J149" s="687">
        <f t="shared" si="44"/>
        <v>127.24750749044622</v>
      </c>
      <c r="K149" s="687">
        <f t="shared" si="45"/>
        <v>5097.8299574210969</v>
      </c>
      <c r="L149" s="687">
        <f t="shared" si="46"/>
        <v>-4.6327383765708587</v>
      </c>
      <c r="M149" s="240">
        <f t="shared" si="47"/>
        <v>6692476.7508994276</v>
      </c>
    </row>
    <row r="150" spans="1:13" x14ac:dyDescent="0.2">
      <c r="A150" s="713">
        <f t="shared" si="48"/>
        <v>74</v>
      </c>
      <c r="B150" s="1006" t="s">
        <v>2912</v>
      </c>
      <c r="C150" s="687">
        <f t="shared" si="37"/>
        <v>9.9126197919196386E-9</v>
      </c>
      <c r="D150" s="687">
        <f t="shared" si="38"/>
        <v>7414.4917006382311</v>
      </c>
      <c r="E150" s="687">
        <f t="shared" si="39"/>
        <v>1839625.9356283443</v>
      </c>
      <c r="F150" s="687">
        <f t="shared" si="40"/>
        <v>16677965.692312872</v>
      </c>
      <c r="G150" s="687">
        <f t="shared" si="41"/>
        <v>193728.17767756549</v>
      </c>
      <c r="H150" s="687">
        <f t="shared" si="42"/>
        <v>-12449.979975268499</v>
      </c>
      <c r="I150" s="687">
        <f t="shared" si="43"/>
        <v>797919.08852048009</v>
      </c>
      <c r="J150" s="687">
        <f t="shared" si="44"/>
        <v>9006.8245514322571</v>
      </c>
      <c r="K150" s="687">
        <f t="shared" si="45"/>
        <v>104301.85249611917</v>
      </c>
      <c r="L150" s="687">
        <f t="shared" si="46"/>
        <v>-416.80463538678333</v>
      </c>
      <c r="M150" s="240">
        <f t="shared" si="47"/>
        <v>19617095.278276801</v>
      </c>
    </row>
    <row r="151" spans="1:13" x14ac:dyDescent="0.2">
      <c r="A151" s="713">
        <f t="shared" si="48"/>
        <v>75</v>
      </c>
      <c r="B151" s="1006" t="s">
        <v>2913</v>
      </c>
      <c r="C151" s="687">
        <f t="shared" si="37"/>
        <v>-9.9126197919196386E-9</v>
      </c>
      <c r="D151" s="687">
        <f t="shared" si="38"/>
        <v>1493.1795506429378</v>
      </c>
      <c r="E151" s="687">
        <f t="shared" si="39"/>
        <v>410295.65096629033</v>
      </c>
      <c r="F151" s="687">
        <f t="shared" si="40"/>
        <v>21346077.946408257</v>
      </c>
      <c r="G151" s="687">
        <f t="shared" si="41"/>
        <v>-55335.31360990653</v>
      </c>
      <c r="H151" s="687">
        <f t="shared" si="42"/>
        <v>169963.55824151749</v>
      </c>
      <c r="I151" s="687">
        <f t="shared" si="43"/>
        <v>-667255.31403474626</v>
      </c>
      <c r="J151" s="687">
        <f t="shared" si="44"/>
        <v>193806.08151270275</v>
      </c>
      <c r="K151" s="687">
        <f t="shared" si="45"/>
        <v>26696.031445965942</v>
      </c>
      <c r="L151" s="687">
        <f t="shared" si="46"/>
        <v>-4.0449108800306997</v>
      </c>
      <c r="M151" s="240">
        <f t="shared" si="47"/>
        <v>21425737.775569834</v>
      </c>
    </row>
    <row r="152" spans="1:13" x14ac:dyDescent="0.2">
      <c r="A152" s="713">
        <f t="shared" si="48"/>
        <v>76</v>
      </c>
      <c r="B152" s="1007" t="s">
        <v>2914</v>
      </c>
      <c r="C152" s="687">
        <f t="shared" si="37"/>
        <v>76225.893368341116</v>
      </c>
      <c r="D152" s="687">
        <f t="shared" si="38"/>
        <v>38841.105847678657</v>
      </c>
      <c r="E152" s="687">
        <f t="shared" si="39"/>
        <v>101277.16759929839</v>
      </c>
      <c r="F152" s="687">
        <f t="shared" si="40"/>
        <v>8437934.6229921971</v>
      </c>
      <c r="G152" s="687">
        <f t="shared" si="41"/>
        <v>-415234.53985519678</v>
      </c>
      <c r="H152" s="687">
        <f t="shared" si="42"/>
        <v>-164172.36836628066</v>
      </c>
      <c r="I152" s="687">
        <f t="shared" si="43"/>
        <v>-220400.7783005129</v>
      </c>
      <c r="J152" s="687">
        <f t="shared" si="44"/>
        <v>76361.287693632563</v>
      </c>
      <c r="K152" s="687">
        <f t="shared" si="45"/>
        <v>1390153.4702566811</v>
      </c>
      <c r="L152" s="687">
        <f t="shared" si="46"/>
        <v>-9.8944110678064732</v>
      </c>
      <c r="M152" s="240">
        <f t="shared" si="47"/>
        <v>9320975.96682477</v>
      </c>
    </row>
    <row r="153" spans="1:13" x14ac:dyDescent="0.2">
      <c r="A153" s="713">
        <f t="shared" si="48"/>
        <v>77</v>
      </c>
      <c r="B153" s="1006" t="s">
        <v>2915</v>
      </c>
      <c r="C153" s="687">
        <f t="shared" si="37"/>
        <v>-3.3042065973065463E-9</v>
      </c>
      <c r="D153" s="687">
        <f t="shared" si="38"/>
        <v>13175.56895416304</v>
      </c>
      <c r="E153" s="687">
        <f t="shared" si="39"/>
        <v>869823.54464782972</v>
      </c>
      <c r="F153" s="687">
        <f t="shared" si="40"/>
        <v>2938576.1585475481</v>
      </c>
      <c r="G153" s="687">
        <f t="shared" si="41"/>
        <v>571620.46838368033</v>
      </c>
      <c r="H153" s="687">
        <f t="shared" si="42"/>
        <v>9744.9967361865765</v>
      </c>
      <c r="I153" s="687">
        <f t="shared" si="43"/>
        <v>33483.961669341021</v>
      </c>
      <c r="J153" s="687">
        <f t="shared" si="44"/>
        <v>17047.497541286531</v>
      </c>
      <c r="K153" s="687">
        <f t="shared" si="45"/>
        <v>181265.82214121663</v>
      </c>
      <c r="L153" s="687">
        <f t="shared" si="46"/>
        <v>-22.532702228489246</v>
      </c>
      <c r="M153" s="240">
        <f t="shared" si="47"/>
        <v>4634715.4859190211</v>
      </c>
    </row>
    <row r="154" spans="1:13" x14ac:dyDescent="0.2">
      <c r="A154" s="713">
        <f t="shared" si="48"/>
        <v>78</v>
      </c>
      <c r="B154" s="1006" t="s">
        <v>2916</v>
      </c>
      <c r="C154" s="687">
        <f t="shared" si="37"/>
        <v>6.6084131946130927E-9</v>
      </c>
      <c r="D154" s="687">
        <f t="shared" si="38"/>
        <v>9224.2478604253629</v>
      </c>
      <c r="E154" s="687">
        <f t="shared" si="39"/>
        <v>14776.243686029766</v>
      </c>
      <c r="F154" s="687">
        <f t="shared" si="40"/>
        <v>2138100.3414601097</v>
      </c>
      <c r="G154" s="687">
        <f t="shared" si="41"/>
        <v>-430638.85558781918</v>
      </c>
      <c r="H154" s="687">
        <f t="shared" si="42"/>
        <v>115237.88397882659</v>
      </c>
      <c r="I154" s="687">
        <f t="shared" si="43"/>
        <v>3456282.1439717929</v>
      </c>
      <c r="J154" s="687">
        <f t="shared" si="44"/>
        <v>-1273.9208663607685</v>
      </c>
      <c r="K154" s="687">
        <f t="shared" si="45"/>
        <v>-164574.39838461092</v>
      </c>
      <c r="L154" s="687">
        <f t="shared" si="46"/>
        <v>-9.0291125520836921</v>
      </c>
      <c r="M154" s="240">
        <f t="shared" si="47"/>
        <v>5137124.6570058474</v>
      </c>
    </row>
    <row r="155" spans="1:13" x14ac:dyDescent="0.2">
      <c r="A155" s="713">
        <f t="shared" si="48"/>
        <v>79</v>
      </c>
      <c r="B155" s="1007" t="s">
        <v>2917</v>
      </c>
      <c r="C155" s="687">
        <f t="shared" si="37"/>
        <v>-1.6521032986532732E-9</v>
      </c>
      <c r="D155" s="687">
        <f t="shared" si="38"/>
        <v>50008.68012833353</v>
      </c>
      <c r="E155" s="687">
        <f t="shared" si="39"/>
        <v>20203.58015001614</v>
      </c>
      <c r="F155" s="687">
        <f t="shared" si="40"/>
        <v>-1316162.7066014851</v>
      </c>
      <c r="G155" s="687">
        <f t="shared" si="41"/>
        <v>16251.187997076016</v>
      </c>
      <c r="H155" s="687">
        <f t="shared" si="42"/>
        <v>66449.852353527458</v>
      </c>
      <c r="I155" s="687">
        <f t="shared" si="43"/>
        <v>-279579.28196839686</v>
      </c>
      <c r="J155" s="687">
        <f t="shared" si="44"/>
        <v>-1531.8408078754196</v>
      </c>
      <c r="K155" s="687">
        <f t="shared" si="45"/>
        <v>-33192.223927705883</v>
      </c>
      <c r="L155" s="687">
        <f t="shared" si="46"/>
        <v>-3.0912327039809635</v>
      </c>
      <c r="M155" s="240">
        <f t="shared" si="47"/>
        <v>-1477555.8439092156</v>
      </c>
    </row>
    <row r="156" spans="1:13" x14ac:dyDescent="0.2">
      <c r="A156" s="713">
        <f t="shared" si="48"/>
        <v>80</v>
      </c>
      <c r="B156" s="1007" t="s">
        <v>2918</v>
      </c>
      <c r="C156" s="687">
        <f t="shared" si="37"/>
        <v>-8.2605164932663661E-9</v>
      </c>
      <c r="D156" s="687">
        <f t="shared" si="38"/>
        <v>-1719.9925641194798</v>
      </c>
      <c r="E156" s="687">
        <f t="shared" si="39"/>
        <v>-47349.854137140064</v>
      </c>
      <c r="F156" s="687">
        <f t="shared" si="40"/>
        <v>2104369.0342623764</v>
      </c>
      <c r="G156" s="687">
        <f t="shared" si="41"/>
        <v>931.51710640154306</v>
      </c>
      <c r="H156" s="687">
        <f t="shared" si="42"/>
        <v>120389.93849377624</v>
      </c>
      <c r="I156" s="687">
        <f t="shared" si="43"/>
        <v>-67174.416423898554</v>
      </c>
      <c r="J156" s="687">
        <f t="shared" si="44"/>
        <v>-6519.5031133096018</v>
      </c>
      <c r="K156" s="687">
        <f t="shared" si="45"/>
        <v>-37106.218276018684</v>
      </c>
      <c r="L156" s="687">
        <f t="shared" si="46"/>
        <v>-13.108964226926901</v>
      </c>
      <c r="M156" s="240">
        <f t="shared" si="47"/>
        <v>2065807.3963838324</v>
      </c>
    </row>
    <row r="157" spans="1:13" x14ac:dyDescent="0.2">
      <c r="A157" s="713">
        <f t="shared" si="48"/>
        <v>81</v>
      </c>
      <c r="B157" s="1006" t="s">
        <v>2919</v>
      </c>
      <c r="C157" s="116">
        <f t="shared" si="37"/>
        <v>-25687.685473529513</v>
      </c>
      <c r="D157" s="116">
        <f t="shared" si="38"/>
        <v>260.54948760790336</v>
      </c>
      <c r="E157" s="116">
        <f t="shared" si="39"/>
        <v>52207.530669041247</v>
      </c>
      <c r="F157" s="116">
        <f t="shared" si="40"/>
        <v>899707.3842104167</v>
      </c>
      <c r="G157" s="116">
        <f t="shared" si="41"/>
        <v>416869.88972855383</v>
      </c>
      <c r="H157" s="116">
        <f t="shared" si="42"/>
        <v>441289.01945340465</v>
      </c>
      <c r="I157" s="116">
        <f t="shared" si="43"/>
        <v>-860995.36171228299</v>
      </c>
      <c r="J157" s="116">
        <f t="shared" si="44"/>
        <v>-7868.7618101814578</v>
      </c>
      <c r="K157" s="116">
        <f t="shared" si="45"/>
        <v>-91574.0403815795</v>
      </c>
      <c r="L157" s="116">
        <f t="shared" si="46"/>
        <v>-34338.748866455157</v>
      </c>
      <c r="M157" s="385">
        <f t="shared" si="47"/>
        <v>789869.77530499559</v>
      </c>
    </row>
    <row r="158" spans="1:13" x14ac:dyDescent="0.2">
      <c r="A158" s="713">
        <f t="shared" si="48"/>
        <v>82</v>
      </c>
      <c r="B158" s="717" t="s">
        <v>4</v>
      </c>
      <c r="C158" s="240">
        <f>SUM(C146:C157)</f>
        <v>58299.0557496771</v>
      </c>
      <c r="D158" s="240">
        <f t="shared" ref="D158:L158" si="49">SUM(D146:D157)</f>
        <v>205781.97462722653</v>
      </c>
      <c r="E158" s="240">
        <f t="shared" si="49"/>
        <v>3798474.9500000039</v>
      </c>
      <c r="F158" s="240">
        <f t="shared" si="49"/>
        <v>63347510.400000036</v>
      </c>
      <c r="G158" s="240">
        <f t="shared" si="49"/>
        <v>1661274.5799999831</v>
      </c>
      <c r="H158" s="240">
        <f t="shared" si="49"/>
        <v>1025709.4899999984</v>
      </c>
      <c r="I158" s="240">
        <f t="shared" si="49"/>
        <v>2772317.6599999592</v>
      </c>
      <c r="J158" s="240">
        <f t="shared" si="49"/>
        <v>274847</v>
      </c>
      <c r="K158" s="240">
        <f t="shared" si="49"/>
        <v>1105676</v>
      </c>
      <c r="L158" s="240">
        <f t="shared" si="49"/>
        <v>-42084.040000006557</v>
      </c>
      <c r="M158" s="240">
        <f>SUM(M146:M157)</f>
        <v>74207807.070376873</v>
      </c>
    </row>
    <row r="160" spans="1:13" x14ac:dyDescent="0.2">
      <c r="B160" s="462" t="s">
        <v>265</v>
      </c>
    </row>
    <row r="161" spans="2:44" x14ac:dyDescent="0.2">
      <c r="B161" s="628" t="s">
        <v>2503</v>
      </c>
      <c r="C161" s="14"/>
      <c r="D161" s="14"/>
      <c r="E161" s="14"/>
      <c r="F161" s="14"/>
      <c r="G161" s="14"/>
      <c r="H161" s="14"/>
      <c r="I161" s="14"/>
      <c r="J161" s="14"/>
      <c r="K161" s="14"/>
      <c r="L161" s="14"/>
      <c r="M161" s="14"/>
    </row>
    <row r="162" spans="2:44" x14ac:dyDescent="0.2">
      <c r="B162" s="1046" t="s">
        <v>2548</v>
      </c>
      <c r="C162" s="628"/>
      <c r="D162" s="628"/>
      <c r="E162" s="628"/>
      <c r="F162" s="628"/>
      <c r="G162" s="628"/>
      <c r="H162" s="628"/>
      <c r="I162" s="14"/>
      <c r="J162" s="628"/>
      <c r="K162" s="628"/>
      <c r="L162" s="628"/>
      <c r="M162" s="628"/>
      <c r="N162" s="626"/>
      <c r="O162" s="626"/>
      <c r="P162" s="626"/>
      <c r="Q162" s="626"/>
      <c r="R162" s="626"/>
      <c r="S162" s="626"/>
      <c r="T162" s="626"/>
      <c r="U162" s="626"/>
      <c r="V162" s="626"/>
      <c r="W162" s="626"/>
      <c r="X162" s="626"/>
      <c r="Y162" s="626"/>
      <c r="Z162" s="626"/>
      <c r="AA162" s="626"/>
      <c r="AB162" s="626"/>
      <c r="AC162" s="626"/>
      <c r="AD162" s="626"/>
      <c r="AE162" s="626"/>
      <c r="AF162" s="626"/>
      <c r="AG162" s="626"/>
      <c r="AH162" s="626"/>
      <c r="AI162" s="626"/>
      <c r="AJ162" s="626"/>
      <c r="AK162" s="626"/>
      <c r="AL162" s="626"/>
      <c r="AM162" s="626"/>
      <c r="AN162" s="626"/>
      <c r="AO162" s="626"/>
      <c r="AP162" s="626"/>
      <c r="AQ162" s="626"/>
      <c r="AR162" s="626"/>
    </row>
    <row r="163" spans="2:44" x14ac:dyDescent="0.2">
      <c r="B163" s="14" t="s">
        <v>2504</v>
      </c>
      <c r="C163" s="14"/>
      <c r="D163" s="14"/>
      <c r="E163" s="14"/>
      <c r="F163" s="14"/>
      <c r="G163" s="14"/>
      <c r="H163" s="14"/>
      <c r="I163" s="14"/>
      <c r="J163" s="14"/>
      <c r="K163" s="14"/>
      <c r="L163" s="14"/>
      <c r="M163" s="14"/>
    </row>
    <row r="164" spans="2:44" x14ac:dyDescent="0.2">
      <c r="B164" s="625" t="s">
        <v>2505</v>
      </c>
      <c r="C164" s="14"/>
      <c r="D164" s="14"/>
      <c r="E164" s="14"/>
      <c r="F164" s="14"/>
      <c r="G164" s="14"/>
      <c r="H164" s="14"/>
      <c r="I164" s="14"/>
      <c r="J164" s="14"/>
      <c r="K164" s="14"/>
      <c r="L164" s="14"/>
      <c r="M164" s="14"/>
    </row>
    <row r="165" spans="2:44" x14ac:dyDescent="0.2">
      <c r="B165" s="625" t="s">
        <v>2507</v>
      </c>
      <c r="C165" s="14"/>
      <c r="D165" s="14"/>
      <c r="E165" s="14"/>
      <c r="F165" s="14"/>
      <c r="G165" s="14"/>
      <c r="H165" s="14"/>
      <c r="I165" s="14"/>
      <c r="J165" s="14"/>
      <c r="K165" s="14"/>
      <c r="L165" s="14"/>
      <c r="M165" s="14"/>
    </row>
    <row r="166" spans="2:44" x14ac:dyDescent="0.2">
      <c r="B166" s="118" t="s">
        <v>2506</v>
      </c>
      <c r="C166" s="14"/>
      <c r="D166" s="14"/>
      <c r="E166" s="14"/>
      <c r="F166" s="14"/>
      <c r="G166" s="14"/>
      <c r="H166" s="14"/>
      <c r="I166" s="14"/>
      <c r="J166" s="14"/>
      <c r="K166" s="14"/>
      <c r="L166" s="14"/>
      <c r="M166" s="14"/>
    </row>
    <row r="167" spans="2:44" x14ac:dyDescent="0.2">
      <c r="B167" s="628" t="s">
        <v>2508</v>
      </c>
      <c r="C167" s="14"/>
      <c r="D167" s="14"/>
      <c r="E167" s="14"/>
      <c r="F167" s="14"/>
      <c r="G167" s="14"/>
      <c r="H167" s="14"/>
      <c r="I167" s="14"/>
      <c r="J167" s="14"/>
      <c r="K167" s="14"/>
      <c r="L167" s="14"/>
      <c r="M167" s="14"/>
    </row>
    <row r="168" spans="2:44" x14ac:dyDescent="0.2">
      <c r="B168" s="625" t="s">
        <v>2509</v>
      </c>
      <c r="C168" s="14"/>
      <c r="D168" s="14"/>
      <c r="E168" s="14"/>
      <c r="F168" s="14"/>
      <c r="G168" s="14"/>
      <c r="H168" s="14"/>
      <c r="I168" s="14"/>
      <c r="J168" s="14"/>
      <c r="K168" s="14"/>
      <c r="L168" s="14"/>
      <c r="M168" s="14"/>
    </row>
    <row r="169" spans="2:44" x14ac:dyDescent="0.2">
      <c r="B169" s="625" t="s">
        <v>2510</v>
      </c>
      <c r="C169" s="14"/>
      <c r="D169" s="14"/>
      <c r="E169" s="14"/>
      <c r="F169" s="14"/>
      <c r="G169" s="14"/>
      <c r="H169" s="14"/>
      <c r="I169" s="14"/>
      <c r="J169" s="14"/>
      <c r="K169" s="14"/>
      <c r="L169" s="14"/>
      <c r="M169" s="14"/>
    </row>
    <row r="170" spans="2:44" x14ac:dyDescent="0.2">
      <c r="B170" s="625" t="s">
        <v>2511</v>
      </c>
      <c r="C170" s="14"/>
      <c r="D170" s="14"/>
      <c r="E170" s="14"/>
      <c r="F170" s="14"/>
      <c r="G170" s="14"/>
      <c r="H170" s="14"/>
      <c r="I170" s="14"/>
      <c r="J170" s="14"/>
      <c r="K170" s="14"/>
      <c r="L170" s="14"/>
      <c r="M170" s="14"/>
    </row>
    <row r="171" spans="2:44" x14ac:dyDescent="0.2">
      <c r="B171" s="628" t="str">
        <f>"2) Amounts on Line "&amp;A34&amp;" must match 6-Plant Study amounts for Distribution Plant - ISO for previous year."</f>
        <v>2) Amounts on Line 15 must match 6-Plant Study amounts for Distribution Plant - ISO for previous year.</v>
      </c>
      <c r="C171" s="14"/>
      <c r="D171" s="14"/>
      <c r="E171" s="14"/>
      <c r="F171" s="14"/>
      <c r="G171" s="14"/>
      <c r="H171" s="14"/>
      <c r="I171" s="14"/>
      <c r="J171" s="14"/>
      <c r="K171" s="14"/>
      <c r="L171" s="14"/>
      <c r="M171" s="14"/>
    </row>
    <row r="172" spans="2:44" x14ac:dyDescent="0.2">
      <c r="B172" s="625" t="str">
        <f>"Amounts on Line "&amp;A35&amp;" must match amounts on 6-PlantStudy for Distribution Plant - ISO."</f>
        <v>Amounts on Line 16 must match amounts on 6-PlantStudy for Distribution Plant - ISO.</v>
      </c>
      <c r="C172" s="14"/>
      <c r="D172" s="14"/>
      <c r="E172" s="14"/>
      <c r="F172" s="14"/>
      <c r="G172" s="14"/>
      <c r="H172" s="14"/>
      <c r="I172" s="14"/>
      <c r="J172" s="14"/>
      <c r="K172" s="14"/>
      <c r="L172" s="14"/>
      <c r="M172" s="14"/>
    </row>
    <row r="173" spans="2:44" x14ac:dyDescent="0.2">
      <c r="B173" s="628" t="s">
        <v>2851</v>
      </c>
      <c r="C173" s="14"/>
      <c r="D173" s="14"/>
      <c r="E173" s="14"/>
      <c r="F173" s="14"/>
      <c r="G173" s="14"/>
      <c r="H173" s="14"/>
      <c r="I173" s="14"/>
      <c r="J173" s="14"/>
      <c r="K173" s="14"/>
      <c r="L173" s="14"/>
      <c r="M173" s="14"/>
    </row>
    <row r="174" spans="2:44" x14ac:dyDescent="0.2">
      <c r="B174" s="14" t="str">
        <f>"4) Column 12 matches 'Activity for Incentive Projects' on 14-IncentivePlant, Lines "&amp;'14-IncentivePlant'!A94&amp;" to "&amp;'14-IncentivePlant'!A107&amp;".  Other columns from SCE internal accounting records."</f>
        <v>4) Column 12 matches 'Activity for Incentive Projects' on 14-IncentivePlant, Lines 39 to 52.  Other columns from SCE internal accounting records.</v>
      </c>
      <c r="C174" s="14"/>
      <c r="D174" s="14"/>
      <c r="E174" s="14"/>
      <c r="F174" s="14"/>
      <c r="G174" s="14"/>
      <c r="H174" s="14"/>
      <c r="I174" s="14"/>
      <c r="J174" s="14"/>
      <c r="K174" s="14"/>
      <c r="L174" s="14"/>
      <c r="M174" s="14"/>
    </row>
    <row r="175" spans="2:44" x14ac:dyDescent="0.2">
      <c r="B175" s="628" t="str">
        <f>"5) Amount in matrix on lines "&amp;A74&amp;" to "&amp;A85&amp;" minus amount in matrix on lines "&amp;A94&amp;" to "&amp;A105&amp;""</f>
        <v>5) Amount in matrix on lines 28 to 39 minus amount in matrix on lines 41 to 52</v>
      </c>
      <c r="C175" s="14"/>
      <c r="D175" s="14"/>
      <c r="E175" s="14"/>
      <c r="F175" s="14"/>
      <c r="G175" s="14"/>
      <c r="H175" s="14"/>
      <c r="I175" s="14"/>
      <c r="J175" s="14"/>
      <c r="K175" s="14"/>
      <c r="L175" s="14"/>
      <c r="M175" s="14"/>
    </row>
    <row r="176" spans="2:44" x14ac:dyDescent="0.2">
      <c r="B176" s="14" t="str">
        <f>"6) Amount on Line "&amp;A23&amp;" less amount on Line "&amp;A11&amp;" for each account."</f>
        <v>6) Amount on Line 13 less amount on Line 1 for each account.</v>
      </c>
      <c r="C176" s="14"/>
      <c r="D176" s="14"/>
      <c r="E176" s="14"/>
      <c r="F176" s="14"/>
      <c r="G176" s="14"/>
      <c r="H176" s="14"/>
      <c r="I176" s="14"/>
      <c r="J176" s="14"/>
      <c r="K176" s="14"/>
      <c r="L176" s="14"/>
      <c r="M176" s="14"/>
    </row>
    <row r="177" spans="2:13" x14ac:dyDescent="0.2">
      <c r="B177" s="14" t="str">
        <f>"7) Line "&amp;A106&amp;""</f>
        <v>7) Line 53</v>
      </c>
      <c r="C177" s="14"/>
      <c r="D177" s="14"/>
      <c r="E177" s="14"/>
      <c r="F177" s="14"/>
      <c r="G177" s="14"/>
      <c r="H177" s="14"/>
      <c r="I177" s="14"/>
      <c r="J177" s="14"/>
      <c r="K177" s="14"/>
      <c r="L177" s="14"/>
      <c r="M177" s="14"/>
    </row>
    <row r="178" spans="2:13" x14ac:dyDescent="0.2">
      <c r="B178" s="14" t="str">
        <f>"8) Amount on Line "&amp;A131&amp;" less amount on Line "&amp;A135&amp;" for each account."</f>
        <v>8) Amount on Line 67 less amount on Line 68 for each account.</v>
      </c>
      <c r="C178" s="14"/>
      <c r="D178" s="14"/>
      <c r="E178" s="14"/>
      <c r="F178" s="14"/>
      <c r="G178" s="14"/>
      <c r="H178" s="14"/>
      <c r="I178" s="14"/>
      <c r="J178" s="14"/>
      <c r="K178" s="14"/>
      <c r="L178" s="14"/>
      <c r="M178" s="14"/>
    </row>
    <row r="179" spans="2:13" x14ac:dyDescent="0.2">
      <c r="B179" s="628" t="str">
        <f>"9) For each column (FERC Account) divide Line "&amp;A139&amp;" by Line "&amp;A126&amp;" to arrive at a ratio for each column."</f>
        <v>9) For each column (FERC Account) divide Line 69 by Line 66 to arrive at a ratio for each column.</v>
      </c>
      <c r="C179" s="14"/>
      <c r="D179" s="14"/>
      <c r="E179" s="14"/>
      <c r="F179" s="14"/>
      <c r="G179" s="14"/>
      <c r="H179" s="14"/>
      <c r="I179" s="14"/>
      <c r="J179" s="14"/>
      <c r="K179" s="14"/>
      <c r="L179" s="14"/>
      <c r="M179" s="14"/>
    </row>
    <row r="180" spans="2:13" x14ac:dyDescent="0.2">
      <c r="B180" s="628" t="str">
        <f>"Apply the ratio of each column to each monthly value from Lines "&amp;A114&amp;"-"&amp;A125&amp;" to calculate the values for"</f>
        <v>Apply the ratio of each column to each monthly value from Lines 54-65 to calculate the values for</v>
      </c>
      <c r="C180" s="14"/>
      <c r="D180" s="14"/>
      <c r="E180" s="14"/>
      <c r="F180" s="14"/>
      <c r="G180" s="14"/>
      <c r="H180" s="14"/>
      <c r="I180" s="14"/>
      <c r="J180" s="14"/>
      <c r="K180" s="14"/>
      <c r="L180" s="14"/>
      <c r="M180" s="14"/>
    </row>
    <row r="181" spans="2:13" x14ac:dyDescent="0.2">
      <c r="B181" s="628" t="str">
        <f>"the corresponsing months listed in Lines "&amp;A146&amp;"-"&amp;A157&amp;"."</f>
        <v>the corresponsing months listed in Lines 70-81.</v>
      </c>
      <c r="C181" s="14"/>
      <c r="D181" s="14"/>
      <c r="E181" s="14"/>
      <c r="F181" s="14"/>
      <c r="G181" s="14"/>
      <c r="H181" s="14"/>
      <c r="I181" s="14"/>
      <c r="J181" s="14"/>
      <c r="K181" s="14"/>
      <c r="L181" s="14"/>
      <c r="M181" s="14"/>
    </row>
    <row r="182" spans="2:13" x14ac:dyDescent="0.2">
      <c r="B182" s="14"/>
      <c r="C182" s="14"/>
      <c r="D182" s="14"/>
      <c r="E182" s="14"/>
      <c r="F182" s="14"/>
      <c r="G182" s="14"/>
      <c r="H182" s="14"/>
      <c r="I182" s="14"/>
      <c r="J182" s="14"/>
      <c r="K182" s="14"/>
      <c r="L182" s="14"/>
      <c r="M182" s="14"/>
    </row>
    <row r="183" spans="2:13" x14ac:dyDescent="0.2">
      <c r="B183" s="14"/>
      <c r="C183" s="14"/>
      <c r="D183" s="14"/>
      <c r="E183" s="14"/>
      <c r="F183" s="14"/>
      <c r="G183" s="14"/>
      <c r="H183" s="14"/>
      <c r="I183" s="14"/>
      <c r="J183" s="14"/>
      <c r="K183" s="14"/>
      <c r="L183" s="14"/>
      <c r="M183" s="14"/>
    </row>
    <row r="184" spans="2:13" x14ac:dyDescent="0.2">
      <c r="B184" s="14"/>
      <c r="C184" s="14"/>
      <c r="D184" s="14"/>
      <c r="E184" s="14"/>
      <c r="F184" s="14"/>
      <c r="G184" s="14"/>
      <c r="H184" s="14"/>
      <c r="I184" s="14"/>
      <c r="J184" s="14"/>
      <c r="K184" s="14"/>
      <c r="L184" s="14"/>
      <c r="M184" s="14"/>
    </row>
  </sheetData>
  <phoneticPr fontId="11" type="noConversion"/>
  <pageMargins left="0.75" right="0.75" top="1" bottom="1" header="0.5" footer="0.5"/>
  <pageSetup scale="70" orientation="landscape" cellComments="asDisplayed" r:id="rId1"/>
  <headerFooter alignWithMargins="0">
    <oddHeader>&amp;CSchedule 6
Plant In Service
&amp;"Arial,Bold"Exhibit G-2</oddHeader>
    <oddFooter>&amp;R&amp;A</oddFooter>
  </headerFooter>
  <rowBreaks count="3" manualBreakCount="3">
    <brk id="37" max="16383" man="1"/>
    <brk id="87" max="16383" man="1"/>
    <brk id="127"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85" zoomScaleNormal="85" workbookViewId="0"/>
  </sheetViews>
  <sheetFormatPr defaultRowHeight="12.75" x14ac:dyDescent="0.2"/>
  <cols>
    <col min="1" max="1" width="4.7109375" customWidth="1"/>
    <col min="2" max="2" width="25.7109375" style="131" customWidth="1"/>
    <col min="3" max="5" width="15.7109375" style="131" customWidth="1"/>
    <col min="6" max="6" width="12.28515625" style="131" customWidth="1"/>
    <col min="8" max="8" width="15.5703125" customWidth="1"/>
  </cols>
  <sheetData>
    <row r="1" spans="1:8" x14ac:dyDescent="0.2">
      <c r="A1" s="1" t="s">
        <v>486</v>
      </c>
      <c r="B1" s="177"/>
      <c r="C1" s="177"/>
      <c r="D1" s="177"/>
      <c r="E1" s="178" t="s">
        <v>506</v>
      </c>
      <c r="F1" s="191"/>
      <c r="G1" s="12"/>
    </row>
    <row r="2" spans="1:8" x14ac:dyDescent="0.2">
      <c r="B2" s="177"/>
      <c r="C2" s="177"/>
      <c r="G2" s="12"/>
    </row>
    <row r="3" spans="1:8" x14ac:dyDescent="0.2">
      <c r="A3" s="1051" t="s">
        <v>2251</v>
      </c>
      <c r="B3" s="1052"/>
      <c r="C3" s="1052"/>
      <c r="D3" s="1052"/>
      <c r="E3" s="1053" t="s">
        <v>2246</v>
      </c>
      <c r="F3" s="262">
        <v>2011</v>
      </c>
      <c r="G3" s="12"/>
    </row>
    <row r="4" spans="1:8" x14ac:dyDescent="0.2">
      <c r="A4" s="175"/>
      <c r="B4" s="177"/>
      <c r="C4" s="177"/>
      <c r="D4" s="177"/>
      <c r="E4" s="177"/>
      <c r="F4" s="177"/>
      <c r="G4" s="12"/>
    </row>
    <row r="5" spans="1:8" x14ac:dyDescent="0.2">
      <c r="B5" s="175"/>
      <c r="C5" s="86" t="s">
        <v>403</v>
      </c>
      <c r="E5" s="86" t="s">
        <v>387</v>
      </c>
      <c r="F5" s="86" t="s">
        <v>388</v>
      </c>
      <c r="G5" s="12"/>
    </row>
    <row r="6" spans="1:8" x14ac:dyDescent="0.2">
      <c r="B6" s="175"/>
      <c r="C6" s="86"/>
      <c r="E6" s="86"/>
      <c r="F6" s="86"/>
      <c r="G6" s="12"/>
    </row>
    <row r="7" spans="1:8" x14ac:dyDescent="0.2">
      <c r="A7" s="53" t="s">
        <v>369</v>
      </c>
      <c r="B7" s="175"/>
      <c r="C7" s="176" t="s">
        <v>224</v>
      </c>
      <c r="D7" s="176"/>
      <c r="E7" s="176" t="s">
        <v>1276</v>
      </c>
      <c r="F7" s="176" t="s">
        <v>488</v>
      </c>
      <c r="G7" s="12"/>
    </row>
    <row r="8" spans="1:8" x14ac:dyDescent="0.2">
      <c r="A8" s="2">
        <v>1</v>
      </c>
      <c r="B8" s="168" t="s">
        <v>111</v>
      </c>
      <c r="C8" s="168" t="s">
        <v>423</v>
      </c>
      <c r="D8" s="168" t="s">
        <v>492</v>
      </c>
      <c r="E8" s="168" t="s">
        <v>1277</v>
      </c>
      <c r="F8" s="168" t="s">
        <v>489</v>
      </c>
      <c r="G8" s="179" t="s">
        <v>196</v>
      </c>
    </row>
    <row r="9" spans="1:8" ht="12.75" customHeight="1" x14ac:dyDescent="0.2">
      <c r="A9" s="2">
        <f>A8+1</f>
        <v>2</v>
      </c>
      <c r="B9" s="169" t="s">
        <v>482</v>
      </c>
      <c r="C9" s="180"/>
      <c r="D9" s="180"/>
      <c r="E9" s="180"/>
      <c r="F9" s="181"/>
      <c r="G9" s="12"/>
    </row>
    <row r="10" spans="1:8" x14ac:dyDescent="0.2">
      <c r="A10" s="2">
        <f t="shared" ref="A10:A28" si="0">A9+1</f>
        <v>3</v>
      </c>
      <c r="B10" s="170">
        <v>352</v>
      </c>
      <c r="C10" s="715">
        <v>334506130</v>
      </c>
      <c r="D10" s="162" t="s">
        <v>493</v>
      </c>
      <c r="E10" s="715">
        <v>170948030</v>
      </c>
      <c r="F10" s="164">
        <f>E10/C10</f>
        <v>0.51104603075584898</v>
      </c>
      <c r="G10" s="12"/>
      <c r="H10" s="143"/>
    </row>
    <row r="11" spans="1:8" x14ac:dyDescent="0.2">
      <c r="A11" s="2">
        <f t="shared" si="0"/>
        <v>4</v>
      </c>
      <c r="B11" s="170">
        <v>353</v>
      </c>
      <c r="C11" s="121">
        <v>3421750786</v>
      </c>
      <c r="D11" s="162" t="s">
        <v>494</v>
      </c>
      <c r="E11" s="121">
        <v>1756511619</v>
      </c>
      <c r="F11" s="165">
        <f>E11/C11</f>
        <v>0.51333709812728601</v>
      </c>
      <c r="G11" s="12"/>
    </row>
    <row r="12" spans="1:8" x14ac:dyDescent="0.2">
      <c r="A12" s="2">
        <f t="shared" si="0"/>
        <v>5</v>
      </c>
      <c r="B12" s="172" t="s">
        <v>477</v>
      </c>
      <c r="C12" s="160">
        <f>SUM(C10:C11)</f>
        <v>3756256916</v>
      </c>
      <c r="D12" s="13" t="str">
        <f>"L "&amp;A10&amp;" + L "&amp;A11&amp;""</f>
        <v>L 3 + L 4</v>
      </c>
      <c r="E12" s="1047">
        <f>SUM(E10:E11)</f>
        <v>1927459649</v>
      </c>
      <c r="F12" s="164">
        <f>E12/C12</f>
        <v>0.51313307159312527</v>
      </c>
      <c r="G12" s="12"/>
    </row>
    <row r="13" spans="1:8" x14ac:dyDescent="0.2">
      <c r="A13" s="2">
        <f t="shared" si="0"/>
        <v>6</v>
      </c>
      <c r="B13" s="182"/>
      <c r="C13" s="183"/>
      <c r="D13" s="183"/>
      <c r="E13" s="1048"/>
      <c r="F13" s="164"/>
      <c r="G13" s="12"/>
    </row>
    <row r="14" spans="1:8" x14ac:dyDescent="0.2">
      <c r="A14" s="2">
        <f t="shared" si="0"/>
        <v>7</v>
      </c>
      <c r="B14" s="171" t="s">
        <v>478</v>
      </c>
      <c r="C14" s="184"/>
      <c r="D14" s="184"/>
      <c r="E14" s="1049"/>
      <c r="F14" s="185"/>
      <c r="G14" s="12"/>
    </row>
    <row r="15" spans="1:8" x14ac:dyDescent="0.2">
      <c r="A15" s="2">
        <f t="shared" si="0"/>
        <v>8</v>
      </c>
      <c r="B15" s="170">
        <v>350</v>
      </c>
      <c r="C15" s="1002">
        <v>238723489</v>
      </c>
      <c r="D15" s="162" t="s">
        <v>495</v>
      </c>
      <c r="E15" s="1002">
        <v>156698450</v>
      </c>
      <c r="F15" s="164">
        <f>E15/C15</f>
        <v>0.65640147375694569</v>
      </c>
      <c r="G15" s="12"/>
    </row>
    <row r="16" spans="1:8" x14ac:dyDescent="0.2">
      <c r="A16" s="2">
        <f t="shared" si="0"/>
        <v>9</v>
      </c>
      <c r="B16" s="170"/>
      <c r="C16" s="160"/>
      <c r="D16" s="160"/>
      <c r="E16" s="1047"/>
      <c r="F16" s="164"/>
      <c r="G16" s="12"/>
    </row>
    <row r="17" spans="1:7" x14ac:dyDescent="0.2">
      <c r="A17" s="2">
        <f t="shared" si="0"/>
        <v>10</v>
      </c>
      <c r="B17" s="171" t="s">
        <v>479</v>
      </c>
      <c r="C17" s="160">
        <f>C12+C15</f>
        <v>3994980405</v>
      </c>
      <c r="D17" s="13" t="str">
        <f>"L "&amp;A12&amp;" + L "&amp;A15&amp;""</f>
        <v>L 5 + L 8</v>
      </c>
      <c r="E17" s="1047">
        <f>E12+E15</f>
        <v>2084158099</v>
      </c>
      <c r="F17" s="164">
        <f>E17/C17</f>
        <v>0.52169419814713713</v>
      </c>
      <c r="G17" s="12"/>
    </row>
    <row r="18" spans="1:7" x14ac:dyDescent="0.2">
      <c r="A18" s="2">
        <f t="shared" si="0"/>
        <v>11</v>
      </c>
      <c r="B18" s="182"/>
      <c r="C18" s="183"/>
      <c r="D18" s="183"/>
      <c r="E18" s="1048"/>
      <c r="F18" s="164"/>
      <c r="G18" s="12"/>
    </row>
    <row r="19" spans="1:7" x14ac:dyDescent="0.2">
      <c r="A19" s="2">
        <f t="shared" si="0"/>
        <v>12</v>
      </c>
      <c r="B19" s="171" t="s">
        <v>480</v>
      </c>
      <c r="C19" s="183"/>
      <c r="D19" s="183"/>
      <c r="E19" s="1048"/>
      <c r="F19" s="164"/>
      <c r="G19" s="12"/>
    </row>
    <row r="20" spans="1:7" x14ac:dyDescent="0.2">
      <c r="A20" s="2">
        <f t="shared" si="0"/>
        <v>13</v>
      </c>
      <c r="B20" s="170">
        <v>354</v>
      </c>
      <c r="C20" s="1050">
        <v>601728049</v>
      </c>
      <c r="D20" s="162" t="s">
        <v>496</v>
      </c>
      <c r="E20" s="1050">
        <v>550516805</v>
      </c>
      <c r="F20" s="186">
        <f>E20/C20</f>
        <v>0.91489304165709584</v>
      </c>
      <c r="G20" s="12"/>
    </row>
    <row r="21" spans="1:7" x14ac:dyDescent="0.2">
      <c r="A21" s="2">
        <f t="shared" si="0"/>
        <v>14</v>
      </c>
      <c r="B21" s="170">
        <v>355</v>
      </c>
      <c r="C21" s="1050">
        <v>545742642</v>
      </c>
      <c r="D21" s="162" t="s">
        <v>497</v>
      </c>
      <c r="E21" s="1050">
        <v>132075054</v>
      </c>
      <c r="F21" s="186">
        <f t="shared" ref="F21:F26" si="1">E21/C21</f>
        <v>0.24200977500306819</v>
      </c>
      <c r="G21" s="12"/>
    </row>
    <row r="22" spans="1:7" x14ac:dyDescent="0.2">
      <c r="A22" s="2">
        <f t="shared" si="0"/>
        <v>15</v>
      </c>
      <c r="B22" s="170">
        <v>356</v>
      </c>
      <c r="C22" s="1050">
        <v>617979720</v>
      </c>
      <c r="D22" s="162" t="s">
        <v>498</v>
      </c>
      <c r="E22" s="1050">
        <v>421892563</v>
      </c>
      <c r="F22" s="186">
        <f t="shared" si="1"/>
        <v>0.68269645321047101</v>
      </c>
      <c r="G22" s="12"/>
    </row>
    <row r="23" spans="1:7" x14ac:dyDescent="0.2">
      <c r="A23" s="2">
        <f t="shared" si="0"/>
        <v>16</v>
      </c>
      <c r="B23" s="170">
        <v>357</v>
      </c>
      <c r="C23" s="1050">
        <v>46153375</v>
      </c>
      <c r="D23" s="162" t="s">
        <v>499</v>
      </c>
      <c r="E23" s="1050">
        <v>558943</v>
      </c>
      <c r="F23" s="186">
        <f t="shared" si="1"/>
        <v>1.2110555295251972E-2</v>
      </c>
      <c r="G23" s="12"/>
    </row>
    <row r="24" spans="1:7" x14ac:dyDescent="0.2">
      <c r="A24" s="2">
        <f t="shared" si="0"/>
        <v>17</v>
      </c>
      <c r="B24" s="170">
        <v>358</v>
      </c>
      <c r="C24" s="1050">
        <v>183442134</v>
      </c>
      <c r="D24" s="162" t="s">
        <v>500</v>
      </c>
      <c r="E24" s="1050">
        <v>3408604</v>
      </c>
      <c r="F24" s="186">
        <f t="shared" si="1"/>
        <v>1.8581358195495043E-2</v>
      </c>
      <c r="G24" s="12"/>
    </row>
    <row r="25" spans="1:7" x14ac:dyDescent="0.2">
      <c r="A25" s="2">
        <f t="shared" si="0"/>
        <v>18</v>
      </c>
      <c r="B25" s="170">
        <v>359</v>
      </c>
      <c r="C25" s="187">
        <v>113892832</v>
      </c>
      <c r="D25" s="162" t="s">
        <v>501</v>
      </c>
      <c r="E25" s="187">
        <v>110352407</v>
      </c>
      <c r="F25" s="188">
        <f t="shared" si="1"/>
        <v>0.96891441772209164</v>
      </c>
      <c r="G25" s="12"/>
    </row>
    <row r="26" spans="1:7" x14ac:dyDescent="0.2">
      <c r="A26" s="2">
        <f t="shared" si="0"/>
        <v>19</v>
      </c>
      <c r="B26" s="172" t="s">
        <v>481</v>
      </c>
      <c r="C26" s="160">
        <f>SUM(C20:C25)</f>
        <v>2108938752</v>
      </c>
      <c r="D26" s="163" t="str">
        <f>"Sum L"&amp;A20&amp;" to L"&amp;A25&amp;""</f>
        <v>Sum L13 to L18</v>
      </c>
      <c r="E26" s="1047">
        <f>SUM(E20:E25)</f>
        <v>1218804376</v>
      </c>
      <c r="F26" s="164">
        <f t="shared" si="1"/>
        <v>0.57792307853613756</v>
      </c>
      <c r="G26" s="12"/>
    </row>
    <row r="27" spans="1:7" x14ac:dyDescent="0.2">
      <c r="A27" s="2">
        <f t="shared" si="0"/>
        <v>20</v>
      </c>
      <c r="B27" s="189"/>
      <c r="C27" s="160"/>
      <c r="D27" s="160"/>
      <c r="E27" s="160"/>
      <c r="F27" s="164"/>
      <c r="G27" s="12"/>
    </row>
    <row r="28" spans="1:7" x14ac:dyDescent="0.2">
      <c r="A28" s="2">
        <f t="shared" si="0"/>
        <v>21</v>
      </c>
      <c r="B28" s="190" t="s">
        <v>491</v>
      </c>
      <c r="C28" s="166">
        <f>C17+C26</f>
        <v>6103919157</v>
      </c>
      <c r="D28" s="13" t="str">
        <f>"L "&amp;A17&amp;" + L "&amp;A26&amp;""</f>
        <v>L 10 + L 19</v>
      </c>
      <c r="E28" s="166">
        <f>E17+E26</f>
        <v>3302962475</v>
      </c>
      <c r="F28" s="167">
        <f>E28/C28</f>
        <v>0.54112159582129271</v>
      </c>
      <c r="G28" s="12" t="s">
        <v>404</v>
      </c>
    </row>
    <row r="29" spans="1:7" x14ac:dyDescent="0.2">
      <c r="A29" s="2"/>
      <c r="B29" s="136"/>
      <c r="C29" s="132"/>
      <c r="D29" s="132"/>
      <c r="E29" s="132"/>
      <c r="F29" s="135"/>
    </row>
    <row r="30" spans="1:7" x14ac:dyDescent="0.2">
      <c r="A30" s="2"/>
      <c r="B30" s="133"/>
      <c r="C30" s="134"/>
      <c r="D30" s="134"/>
      <c r="E30" s="829"/>
      <c r="F30" s="134"/>
    </row>
    <row r="31" spans="1:7" x14ac:dyDescent="0.2">
      <c r="A31" s="175" t="s">
        <v>490</v>
      </c>
      <c r="C31" s="134"/>
      <c r="D31" s="134"/>
      <c r="E31" s="134"/>
      <c r="F31" s="134"/>
    </row>
    <row r="32" spans="1:7" x14ac:dyDescent="0.2">
      <c r="A32" s="2"/>
      <c r="B32" s="139"/>
      <c r="C32" s="134"/>
      <c r="D32" s="134"/>
      <c r="E32" s="134"/>
      <c r="F32" s="134"/>
    </row>
    <row r="33" spans="1:9" x14ac:dyDescent="0.2">
      <c r="A33" s="53" t="s">
        <v>369</v>
      </c>
      <c r="B33" s="175"/>
      <c r="C33" s="176" t="s">
        <v>224</v>
      </c>
      <c r="D33" s="176"/>
      <c r="E33" s="176" t="s">
        <v>345</v>
      </c>
      <c r="F33" s="176" t="s">
        <v>488</v>
      </c>
    </row>
    <row r="34" spans="1:9" x14ac:dyDescent="0.2">
      <c r="A34" s="2">
        <f>A28+1</f>
        <v>22</v>
      </c>
      <c r="B34" s="168" t="s">
        <v>111</v>
      </c>
      <c r="C34" s="168" t="s">
        <v>423</v>
      </c>
      <c r="D34" s="168" t="s">
        <v>492</v>
      </c>
      <c r="E34" s="168" t="s">
        <v>1277</v>
      </c>
      <c r="F34" s="168" t="s">
        <v>489</v>
      </c>
    </row>
    <row r="35" spans="1:9" x14ac:dyDescent="0.2">
      <c r="A35" s="2">
        <f t="shared" ref="A35:A42" si="2">A34+1</f>
        <v>23</v>
      </c>
      <c r="B35" s="169" t="s">
        <v>483</v>
      </c>
      <c r="C35" s="132"/>
      <c r="D35" s="132"/>
      <c r="E35" s="132"/>
      <c r="F35" s="135"/>
    </row>
    <row r="36" spans="1:9" x14ac:dyDescent="0.2">
      <c r="A36" s="2">
        <f t="shared" si="2"/>
        <v>24</v>
      </c>
      <c r="B36" s="170">
        <v>360</v>
      </c>
      <c r="C36" s="1002">
        <v>105855063</v>
      </c>
      <c r="D36" s="162" t="s">
        <v>502</v>
      </c>
      <c r="E36" s="1002">
        <v>75876</v>
      </c>
      <c r="F36" s="164">
        <f>E36/C36</f>
        <v>7.1679141129036032E-4</v>
      </c>
    </row>
    <row r="37" spans="1:9" x14ac:dyDescent="0.2">
      <c r="A37" s="2">
        <f t="shared" si="2"/>
        <v>25</v>
      </c>
      <c r="B37" s="171" t="s">
        <v>484</v>
      </c>
      <c r="C37" s="1047"/>
      <c r="D37" s="160"/>
      <c r="E37" s="1047"/>
      <c r="F37" s="164"/>
    </row>
    <row r="38" spans="1:9" x14ac:dyDescent="0.2">
      <c r="A38" s="2">
        <f t="shared" si="2"/>
        <v>26</v>
      </c>
      <c r="B38" s="170">
        <v>361</v>
      </c>
      <c r="C38" s="1002">
        <v>431350909</v>
      </c>
      <c r="D38" s="162" t="s">
        <v>503</v>
      </c>
      <c r="E38" s="1002">
        <v>683247</v>
      </c>
      <c r="F38" s="164">
        <f>E38/C38</f>
        <v>1.5839702333860157E-3</v>
      </c>
    </row>
    <row r="39" spans="1:9" x14ac:dyDescent="0.2">
      <c r="A39" s="2">
        <f t="shared" si="2"/>
        <v>27</v>
      </c>
      <c r="B39" s="170">
        <v>362</v>
      </c>
      <c r="C39" s="161">
        <v>1609973202</v>
      </c>
      <c r="D39" s="162" t="s">
        <v>504</v>
      </c>
      <c r="E39" s="161">
        <v>5875711</v>
      </c>
      <c r="F39" s="165">
        <f>E39/C39</f>
        <v>3.6495706839721671E-3</v>
      </c>
    </row>
    <row r="40" spans="1:9" x14ac:dyDescent="0.2">
      <c r="A40" s="2">
        <f t="shared" si="2"/>
        <v>28</v>
      </c>
      <c r="B40" s="172" t="s">
        <v>485</v>
      </c>
      <c r="C40" s="160">
        <f>SUM(C38:C39)</f>
        <v>2041324111</v>
      </c>
      <c r="D40" s="13" t="str">
        <f>"L "&amp;A38&amp;" + L "&amp;A39&amp;""</f>
        <v>L 26 + L 27</v>
      </c>
      <c r="E40" s="160">
        <f>SUM(E38:E39)</f>
        <v>6558958</v>
      </c>
      <c r="F40" s="164">
        <f>E40/C40</f>
        <v>3.2130899569823381E-3</v>
      </c>
    </row>
    <row r="41" spans="1:9" x14ac:dyDescent="0.2">
      <c r="A41" s="2">
        <f t="shared" si="2"/>
        <v>29</v>
      </c>
      <c r="B41" s="173"/>
      <c r="C41" s="144"/>
      <c r="D41" s="160"/>
      <c r="E41" s="160"/>
      <c r="F41" s="164"/>
    </row>
    <row r="42" spans="1:9" x14ac:dyDescent="0.2">
      <c r="A42" s="2">
        <f t="shared" si="2"/>
        <v>30</v>
      </c>
      <c r="B42" s="174" t="s">
        <v>1489</v>
      </c>
      <c r="C42" s="166">
        <f>C36+C40</f>
        <v>2147179174</v>
      </c>
      <c r="D42" s="13" t="str">
        <f>"L "&amp;A36&amp;" + L "&amp;A40&amp;""</f>
        <v>L 24 + L 28</v>
      </c>
      <c r="E42" s="166">
        <f>E36+E40</f>
        <v>6634834</v>
      </c>
      <c r="F42" s="167">
        <f>E42/C42</f>
        <v>3.0900234504603109E-3</v>
      </c>
      <c r="G42" s="12" t="s">
        <v>405</v>
      </c>
      <c r="H42" s="12"/>
    </row>
    <row r="43" spans="1:9" x14ac:dyDescent="0.2">
      <c r="A43" s="2"/>
      <c r="B43" s="140"/>
      <c r="C43" s="141"/>
      <c r="D43" s="141"/>
      <c r="E43" s="141"/>
      <c r="F43" s="142"/>
      <c r="H43" s="145"/>
      <c r="I43" s="12"/>
    </row>
    <row r="44" spans="1:9" x14ac:dyDescent="0.2">
      <c r="A44" s="63"/>
      <c r="E44" s="137"/>
    </row>
    <row r="45" spans="1:9" x14ac:dyDescent="0.2">
      <c r="A45" s="85" t="s">
        <v>265</v>
      </c>
    </row>
    <row r="46" spans="1:9" x14ac:dyDescent="0.2">
      <c r="A46" s="13" t="s">
        <v>505</v>
      </c>
      <c r="E46" s="137"/>
    </row>
    <row r="47" spans="1:9" x14ac:dyDescent="0.2">
      <c r="A47" s="13" t="s">
        <v>510</v>
      </c>
    </row>
    <row r="48" spans="1:9" x14ac:dyDescent="0.2">
      <c r="A48" s="13" t="s">
        <v>507</v>
      </c>
      <c r="C48" s="137"/>
      <c r="D48" s="137"/>
    </row>
    <row r="49" spans="1:4" x14ac:dyDescent="0.2">
      <c r="A49" s="13" t="s">
        <v>509</v>
      </c>
      <c r="C49" s="138"/>
      <c r="D49" s="138"/>
    </row>
    <row r="50" spans="1:4" x14ac:dyDescent="0.2">
      <c r="A50" s="63"/>
      <c r="C50" s="137"/>
      <c r="D50" s="137"/>
    </row>
    <row r="51" spans="1:4" x14ac:dyDescent="0.2">
      <c r="A51" s="85" t="s">
        <v>429</v>
      </c>
    </row>
    <row r="52" spans="1:4" x14ac:dyDescent="0.2">
      <c r="A52" s="13" t="s">
        <v>508</v>
      </c>
    </row>
    <row r="53" spans="1:4" x14ac:dyDescent="0.2">
      <c r="A53" s="13" t="s">
        <v>1742</v>
      </c>
    </row>
    <row r="54" spans="1:4" x14ac:dyDescent="0.2">
      <c r="A54" s="630" t="s">
        <v>2815</v>
      </c>
    </row>
  </sheetData>
  <pageMargins left="0.7" right="0.7" top="0.75" bottom="0.75" header="0.3" footer="0.3"/>
  <pageSetup scale="90" orientation="portrait" cellComments="asDisplayed" r:id="rId1"/>
  <headerFooter>
    <oddHeader>&amp;CSchedule 7
Transmission Plant Study Summary
&amp;"Arial,Bold"Exhibit G-2</oddHeader>
    <oddFooter>&amp;R7-PlantStudy</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79"/>
  <sheetViews>
    <sheetView zoomScale="90" zoomScaleNormal="90" workbookViewId="0"/>
  </sheetViews>
  <sheetFormatPr defaultRowHeight="12.75" x14ac:dyDescent="0.2"/>
  <cols>
    <col min="1" max="1" width="4.7109375" customWidth="1"/>
    <col min="2" max="2" width="7.7109375" customWidth="1"/>
    <col min="3" max="3" width="10.7109375" customWidth="1"/>
    <col min="4" max="4" width="13.7109375" customWidth="1"/>
    <col min="5" max="6" width="14.7109375" customWidth="1"/>
    <col min="7" max="10" width="13.7109375" customWidth="1"/>
    <col min="11" max="12" width="11.7109375" customWidth="1"/>
    <col min="13" max="13" width="13.7109375" customWidth="1"/>
    <col min="14" max="14" width="14.7109375" customWidth="1"/>
    <col min="15" max="15" width="13.7109375" style="14" customWidth="1"/>
    <col min="16" max="23" width="9.140625" style="14"/>
  </cols>
  <sheetData>
    <row r="1" spans="1:18" x14ac:dyDescent="0.2">
      <c r="A1" s="1" t="s">
        <v>190</v>
      </c>
      <c r="B1" s="1"/>
      <c r="C1" s="238"/>
      <c r="D1" s="238"/>
      <c r="E1" s="238"/>
      <c r="F1" s="238"/>
      <c r="G1" s="238"/>
      <c r="H1" s="238"/>
      <c r="I1" s="238"/>
      <c r="J1" s="732" t="s">
        <v>506</v>
      </c>
      <c r="K1" s="191"/>
      <c r="L1" s="238"/>
      <c r="M1" s="238"/>
      <c r="N1" s="238"/>
      <c r="O1" s="248"/>
      <c r="P1" s="248"/>
      <c r="Q1" s="248"/>
      <c r="R1" s="248"/>
    </row>
    <row r="2" spans="1:18" x14ac:dyDescent="0.2">
      <c r="A2" s="238"/>
      <c r="B2" s="238"/>
      <c r="C2" s="238"/>
      <c r="D2" s="238"/>
      <c r="E2" s="238"/>
      <c r="F2" s="238"/>
      <c r="G2" s="238"/>
      <c r="H2" s="238"/>
      <c r="I2" s="238"/>
      <c r="L2" s="238"/>
      <c r="M2" s="238"/>
      <c r="N2" s="238"/>
      <c r="O2" s="248"/>
      <c r="P2" s="248"/>
      <c r="Q2" s="248"/>
      <c r="R2" s="248"/>
    </row>
    <row r="3" spans="1:18" x14ac:dyDescent="0.2">
      <c r="A3" s="238"/>
      <c r="B3" s="1" t="s">
        <v>367</v>
      </c>
      <c r="C3" s="238"/>
      <c r="D3" s="238"/>
      <c r="E3" s="238"/>
      <c r="F3" s="238"/>
      <c r="G3" s="1024" t="s">
        <v>2246</v>
      </c>
      <c r="H3" s="262">
        <v>2011</v>
      </c>
      <c r="I3" s="238"/>
      <c r="J3" s="238"/>
      <c r="K3" s="238"/>
      <c r="L3" s="238"/>
      <c r="M3" s="238"/>
      <c r="N3" s="238"/>
      <c r="O3" s="248"/>
      <c r="P3" s="248"/>
      <c r="Q3" s="248"/>
      <c r="R3" s="248"/>
    </row>
    <row r="4" spans="1:18" x14ac:dyDescent="0.2">
      <c r="A4" s="238"/>
      <c r="B4" s="238"/>
      <c r="C4" s="238"/>
      <c r="D4" s="238"/>
      <c r="E4" s="238"/>
      <c r="F4" s="238"/>
      <c r="G4" s="238"/>
      <c r="H4" s="238"/>
      <c r="I4" s="238"/>
      <c r="J4" s="238"/>
      <c r="K4" s="238"/>
      <c r="L4" s="238"/>
      <c r="M4" s="238"/>
      <c r="N4" s="238"/>
      <c r="O4" s="248"/>
      <c r="P4" s="248"/>
      <c r="Q4" s="248"/>
      <c r="R4" s="248"/>
    </row>
    <row r="5" spans="1:18" x14ac:dyDescent="0.2">
      <c r="A5" s="238"/>
      <c r="B5" s="238"/>
      <c r="C5" s="626" t="s">
        <v>1990</v>
      </c>
      <c r="D5" s="238"/>
      <c r="E5" s="238"/>
      <c r="F5" s="238"/>
      <c r="G5" s="238"/>
      <c r="H5" s="238"/>
      <c r="I5" s="238"/>
      <c r="J5" s="626"/>
      <c r="K5" s="238"/>
      <c r="L5" s="238"/>
      <c r="M5" s="238"/>
      <c r="N5" s="238"/>
      <c r="O5" s="248"/>
      <c r="P5" s="248"/>
      <c r="Q5" s="248"/>
      <c r="R5" s="248"/>
    </row>
    <row r="6" spans="1:18" x14ac:dyDescent="0.2">
      <c r="A6" s="238"/>
      <c r="B6" s="238"/>
      <c r="C6" s="238"/>
      <c r="D6" s="238"/>
      <c r="E6" s="238"/>
      <c r="F6" s="238"/>
      <c r="G6" s="238"/>
      <c r="H6" s="238"/>
      <c r="I6" s="238"/>
      <c r="J6" s="238"/>
      <c r="K6" s="238"/>
      <c r="L6" s="238"/>
      <c r="M6" s="238"/>
      <c r="N6" s="238"/>
      <c r="O6" s="248"/>
      <c r="P6" s="248"/>
      <c r="Q6" s="248"/>
      <c r="R6" s="248"/>
    </row>
    <row r="7" spans="1:18" x14ac:dyDescent="0.2">
      <c r="A7" s="238"/>
      <c r="B7" s="238"/>
      <c r="C7" s="86" t="s">
        <v>403</v>
      </c>
      <c r="D7" s="86" t="s">
        <v>387</v>
      </c>
      <c r="E7" s="86" t="s">
        <v>388</v>
      </c>
      <c r="F7" s="86" t="s">
        <v>389</v>
      </c>
      <c r="G7" s="86" t="s">
        <v>390</v>
      </c>
      <c r="H7" s="86" t="s">
        <v>391</v>
      </c>
      <c r="I7" s="86" t="s">
        <v>392</v>
      </c>
      <c r="J7" s="86" t="s">
        <v>606</v>
      </c>
      <c r="K7" s="86" t="s">
        <v>1055</v>
      </c>
      <c r="L7" s="86" t="s">
        <v>1072</v>
      </c>
      <c r="M7" s="86" t="s">
        <v>1075</v>
      </c>
      <c r="N7" s="86" t="s">
        <v>1093</v>
      </c>
      <c r="O7" s="248"/>
      <c r="P7" s="248"/>
      <c r="Q7" s="248"/>
      <c r="R7" s="248"/>
    </row>
    <row r="8" spans="1:18" x14ac:dyDescent="0.2">
      <c r="A8" s="238"/>
      <c r="B8" s="238"/>
      <c r="C8" s="260"/>
      <c r="D8" s="238"/>
      <c r="E8" s="238"/>
      <c r="F8" s="238"/>
      <c r="G8" s="238"/>
      <c r="H8" s="238"/>
      <c r="I8" s="238"/>
      <c r="J8" s="238"/>
      <c r="K8" s="238"/>
      <c r="L8" s="238"/>
      <c r="M8" s="238"/>
      <c r="N8" s="596" t="s">
        <v>2146</v>
      </c>
      <c r="O8" s="248"/>
      <c r="P8" s="248"/>
      <c r="Q8" s="248"/>
      <c r="R8" s="248"/>
    </row>
    <row r="9" spans="1:18" x14ac:dyDescent="0.2">
      <c r="A9" s="238"/>
      <c r="B9" s="238"/>
      <c r="C9" s="588"/>
      <c r="D9" s="733" t="s">
        <v>12</v>
      </c>
      <c r="E9" s="238"/>
      <c r="F9" s="238"/>
      <c r="G9" s="238"/>
      <c r="H9" s="238"/>
      <c r="I9" s="238"/>
      <c r="J9" s="238"/>
      <c r="K9" s="238"/>
      <c r="L9" s="238"/>
      <c r="M9" s="238"/>
      <c r="N9" s="238"/>
      <c r="O9" s="248"/>
      <c r="P9" s="248"/>
      <c r="Q9" s="248"/>
      <c r="R9" s="248"/>
    </row>
    <row r="10" spans="1:18" x14ac:dyDescent="0.2">
      <c r="A10" s="238"/>
      <c r="B10" s="238"/>
      <c r="C10" s="115"/>
      <c r="D10" s="733" t="s">
        <v>1073</v>
      </c>
      <c r="E10" s="238"/>
      <c r="F10" s="238"/>
      <c r="G10" s="238"/>
      <c r="H10" s="238"/>
      <c r="I10" s="238"/>
      <c r="J10" s="238"/>
      <c r="K10" s="238"/>
      <c r="L10" s="238"/>
      <c r="M10" s="238"/>
      <c r="N10" s="238"/>
      <c r="O10" s="248"/>
      <c r="P10" s="248"/>
      <c r="Q10" s="248"/>
      <c r="R10" s="248"/>
    </row>
    <row r="11" spans="1:18" ht="12.75" customHeight="1" x14ac:dyDescent="0.2">
      <c r="A11" s="53" t="s">
        <v>369</v>
      </c>
      <c r="B11" s="53"/>
      <c r="C11" s="129" t="s">
        <v>2295</v>
      </c>
      <c r="D11" s="86">
        <v>350.1</v>
      </c>
      <c r="E11" s="86">
        <v>350.2</v>
      </c>
      <c r="F11" s="86">
        <v>352</v>
      </c>
      <c r="G11" s="86">
        <v>353</v>
      </c>
      <c r="H11" s="86">
        <v>354</v>
      </c>
      <c r="I11" s="86">
        <v>355</v>
      </c>
      <c r="J11" s="86">
        <v>356</v>
      </c>
      <c r="K11" s="86">
        <v>357</v>
      </c>
      <c r="L11" s="86">
        <v>358</v>
      </c>
      <c r="M11" s="86">
        <v>359</v>
      </c>
      <c r="N11" s="3" t="s">
        <v>224</v>
      </c>
      <c r="O11" s="248"/>
      <c r="P11" s="248"/>
      <c r="Q11" s="248"/>
      <c r="R11" s="248"/>
    </row>
    <row r="12" spans="1:18" ht="12.75" customHeight="1" x14ac:dyDescent="0.2">
      <c r="A12" s="713">
        <v>1</v>
      </c>
      <c r="B12" s="713"/>
      <c r="C12" s="1006" t="s">
        <v>2907</v>
      </c>
      <c r="D12" s="243">
        <v>0</v>
      </c>
      <c r="E12" s="715">
        <v>5241220.3690147791</v>
      </c>
      <c r="F12" s="715">
        <v>39543082.292609535</v>
      </c>
      <c r="G12" s="715">
        <v>240191715.4220646</v>
      </c>
      <c r="H12" s="715">
        <v>344249627.05240339</v>
      </c>
      <c r="I12" s="715">
        <v>34281906.876349613</v>
      </c>
      <c r="J12" s="715">
        <v>320132657.70798838</v>
      </c>
      <c r="K12" s="715">
        <v>156437.41558136168</v>
      </c>
      <c r="L12" s="715">
        <v>1008746.5409573802</v>
      </c>
      <c r="M12" s="715">
        <v>10949954.176574981</v>
      </c>
      <c r="N12" s="240">
        <f>SUM(D12:M12)</f>
        <v>995755347.85354388</v>
      </c>
      <c r="O12" s="248"/>
      <c r="P12" s="248"/>
      <c r="Q12" s="248"/>
      <c r="R12" s="248"/>
    </row>
    <row r="13" spans="1:18" ht="12.75" customHeight="1" x14ac:dyDescent="0.2">
      <c r="A13" s="713">
        <f>A12+1</f>
        <v>2</v>
      </c>
      <c r="B13" s="713"/>
      <c r="C13" s="1007" t="s">
        <v>2908</v>
      </c>
      <c r="D13" s="242">
        <v>0</v>
      </c>
      <c r="E13" s="242">
        <f t="shared" ref="E13:E23" si="0">E144+E91+E12</f>
        <v>5352989.2381572518</v>
      </c>
      <c r="F13" s="242">
        <f t="shared" ref="F13:F23" si="1">F144+F91+F12</f>
        <v>39416502.157086991</v>
      </c>
      <c r="G13" s="242">
        <f t="shared" ref="G13:G23" si="2">G144+G91+G12</f>
        <v>242718155.05737624</v>
      </c>
      <c r="H13" s="242">
        <f t="shared" ref="H13:H23" si="3">H144+H91+H12</f>
        <v>346088131.29390001</v>
      </c>
      <c r="I13" s="242">
        <f t="shared" ref="I13:I23" si="4">I144+I91+I12</f>
        <v>34930392.706078261</v>
      </c>
      <c r="J13" s="242">
        <f t="shared" ref="J13:J23" si="5">J144+J91+J12</f>
        <v>321453105.49949592</v>
      </c>
      <c r="K13" s="242">
        <f t="shared" ref="K13:K23" si="6">K144+K91+K12</f>
        <v>159035.21469355663</v>
      </c>
      <c r="L13" s="242">
        <f t="shared" ref="L13:L23" si="7">L144+L91+L12</f>
        <v>1050423.0873043102</v>
      </c>
      <c r="M13" s="242">
        <f t="shared" ref="M13:M23" si="8">M144+M91+M12</f>
        <v>10974445.569846584</v>
      </c>
      <c r="N13" s="240">
        <f t="shared" ref="N13:N24" si="9">SUM(D13:M13)</f>
        <v>1002143179.8239393</v>
      </c>
      <c r="O13" s="248"/>
      <c r="P13" s="248"/>
      <c r="Q13" s="248"/>
      <c r="R13" s="248"/>
    </row>
    <row r="14" spans="1:18" ht="12.75" customHeight="1" x14ac:dyDescent="0.2">
      <c r="A14" s="713">
        <f t="shared" ref="A14:A25" si="10">A13+1</f>
        <v>3</v>
      </c>
      <c r="B14" s="713"/>
      <c r="C14" s="1006" t="s">
        <v>2909</v>
      </c>
      <c r="D14" s="242">
        <v>0</v>
      </c>
      <c r="E14" s="242">
        <f t="shared" si="0"/>
        <v>5464491.6596655836</v>
      </c>
      <c r="F14" s="242">
        <f t="shared" si="1"/>
        <v>40043583.801468268</v>
      </c>
      <c r="G14" s="242">
        <f t="shared" si="2"/>
        <v>247405177.15185279</v>
      </c>
      <c r="H14" s="242">
        <f t="shared" si="3"/>
        <v>347884654.38071287</v>
      </c>
      <c r="I14" s="242">
        <f t="shared" si="4"/>
        <v>35534638.733706206</v>
      </c>
      <c r="J14" s="242">
        <f t="shared" si="5"/>
        <v>322963959.34300929</v>
      </c>
      <c r="K14" s="242">
        <f t="shared" si="6"/>
        <v>161312.52425206921</v>
      </c>
      <c r="L14" s="242">
        <f t="shared" si="7"/>
        <v>1090598.2947968119</v>
      </c>
      <c r="M14" s="242">
        <f t="shared" si="8"/>
        <v>10997231.943506109</v>
      </c>
      <c r="N14" s="240">
        <f t="shared" si="9"/>
        <v>1011545647.83297</v>
      </c>
      <c r="O14" s="248"/>
      <c r="P14" s="248"/>
      <c r="Q14" s="248"/>
      <c r="R14" s="248"/>
    </row>
    <row r="15" spans="1:18" ht="12.75" customHeight="1" x14ac:dyDescent="0.2">
      <c r="A15" s="713">
        <f t="shared" si="10"/>
        <v>4</v>
      </c>
      <c r="B15" s="713"/>
      <c r="C15" s="1006" t="s">
        <v>2910</v>
      </c>
      <c r="D15" s="242">
        <v>0</v>
      </c>
      <c r="E15" s="242">
        <f t="shared" si="0"/>
        <v>5576083.2538407538</v>
      </c>
      <c r="F15" s="242">
        <f t="shared" si="1"/>
        <v>46376001.941503711</v>
      </c>
      <c r="G15" s="242">
        <f t="shared" si="2"/>
        <v>248588827.05159295</v>
      </c>
      <c r="H15" s="242">
        <f t="shared" si="3"/>
        <v>350114928.7261759</v>
      </c>
      <c r="I15" s="242">
        <f t="shared" si="4"/>
        <v>34899787.317405686</v>
      </c>
      <c r="J15" s="242">
        <f t="shared" si="5"/>
        <v>325010648.31861323</v>
      </c>
      <c r="K15" s="242">
        <f t="shared" si="6"/>
        <v>161569.5832301781</v>
      </c>
      <c r="L15" s="242">
        <f t="shared" si="7"/>
        <v>967670.62362401281</v>
      </c>
      <c r="M15" s="242">
        <f t="shared" si="8"/>
        <v>11010310.476536341</v>
      </c>
      <c r="N15" s="240">
        <f t="shared" si="9"/>
        <v>1022705827.2925228</v>
      </c>
      <c r="O15" s="248"/>
      <c r="P15" s="248"/>
      <c r="Q15" s="248"/>
      <c r="R15" s="248"/>
    </row>
    <row r="16" spans="1:18" ht="12.75" customHeight="1" x14ac:dyDescent="0.2">
      <c r="A16" s="713">
        <f t="shared" si="10"/>
        <v>5</v>
      </c>
      <c r="B16" s="713"/>
      <c r="C16" s="1007" t="s">
        <v>2911</v>
      </c>
      <c r="D16" s="242">
        <v>0</v>
      </c>
      <c r="E16" s="242">
        <f t="shared" si="0"/>
        <v>5687676.019723312</v>
      </c>
      <c r="F16" s="242">
        <f t="shared" si="1"/>
        <v>47527353.085184947</v>
      </c>
      <c r="G16" s="242">
        <f t="shared" si="2"/>
        <v>252880005.22568861</v>
      </c>
      <c r="H16" s="242">
        <f t="shared" si="3"/>
        <v>352217254.18412286</v>
      </c>
      <c r="I16" s="242">
        <f t="shared" si="4"/>
        <v>35248649.101916067</v>
      </c>
      <c r="J16" s="242">
        <f t="shared" si="5"/>
        <v>326832173.57699418</v>
      </c>
      <c r="K16" s="242">
        <f t="shared" si="6"/>
        <v>162390.76452389036</v>
      </c>
      <c r="L16" s="242">
        <f t="shared" si="7"/>
        <v>998303.42817573284</v>
      </c>
      <c r="M16" s="242">
        <f t="shared" si="8"/>
        <v>11026248.395598345</v>
      </c>
      <c r="N16" s="240">
        <f t="shared" si="9"/>
        <v>1032580053.7819278</v>
      </c>
      <c r="O16" s="248"/>
      <c r="P16" s="248"/>
      <c r="Q16" s="248"/>
      <c r="R16" s="248"/>
    </row>
    <row r="17" spans="1:18" ht="12.75" customHeight="1" x14ac:dyDescent="0.2">
      <c r="A17" s="713">
        <f t="shared" si="10"/>
        <v>6</v>
      </c>
      <c r="B17" s="713"/>
      <c r="C17" s="1006" t="s">
        <v>2912</v>
      </c>
      <c r="D17" s="242">
        <v>0</v>
      </c>
      <c r="E17" s="242">
        <f t="shared" si="0"/>
        <v>5799269.3183780229</v>
      </c>
      <c r="F17" s="242">
        <f t="shared" si="1"/>
        <v>44116770.964157768</v>
      </c>
      <c r="G17" s="242">
        <f t="shared" si="2"/>
        <v>256852592.72715557</v>
      </c>
      <c r="H17" s="242">
        <f t="shared" si="3"/>
        <v>353577658.77630663</v>
      </c>
      <c r="I17" s="242">
        <f t="shared" si="4"/>
        <v>36108851.466948025</v>
      </c>
      <c r="J17" s="242">
        <f t="shared" si="5"/>
        <v>327636811.90604091</v>
      </c>
      <c r="K17" s="242">
        <f t="shared" si="6"/>
        <v>169622.01464027731</v>
      </c>
      <c r="L17" s="242">
        <f t="shared" si="7"/>
        <v>1049707.2946413769</v>
      </c>
      <c r="M17" s="242">
        <f t="shared" si="8"/>
        <v>11073746.953976803</v>
      </c>
      <c r="N17" s="240">
        <f t="shared" si="9"/>
        <v>1036385031.4222454</v>
      </c>
      <c r="O17" s="248"/>
      <c r="P17" s="248"/>
      <c r="Q17" s="248"/>
      <c r="R17" s="248"/>
    </row>
    <row r="18" spans="1:18" ht="12.75" customHeight="1" x14ac:dyDescent="0.2">
      <c r="A18" s="713">
        <f t="shared" si="10"/>
        <v>7</v>
      </c>
      <c r="B18" s="713"/>
      <c r="C18" s="1006" t="s">
        <v>2913</v>
      </c>
      <c r="D18" s="242">
        <v>0</v>
      </c>
      <c r="E18" s="242">
        <f t="shared" si="0"/>
        <v>5910872.9950187337</v>
      </c>
      <c r="F18" s="242">
        <f t="shared" si="1"/>
        <v>43915136.677846141</v>
      </c>
      <c r="G18" s="242">
        <f t="shared" si="2"/>
        <v>259713582.29554722</v>
      </c>
      <c r="H18" s="242">
        <f t="shared" si="3"/>
        <v>356135068.67445767</v>
      </c>
      <c r="I18" s="242">
        <f t="shared" si="4"/>
        <v>36157015.485136926</v>
      </c>
      <c r="J18" s="242">
        <f t="shared" si="5"/>
        <v>330067238.76556069</v>
      </c>
      <c r="K18" s="242">
        <f t="shared" si="6"/>
        <v>171590.60128580593</v>
      </c>
      <c r="L18" s="242">
        <f t="shared" si="7"/>
        <v>1008865.5580410981</v>
      </c>
      <c r="M18" s="242">
        <f t="shared" si="8"/>
        <v>11095268.198736317</v>
      </c>
      <c r="N18" s="240">
        <f t="shared" si="9"/>
        <v>1044174639.2516305</v>
      </c>
      <c r="O18" s="248"/>
      <c r="P18" s="248"/>
      <c r="Q18" s="248"/>
      <c r="R18" s="248"/>
    </row>
    <row r="19" spans="1:18" ht="12.75" customHeight="1" x14ac:dyDescent="0.2">
      <c r="A19" s="713">
        <f t="shared" si="10"/>
        <v>8</v>
      </c>
      <c r="B19" s="713"/>
      <c r="C19" s="1007" t="s">
        <v>2914</v>
      </c>
      <c r="D19" s="242">
        <v>0</v>
      </c>
      <c r="E19" s="242">
        <f t="shared" si="0"/>
        <v>6023958.4556367006</v>
      </c>
      <c r="F19" s="242">
        <f t="shared" si="1"/>
        <v>44098443.962773077</v>
      </c>
      <c r="G19" s="242">
        <f t="shared" si="2"/>
        <v>264280885.10951024</v>
      </c>
      <c r="H19" s="242">
        <f t="shared" si="3"/>
        <v>358160073.39715803</v>
      </c>
      <c r="I19" s="242">
        <f t="shared" si="4"/>
        <v>36234720.286836222</v>
      </c>
      <c r="J19" s="242">
        <f t="shared" si="5"/>
        <v>331915086.00353938</v>
      </c>
      <c r="K19" s="242">
        <f t="shared" si="6"/>
        <v>173527.86628972745</v>
      </c>
      <c r="L19" s="242">
        <f t="shared" si="7"/>
        <v>1041458.8403574264</v>
      </c>
      <c r="M19" s="242">
        <f t="shared" si="8"/>
        <v>11113641.71876717</v>
      </c>
      <c r="N19" s="240">
        <f t="shared" si="9"/>
        <v>1053041795.6408679</v>
      </c>
      <c r="O19" s="248"/>
      <c r="P19" s="248"/>
      <c r="Q19" s="248"/>
      <c r="R19" s="248"/>
    </row>
    <row r="20" spans="1:18" ht="12.75" customHeight="1" x14ac:dyDescent="0.2">
      <c r="A20" s="713">
        <f t="shared" si="10"/>
        <v>9</v>
      </c>
      <c r="B20" s="713"/>
      <c r="C20" s="1006" t="s">
        <v>2915</v>
      </c>
      <c r="D20" s="242">
        <v>0</v>
      </c>
      <c r="E20" s="242">
        <f t="shared" si="0"/>
        <v>6137097.4280894259</v>
      </c>
      <c r="F20" s="242">
        <f t="shared" si="1"/>
        <v>42667182.423232168</v>
      </c>
      <c r="G20" s="242">
        <f t="shared" si="2"/>
        <v>266318783.04401278</v>
      </c>
      <c r="H20" s="242">
        <f t="shared" si="3"/>
        <v>359417194.48843473</v>
      </c>
      <c r="I20" s="242">
        <f t="shared" si="4"/>
        <v>36299292.476810217</v>
      </c>
      <c r="J20" s="242">
        <f t="shared" si="5"/>
        <v>333231125.74241924</v>
      </c>
      <c r="K20" s="242">
        <f t="shared" si="6"/>
        <v>179294.40969190374</v>
      </c>
      <c r="L20" s="242">
        <f t="shared" si="7"/>
        <v>1100920.0640553103</v>
      </c>
      <c r="M20" s="242">
        <f t="shared" si="8"/>
        <v>11150219.621671814</v>
      </c>
      <c r="N20" s="240">
        <f t="shared" si="9"/>
        <v>1056501109.6984175</v>
      </c>
      <c r="O20" s="248"/>
      <c r="P20" s="248"/>
      <c r="Q20" s="248"/>
      <c r="R20" s="248"/>
    </row>
    <row r="21" spans="1:18" ht="12.75" customHeight="1" x14ac:dyDescent="0.2">
      <c r="A21" s="713">
        <f t="shared" si="10"/>
        <v>10</v>
      </c>
      <c r="B21" s="713"/>
      <c r="C21" s="1006" t="s">
        <v>2916</v>
      </c>
      <c r="D21" s="242">
        <v>0</v>
      </c>
      <c r="E21" s="242">
        <f t="shared" si="0"/>
        <v>6250256.361117091</v>
      </c>
      <c r="F21" s="242">
        <f t="shared" si="1"/>
        <v>30058479.361001007</v>
      </c>
      <c r="G21" s="242">
        <f t="shared" si="2"/>
        <v>275654064.26002783</v>
      </c>
      <c r="H21" s="242">
        <f t="shared" si="3"/>
        <v>360687329.00057787</v>
      </c>
      <c r="I21" s="242">
        <f t="shared" si="4"/>
        <v>37230026.876308717</v>
      </c>
      <c r="J21" s="242">
        <f t="shared" si="5"/>
        <v>333750430.10574579</v>
      </c>
      <c r="K21" s="242">
        <f t="shared" si="6"/>
        <v>188679.20123138517</v>
      </c>
      <c r="L21" s="242">
        <f t="shared" si="7"/>
        <v>1182915.8259843274</v>
      </c>
      <c r="M21" s="242">
        <f t="shared" si="8"/>
        <v>11264042.274084646</v>
      </c>
      <c r="N21" s="240">
        <f t="shared" si="9"/>
        <v>1056266223.2660786</v>
      </c>
      <c r="O21" s="248"/>
      <c r="P21" s="248"/>
      <c r="Q21" s="248"/>
      <c r="R21" s="248"/>
    </row>
    <row r="22" spans="1:18" ht="12.75" customHeight="1" x14ac:dyDescent="0.2">
      <c r="A22" s="713">
        <f t="shared" si="10"/>
        <v>11</v>
      </c>
      <c r="B22" s="713"/>
      <c r="C22" s="1007" t="s">
        <v>2917</v>
      </c>
      <c r="D22" s="242">
        <v>0</v>
      </c>
      <c r="E22" s="242">
        <f t="shared" si="0"/>
        <v>6363429.7450994169</v>
      </c>
      <c r="F22" s="242">
        <f t="shared" si="1"/>
        <v>38957229.426054507</v>
      </c>
      <c r="G22" s="242">
        <f t="shared" si="2"/>
        <v>247146032.85883865</v>
      </c>
      <c r="H22" s="242">
        <f t="shared" si="3"/>
        <v>355220703.93912953</v>
      </c>
      <c r="I22" s="242">
        <f t="shared" si="4"/>
        <v>33941054.105110705</v>
      </c>
      <c r="J22" s="242">
        <f t="shared" si="5"/>
        <v>330161894.46284342</v>
      </c>
      <c r="K22" s="242">
        <f t="shared" si="6"/>
        <v>229958.25721724328</v>
      </c>
      <c r="L22" s="242">
        <f t="shared" si="7"/>
        <v>1412779.2947202919</v>
      </c>
      <c r="M22" s="242">
        <f t="shared" si="8"/>
        <v>11633539.369822752</v>
      </c>
      <c r="N22" s="240">
        <f t="shared" si="9"/>
        <v>1025066621.4588366</v>
      </c>
      <c r="O22" s="248"/>
      <c r="P22" s="248"/>
      <c r="Q22" s="248"/>
      <c r="R22" s="248"/>
    </row>
    <row r="23" spans="1:18" ht="12.75" customHeight="1" x14ac:dyDescent="0.2">
      <c r="A23" s="713">
        <f t="shared" si="10"/>
        <v>12</v>
      </c>
      <c r="B23" s="713"/>
      <c r="C23" s="1007" t="s">
        <v>2918</v>
      </c>
      <c r="D23" s="242">
        <v>0</v>
      </c>
      <c r="E23" s="242">
        <f t="shared" si="0"/>
        <v>6476672.5301298806</v>
      </c>
      <c r="F23" s="242">
        <f t="shared" si="1"/>
        <v>39022245.277170852</v>
      </c>
      <c r="G23" s="242">
        <f t="shared" si="2"/>
        <v>241486887.15607625</v>
      </c>
      <c r="H23" s="242">
        <f t="shared" si="3"/>
        <v>356292087.1254366</v>
      </c>
      <c r="I23" s="242">
        <f t="shared" si="4"/>
        <v>33405927.417121731</v>
      </c>
      <c r="J23" s="242">
        <f t="shared" si="5"/>
        <v>331288424.25444525</v>
      </c>
      <c r="K23" s="242">
        <f t="shared" si="6"/>
        <v>229324.42026892948</v>
      </c>
      <c r="L23" s="242">
        <f t="shared" si="7"/>
        <v>1466994.3983406837</v>
      </c>
      <c r="M23" s="242">
        <f t="shared" si="8"/>
        <v>11782936.619957533</v>
      </c>
      <c r="N23" s="240">
        <f t="shared" si="9"/>
        <v>1021451499.1989477</v>
      </c>
      <c r="O23" s="248"/>
      <c r="P23" s="248"/>
      <c r="Q23" s="248"/>
      <c r="R23" s="248"/>
    </row>
    <row r="24" spans="1:18" x14ac:dyDescent="0.2">
      <c r="A24" s="713">
        <f t="shared" si="10"/>
        <v>13</v>
      </c>
      <c r="B24" s="713"/>
      <c r="C24" s="1006" t="s">
        <v>2919</v>
      </c>
      <c r="D24" s="461">
        <v>0</v>
      </c>
      <c r="E24" s="121">
        <v>6590309.065659265</v>
      </c>
      <c r="F24" s="121">
        <v>37414556.233022258</v>
      </c>
      <c r="G24" s="121">
        <v>237973212.09158826</v>
      </c>
      <c r="H24" s="121">
        <v>357349552.81567264</v>
      </c>
      <c r="I24" s="121">
        <v>33638583.48029466</v>
      </c>
      <c r="J24" s="121">
        <v>332289563.3028661</v>
      </c>
      <c r="K24" s="121">
        <v>240592.79741319374</v>
      </c>
      <c r="L24" s="121">
        <v>1461025.2132115618</v>
      </c>
      <c r="M24" s="121">
        <v>11929237.561138272</v>
      </c>
      <c r="N24" s="385">
        <f t="shared" si="9"/>
        <v>1018886632.5608662</v>
      </c>
      <c r="O24" s="248"/>
      <c r="P24" s="248"/>
      <c r="Q24" s="248"/>
      <c r="R24" s="248"/>
    </row>
    <row r="25" spans="1:18" x14ac:dyDescent="0.2">
      <c r="A25" s="713">
        <f t="shared" si="10"/>
        <v>14</v>
      </c>
      <c r="B25" s="238"/>
      <c r="C25" s="717" t="s">
        <v>1445</v>
      </c>
      <c r="D25" s="240">
        <f t="shared" ref="D25:N25" si="11">AVERAGE(D12:D24)</f>
        <v>0</v>
      </c>
      <c r="E25" s="240">
        <f>AVERAGE(E12:E24)</f>
        <v>5913409.7261177106</v>
      </c>
      <c r="F25" s="240">
        <f t="shared" si="11"/>
        <v>41012043.661777779</v>
      </c>
      <c r="G25" s="240">
        <f t="shared" si="11"/>
        <v>252400763.03471786</v>
      </c>
      <c r="H25" s="240">
        <f t="shared" si="11"/>
        <v>353645712.60419148</v>
      </c>
      <c r="I25" s="240">
        <f t="shared" si="11"/>
        <v>35223911.256155618</v>
      </c>
      <c r="J25" s="240">
        <f t="shared" si="11"/>
        <v>328210239.92227399</v>
      </c>
      <c r="K25" s="240">
        <f t="shared" si="11"/>
        <v>183333.46694765551</v>
      </c>
      <c r="L25" s="240">
        <f t="shared" si="11"/>
        <v>1141569.8818623326</v>
      </c>
      <c r="M25" s="240">
        <f t="shared" si="11"/>
        <v>11230832.529247513</v>
      </c>
      <c r="N25" s="240">
        <f t="shared" si="11"/>
        <v>1028961816.0832918</v>
      </c>
      <c r="O25" s="248"/>
      <c r="P25" s="248"/>
      <c r="Q25" s="248"/>
      <c r="R25" s="248"/>
    </row>
    <row r="26" spans="1:18" x14ac:dyDescent="0.2">
      <c r="A26" s="238"/>
      <c r="B26" s="238"/>
      <c r="C26" s="238"/>
      <c r="D26" s="238"/>
      <c r="E26" s="238"/>
      <c r="F26" s="238"/>
      <c r="G26" s="238"/>
      <c r="H26" s="238"/>
      <c r="I26" s="238"/>
      <c r="J26" s="238"/>
      <c r="K26" s="238"/>
      <c r="L26" s="238"/>
      <c r="M26" s="238"/>
      <c r="N26" s="238"/>
      <c r="O26" s="248"/>
      <c r="P26" s="248"/>
      <c r="Q26" s="248"/>
      <c r="R26" s="248"/>
    </row>
    <row r="27" spans="1:18" x14ac:dyDescent="0.2">
      <c r="A27" s="238"/>
      <c r="B27" s="456" t="s">
        <v>1991</v>
      </c>
      <c r="C27" s="238"/>
      <c r="D27" s="238"/>
      <c r="E27" s="238"/>
      <c r="F27" s="238"/>
      <c r="G27" s="238"/>
      <c r="H27" s="238"/>
      <c r="I27" s="238"/>
      <c r="J27" s="238"/>
      <c r="K27" s="238"/>
      <c r="L27" s="238"/>
      <c r="M27" s="238"/>
      <c r="N27" s="238"/>
      <c r="O27" s="248"/>
      <c r="P27" s="248"/>
      <c r="Q27" s="248"/>
      <c r="R27" s="248"/>
    </row>
    <row r="28" spans="1:18" x14ac:dyDescent="0.2">
      <c r="A28" s="238"/>
      <c r="B28" s="456"/>
      <c r="C28" s="238"/>
      <c r="D28" s="238"/>
      <c r="E28" s="238"/>
      <c r="F28" s="238"/>
      <c r="G28" s="238"/>
      <c r="H28" s="238"/>
      <c r="I28" s="238"/>
      <c r="J28" s="238"/>
      <c r="K28" s="238"/>
      <c r="L28" s="238"/>
      <c r="M28" s="238"/>
      <c r="N28" s="238"/>
      <c r="O28" s="248"/>
      <c r="P28" s="248"/>
      <c r="Q28" s="248"/>
      <c r="R28" s="248"/>
    </row>
    <row r="29" spans="1:18" x14ac:dyDescent="0.2">
      <c r="A29" s="238"/>
      <c r="B29" s="238"/>
      <c r="C29" s="86" t="s">
        <v>403</v>
      </c>
      <c r="D29" s="86" t="s">
        <v>387</v>
      </c>
      <c r="E29" s="86" t="s">
        <v>388</v>
      </c>
      <c r="F29" s="86" t="s">
        <v>389</v>
      </c>
      <c r="G29" s="86" t="s">
        <v>390</v>
      </c>
      <c r="H29" s="238"/>
      <c r="I29" s="238"/>
      <c r="J29" s="238"/>
      <c r="K29" s="238"/>
      <c r="L29" s="238"/>
      <c r="M29" s="238"/>
      <c r="N29" s="238"/>
      <c r="O29" s="248"/>
      <c r="P29" s="248"/>
      <c r="Q29" s="248"/>
      <c r="R29" s="248"/>
    </row>
    <row r="30" spans="1:18" x14ac:dyDescent="0.2">
      <c r="A30" s="238"/>
      <c r="B30" s="238"/>
      <c r="C30" s="238"/>
      <c r="D30" s="733" t="s">
        <v>12</v>
      </c>
      <c r="E30" s="238"/>
      <c r="F30" s="238"/>
      <c r="G30" s="596" t="s">
        <v>2145</v>
      </c>
      <c r="H30" s="238"/>
      <c r="I30" s="238"/>
      <c r="J30" s="238"/>
      <c r="K30" s="238"/>
      <c r="L30" s="238"/>
      <c r="M30" s="238"/>
      <c r="N30" s="238"/>
      <c r="O30" s="735"/>
      <c r="P30" s="248"/>
      <c r="Q30" s="248"/>
      <c r="R30" s="248"/>
    </row>
    <row r="31" spans="1:18" x14ac:dyDescent="0.2">
      <c r="A31" s="238"/>
      <c r="B31" s="238"/>
      <c r="C31" s="238"/>
      <c r="D31" s="733" t="s">
        <v>1073</v>
      </c>
      <c r="E31" s="238"/>
      <c r="F31" s="238"/>
      <c r="G31" s="238"/>
      <c r="H31" s="238"/>
      <c r="I31" s="238"/>
      <c r="J31" s="238"/>
      <c r="K31" s="238"/>
      <c r="L31" s="238"/>
      <c r="M31" s="238"/>
      <c r="N31" s="238"/>
      <c r="O31" s="599"/>
      <c r="P31" s="248"/>
      <c r="Q31" s="248"/>
      <c r="R31" s="248"/>
    </row>
    <row r="32" spans="1:18" x14ac:dyDescent="0.2">
      <c r="A32" s="238"/>
      <c r="B32" s="238"/>
      <c r="C32" s="129" t="s">
        <v>2295</v>
      </c>
      <c r="D32" s="86">
        <v>360</v>
      </c>
      <c r="E32" s="86">
        <v>361</v>
      </c>
      <c r="F32" s="86">
        <v>362</v>
      </c>
      <c r="G32" s="3" t="s">
        <v>224</v>
      </c>
      <c r="H32" s="1054" t="s">
        <v>196</v>
      </c>
      <c r="I32" s="248"/>
      <c r="J32" s="248"/>
      <c r="K32" s="238"/>
      <c r="L32" s="238"/>
      <c r="M32" s="238"/>
      <c r="N32" s="238"/>
      <c r="O32" s="599"/>
      <c r="P32" s="248"/>
      <c r="Q32" s="248"/>
      <c r="R32" s="248"/>
    </row>
    <row r="33" spans="1:18" x14ac:dyDescent="0.2">
      <c r="A33" s="713">
        <f>A25+1</f>
        <v>15</v>
      </c>
      <c r="C33" s="1006" t="s">
        <v>2907</v>
      </c>
      <c r="D33" s="243">
        <v>902.95580122346178</v>
      </c>
      <c r="E33" s="243">
        <v>477156.98887182772</v>
      </c>
      <c r="F33" s="243">
        <v>3793369.9608210819</v>
      </c>
      <c r="G33" s="240">
        <f>SUM(D33:F33)</f>
        <v>4271429.905494133</v>
      </c>
      <c r="H33" s="625" t="s">
        <v>2296</v>
      </c>
      <c r="I33" s="248"/>
      <c r="J33" s="248"/>
      <c r="K33" s="238"/>
      <c r="L33" s="238"/>
      <c r="M33" s="238"/>
      <c r="N33" s="238"/>
      <c r="O33" s="599"/>
      <c r="P33" s="248"/>
      <c r="Q33" s="248"/>
      <c r="R33" s="248"/>
    </row>
    <row r="34" spans="1:18" x14ac:dyDescent="0.2">
      <c r="A34" s="713">
        <v>16</v>
      </c>
      <c r="C34" s="1006" t="s">
        <v>2919</v>
      </c>
      <c r="D34" s="461">
        <v>3790.6752255301626</v>
      </c>
      <c r="E34" s="461">
        <v>236705.89970846157</v>
      </c>
      <c r="F34" s="461">
        <v>847919.77708627586</v>
      </c>
      <c r="G34" s="385">
        <f>SUM(D34:F34)</f>
        <v>1088416.3520202676</v>
      </c>
      <c r="H34" s="625" t="s">
        <v>101</v>
      </c>
      <c r="I34" s="248"/>
      <c r="J34" s="248"/>
      <c r="K34" s="238"/>
      <c r="L34" s="238"/>
      <c r="O34" s="599"/>
      <c r="P34" s="248"/>
      <c r="Q34" s="248"/>
      <c r="R34" s="248"/>
    </row>
    <row r="35" spans="1:18" x14ac:dyDescent="0.2">
      <c r="A35" s="713">
        <f>A34+1</f>
        <v>17</v>
      </c>
      <c r="C35" s="239" t="s">
        <v>1628</v>
      </c>
      <c r="D35" s="240">
        <f>AVERAGE(D33:D34)</f>
        <v>2346.8155133768123</v>
      </c>
      <c r="E35" s="240">
        <f>AVERAGE(E33:E34)</f>
        <v>356931.44429014466</v>
      </c>
      <c r="F35" s="240">
        <f>AVERAGE(F33:F34)</f>
        <v>2320644.8689536788</v>
      </c>
      <c r="G35" s="240">
        <f>AVERAGE(G33:G34)</f>
        <v>2679923.1287572002</v>
      </c>
      <c r="H35" s="258" t="str">
        <f>"Average of Line "&amp;A33&amp;" and Line "&amp;A34&amp;""</f>
        <v>Average of Line 15 and Line 16</v>
      </c>
      <c r="I35" s="238"/>
      <c r="J35" s="238"/>
      <c r="K35" s="238"/>
      <c r="M35" s="714"/>
      <c r="N35" s="686"/>
      <c r="O35" s="599"/>
      <c r="P35" s="248"/>
      <c r="Q35" s="248"/>
      <c r="R35" s="248"/>
    </row>
    <row r="36" spans="1:18" x14ac:dyDescent="0.2">
      <c r="C36" s="239"/>
      <c r="I36" s="238"/>
      <c r="J36" s="238"/>
      <c r="K36" s="238"/>
      <c r="M36" s="725"/>
      <c r="N36" s="727"/>
      <c r="O36" s="599"/>
      <c r="P36" s="248"/>
      <c r="Q36" s="248"/>
      <c r="R36" s="248"/>
    </row>
    <row r="37" spans="1:18" x14ac:dyDescent="0.2">
      <c r="B37" s="456" t="s">
        <v>1987</v>
      </c>
      <c r="I37" s="238"/>
      <c r="J37" s="238"/>
      <c r="K37" s="238"/>
      <c r="L37" s="238"/>
      <c r="M37" s="714"/>
      <c r="N37" s="727"/>
      <c r="O37" s="599"/>
      <c r="P37" s="248"/>
      <c r="Q37" s="248"/>
      <c r="R37" s="248"/>
    </row>
    <row r="38" spans="1:18" ht="15" x14ac:dyDescent="0.25">
      <c r="B38" s="388"/>
      <c r="C38" s="376" t="s">
        <v>403</v>
      </c>
      <c r="D38" s="376" t="s">
        <v>387</v>
      </c>
      <c r="E38" s="376" t="s">
        <v>388</v>
      </c>
      <c r="F38" s="376" t="s">
        <v>389</v>
      </c>
      <c r="G38" s="376" t="s">
        <v>390</v>
      </c>
      <c r="J38" s="238"/>
      <c r="K38" s="241"/>
      <c r="L38" s="238"/>
      <c r="O38" s="248"/>
      <c r="P38" s="248"/>
      <c r="Q38" s="248"/>
      <c r="R38" s="248"/>
    </row>
    <row r="39" spans="1:18" ht="15" x14ac:dyDescent="0.25">
      <c r="B39" s="388"/>
      <c r="C39" s="376"/>
      <c r="D39" s="376"/>
      <c r="E39" s="757" t="s">
        <v>2338</v>
      </c>
      <c r="F39" s="376"/>
      <c r="G39" s="376"/>
      <c r="J39" s="238"/>
      <c r="K39" s="241"/>
      <c r="L39" s="238"/>
      <c r="O39" s="248"/>
      <c r="P39" s="248"/>
      <c r="Q39" s="248"/>
      <c r="R39" s="248"/>
    </row>
    <row r="40" spans="1:18" x14ac:dyDescent="0.2">
      <c r="C40" s="14"/>
      <c r="D40" s="14"/>
      <c r="E40" s="588" t="s">
        <v>224</v>
      </c>
      <c r="F40" s="14"/>
      <c r="G40" s="14"/>
      <c r="J40" s="238"/>
      <c r="K40" s="241"/>
      <c r="L40" s="238"/>
      <c r="O40" s="248"/>
      <c r="P40" s="248"/>
      <c r="Q40" s="248"/>
      <c r="R40" s="248"/>
    </row>
    <row r="41" spans="1:18" x14ac:dyDescent="0.2">
      <c r="B41" s="238"/>
      <c r="C41" s="14"/>
      <c r="D41" s="248"/>
      <c r="E41" s="588" t="s">
        <v>2337</v>
      </c>
      <c r="F41" s="115" t="s">
        <v>1471</v>
      </c>
      <c r="G41" s="115" t="s">
        <v>1472</v>
      </c>
      <c r="J41" s="238"/>
      <c r="K41" s="241"/>
      <c r="L41" s="238"/>
      <c r="O41" s="248"/>
      <c r="P41" s="248"/>
      <c r="Q41" s="248"/>
      <c r="R41" s="248"/>
    </row>
    <row r="42" spans="1:18" x14ac:dyDescent="0.2">
      <c r="B42" s="238"/>
      <c r="C42" s="14"/>
      <c r="D42" s="248"/>
      <c r="E42" s="588" t="s">
        <v>1629</v>
      </c>
      <c r="F42" s="588" t="s">
        <v>1629</v>
      </c>
      <c r="G42" s="588" t="s">
        <v>1629</v>
      </c>
      <c r="J42" s="238"/>
      <c r="K42" s="241"/>
      <c r="L42" s="238"/>
      <c r="Q42" s="248"/>
      <c r="R42" s="248"/>
    </row>
    <row r="43" spans="1:18" x14ac:dyDescent="0.2">
      <c r="B43" s="238"/>
      <c r="C43" s="129" t="s">
        <v>2295</v>
      </c>
      <c r="D43" s="248"/>
      <c r="E43" s="589" t="s">
        <v>1630</v>
      </c>
      <c r="F43" s="589" t="s">
        <v>1630</v>
      </c>
      <c r="G43" s="589" t="s">
        <v>1630</v>
      </c>
      <c r="H43" s="462" t="s">
        <v>207</v>
      </c>
      <c r="J43" s="238"/>
      <c r="K43" s="386"/>
      <c r="L43" s="238"/>
      <c r="O43" s="248"/>
      <c r="P43" s="248"/>
      <c r="Q43" s="248"/>
      <c r="R43" s="248"/>
    </row>
    <row r="44" spans="1:18" x14ac:dyDescent="0.2">
      <c r="A44" s="713">
        <f>A35+1</f>
        <v>18</v>
      </c>
      <c r="B44" s="238"/>
      <c r="C44" s="1006" t="s">
        <v>2907</v>
      </c>
      <c r="D44" s="718" t="s">
        <v>1626</v>
      </c>
      <c r="E44" s="242">
        <f>SUM(F44:G44)</f>
        <v>1164555911</v>
      </c>
      <c r="F44" s="243">
        <v>732673416</v>
      </c>
      <c r="G44" s="837">
        <v>431882495</v>
      </c>
      <c r="H44" s="599" t="s">
        <v>2339</v>
      </c>
      <c r="I44" s="14"/>
      <c r="J44" s="248"/>
      <c r="L44" s="238"/>
      <c r="O44" s="248"/>
      <c r="P44" s="248"/>
      <c r="Q44" s="248"/>
      <c r="R44" s="248"/>
    </row>
    <row r="45" spans="1:18" x14ac:dyDescent="0.2">
      <c r="A45" s="713">
        <f>A44+1</f>
        <v>19</v>
      </c>
      <c r="B45" s="238"/>
      <c r="C45" s="1006" t="s">
        <v>2919</v>
      </c>
      <c r="D45" s="239" t="s">
        <v>1627</v>
      </c>
      <c r="E45" s="595">
        <f>SUM(F45:G45)</f>
        <v>1338060181</v>
      </c>
      <c r="F45" s="461">
        <v>802468093</v>
      </c>
      <c r="G45" s="475">
        <v>535592088</v>
      </c>
      <c r="H45" s="599" t="s">
        <v>2340</v>
      </c>
      <c r="I45" s="14"/>
      <c r="J45" s="248"/>
      <c r="K45" s="734"/>
      <c r="L45" s="238"/>
      <c r="O45" s="248"/>
      <c r="P45" s="248"/>
      <c r="Q45" s="248"/>
      <c r="R45" s="248"/>
    </row>
    <row r="46" spans="1:18" x14ac:dyDescent="0.2">
      <c r="A46" s="713">
        <f>A45+1</f>
        <v>20</v>
      </c>
      <c r="B46" s="238"/>
      <c r="D46" s="239" t="s">
        <v>1628</v>
      </c>
      <c r="E46" s="240">
        <f>AVERAGE(E44:E45)</f>
        <v>1251308046</v>
      </c>
      <c r="H46" s="258" t="str">
        <f>"Average of Line "&amp;A44&amp;" and Line "&amp;A45&amp;""</f>
        <v>Average of Line 18 and Line 19</v>
      </c>
      <c r="J46" s="238"/>
      <c r="K46" s="734"/>
      <c r="L46" s="238"/>
      <c r="O46" s="248"/>
      <c r="P46" s="248"/>
      <c r="Q46" s="248"/>
      <c r="R46" s="248"/>
    </row>
    <row r="47" spans="1:18" x14ac:dyDescent="0.2">
      <c r="I47" s="238"/>
      <c r="J47" s="238"/>
      <c r="K47" s="238"/>
      <c r="L47" s="238"/>
      <c r="O47" s="248"/>
      <c r="P47" s="248"/>
      <c r="Q47" s="248"/>
      <c r="R47" s="248"/>
    </row>
    <row r="48" spans="1:18" x14ac:dyDescent="0.2">
      <c r="B48" s="1" t="s">
        <v>1631</v>
      </c>
      <c r="C48" s="22"/>
      <c r="D48" s="722"/>
      <c r="E48" s="238"/>
      <c r="F48" s="238"/>
      <c r="G48" s="238"/>
      <c r="H48" s="238"/>
      <c r="I48" s="238"/>
      <c r="J48" s="238"/>
      <c r="K48" s="238"/>
      <c r="L48" s="238"/>
      <c r="M48" s="238"/>
      <c r="N48" s="238"/>
      <c r="O48" s="248"/>
      <c r="P48" s="248"/>
      <c r="Q48" s="248"/>
      <c r="R48" s="248"/>
    </row>
    <row r="49" spans="1:18" x14ac:dyDescent="0.2">
      <c r="B49" s="1"/>
      <c r="C49" s="22"/>
      <c r="D49" s="722"/>
      <c r="E49" s="238"/>
      <c r="F49" s="238"/>
      <c r="G49" s="238"/>
      <c r="H49" s="238"/>
      <c r="I49" s="238"/>
      <c r="J49" s="238"/>
      <c r="K49" s="238"/>
      <c r="L49" s="238"/>
      <c r="M49" s="238"/>
      <c r="N49" s="238"/>
      <c r="O49" s="248"/>
      <c r="P49" s="248"/>
      <c r="Q49" s="248"/>
      <c r="R49" s="248"/>
    </row>
    <row r="50" spans="1:18" x14ac:dyDescent="0.2">
      <c r="B50" s="238"/>
      <c r="C50" s="1"/>
      <c r="D50" s="22"/>
      <c r="E50" s="722"/>
      <c r="F50" s="386" t="s">
        <v>203</v>
      </c>
      <c r="G50" s="462" t="s">
        <v>207</v>
      </c>
      <c r="H50" s="238"/>
      <c r="I50" s="238"/>
      <c r="J50" s="238"/>
      <c r="K50" s="238"/>
      <c r="L50" s="238"/>
      <c r="M50" s="238"/>
      <c r="N50" s="238"/>
      <c r="O50" s="248"/>
      <c r="P50" s="248"/>
      <c r="Q50" s="248"/>
      <c r="R50" s="248"/>
    </row>
    <row r="51" spans="1:18" x14ac:dyDescent="0.2">
      <c r="A51" s="713">
        <f>A46+1</f>
        <v>21</v>
      </c>
      <c r="B51" s="238"/>
      <c r="C51" s="22"/>
      <c r="D51" s="22"/>
      <c r="E51" s="718" t="s">
        <v>1632</v>
      </c>
      <c r="F51" s="719">
        <f>E46</f>
        <v>1251308046</v>
      </c>
      <c r="G51" s="258" t="str">
        <f>"Line "&amp;A46&amp;""</f>
        <v>Line 20</v>
      </c>
      <c r="H51" s="238"/>
      <c r="I51" s="238"/>
      <c r="J51" s="238"/>
      <c r="K51" s="238"/>
      <c r="L51" s="238"/>
      <c r="M51" s="238"/>
      <c r="N51" s="238"/>
      <c r="O51" s="248"/>
      <c r="P51" s="248"/>
      <c r="Q51" s="248"/>
      <c r="R51" s="248"/>
    </row>
    <row r="52" spans="1:18" x14ac:dyDescent="0.2">
      <c r="A52" s="713">
        <f>A51+1</f>
        <v>22</v>
      </c>
      <c r="B52" s="238"/>
      <c r="C52" s="22"/>
      <c r="D52" s="22"/>
      <c r="E52" s="730" t="s">
        <v>274</v>
      </c>
      <c r="F52" s="734">
        <f>'27-Allocators'!G15</f>
        <v>3.9273273898169321E-2</v>
      </c>
      <c r="G52" s="599" t="str">
        <f>"27-Allocators, Line "&amp;'27-Allocators'!A15&amp;""</f>
        <v>27-Allocators, Line 9</v>
      </c>
      <c r="H52" s="238"/>
      <c r="I52" s="238"/>
      <c r="J52" s="238"/>
      <c r="K52" s="238"/>
      <c r="L52" s="238"/>
      <c r="M52" s="238"/>
      <c r="N52" s="238"/>
      <c r="O52" s="248"/>
      <c r="P52" s="248"/>
      <c r="Q52" s="248"/>
      <c r="R52" s="248"/>
    </row>
    <row r="53" spans="1:18" x14ac:dyDescent="0.2">
      <c r="A53" s="713">
        <f>A52+1</f>
        <v>23</v>
      </c>
      <c r="B53" s="238"/>
      <c r="C53" s="22"/>
      <c r="D53" s="22"/>
      <c r="E53" s="730" t="s">
        <v>1633</v>
      </c>
      <c r="F53" s="719">
        <f>F51*F52</f>
        <v>49142963.621541053</v>
      </c>
      <c r="G53" s="258" t="str">
        <f>"Line "&amp;A51&amp;" * Line "&amp;A52&amp;""</f>
        <v>Line 21 * Line 22</v>
      </c>
      <c r="H53" s="238"/>
      <c r="I53" s="238"/>
      <c r="J53" s="238"/>
      <c r="K53" s="238"/>
      <c r="L53" s="238"/>
      <c r="M53" s="238"/>
      <c r="O53" s="248"/>
      <c r="P53" s="248"/>
      <c r="Q53" s="248"/>
      <c r="R53" s="248"/>
    </row>
    <row r="54" spans="1:18" x14ac:dyDescent="0.2">
      <c r="B54" s="22"/>
      <c r="C54" s="22"/>
      <c r="D54" s="730"/>
      <c r="E54" s="719"/>
      <c r="F54" s="238"/>
      <c r="G54" s="238"/>
      <c r="H54" s="238"/>
      <c r="I54" s="238"/>
      <c r="J54" s="238"/>
      <c r="K54" s="238"/>
      <c r="L54" s="238"/>
      <c r="M54" s="238"/>
      <c r="O54" s="248"/>
      <c r="P54" s="248"/>
      <c r="Q54" s="248"/>
      <c r="R54" s="248"/>
    </row>
    <row r="55" spans="1:18" x14ac:dyDescent="0.2">
      <c r="B55" s="1" t="s">
        <v>2883</v>
      </c>
      <c r="C55" s="22"/>
      <c r="D55" s="722"/>
      <c r="E55" s="238"/>
      <c r="F55" s="238"/>
      <c r="G55" s="238"/>
      <c r="H55" s="238"/>
      <c r="I55" s="238"/>
      <c r="J55" s="238"/>
      <c r="K55" s="238"/>
      <c r="L55" s="238"/>
      <c r="M55" s="238"/>
      <c r="O55" s="248"/>
      <c r="P55" s="248"/>
      <c r="Q55" s="248"/>
      <c r="R55" s="248"/>
    </row>
    <row r="56" spans="1:18" x14ac:dyDescent="0.2">
      <c r="B56" s="238"/>
      <c r="C56" s="238"/>
      <c r="D56" s="238"/>
      <c r="E56" s="238"/>
      <c r="F56" s="238"/>
      <c r="G56" s="238"/>
      <c r="H56" s="238"/>
      <c r="I56" s="238"/>
      <c r="J56" s="238"/>
      <c r="K56" s="238"/>
      <c r="L56" s="238"/>
      <c r="M56" s="238"/>
      <c r="O56" s="736"/>
      <c r="P56" s="77"/>
      <c r="Q56" s="248"/>
      <c r="R56" s="248"/>
    </row>
    <row r="57" spans="1:18" x14ac:dyDescent="0.2">
      <c r="B57" s="238"/>
      <c r="C57" s="238"/>
      <c r="D57" s="238"/>
      <c r="E57" s="238"/>
      <c r="F57" s="386" t="s">
        <v>203</v>
      </c>
      <c r="G57" s="462" t="s">
        <v>207</v>
      </c>
      <c r="H57" s="238"/>
      <c r="I57" s="238"/>
      <c r="J57" s="238"/>
      <c r="K57" s="238"/>
      <c r="L57" s="238"/>
      <c r="M57" s="238"/>
      <c r="O57" s="493"/>
      <c r="P57" s="493"/>
      <c r="Q57" s="248"/>
      <c r="R57" s="248"/>
    </row>
    <row r="58" spans="1:18" x14ac:dyDescent="0.2">
      <c r="A58" s="713">
        <f>A53+1</f>
        <v>24</v>
      </c>
      <c r="B58" s="22"/>
      <c r="C58" s="22"/>
      <c r="E58" s="718" t="s">
        <v>1634</v>
      </c>
      <c r="F58" s="719">
        <f>E45</f>
        <v>1338060181</v>
      </c>
      <c r="G58" s="258" t="str">
        <f>"Line "&amp;A45&amp;""</f>
        <v>Line 19</v>
      </c>
      <c r="H58" s="238"/>
      <c r="I58" s="238"/>
      <c r="J58" s="238"/>
      <c r="K58" s="238"/>
      <c r="L58" s="238"/>
      <c r="M58" s="238"/>
      <c r="O58" s="42"/>
      <c r="P58" s="613"/>
      <c r="Q58" s="248"/>
      <c r="R58" s="248"/>
    </row>
    <row r="59" spans="1:18" x14ac:dyDescent="0.2">
      <c r="A59" s="713">
        <f>A58+1</f>
        <v>25</v>
      </c>
      <c r="B59" s="22"/>
      <c r="C59" s="22"/>
      <c r="E59" s="730" t="s">
        <v>274</v>
      </c>
      <c r="F59" s="734">
        <f>'27-Allocators'!G15</f>
        <v>3.9273273898169321E-2</v>
      </c>
      <c r="G59" s="599" t="str">
        <f>"27-Allocators, Line "&amp;'27-Allocators'!A15&amp;""</f>
        <v>27-Allocators, Line 9</v>
      </c>
      <c r="H59" s="238"/>
      <c r="I59" s="238"/>
      <c r="J59" s="238"/>
      <c r="K59" s="238"/>
      <c r="L59" s="238"/>
      <c r="M59" s="238"/>
      <c r="O59" s="42"/>
      <c r="P59" s="613"/>
      <c r="Q59" s="248"/>
      <c r="R59" s="248"/>
    </row>
    <row r="60" spans="1:18" x14ac:dyDescent="0.2">
      <c r="A60" s="713">
        <f>A59+1</f>
        <v>26</v>
      </c>
      <c r="B60" s="22"/>
      <c r="C60" s="22"/>
      <c r="E60" s="730" t="s">
        <v>1635</v>
      </c>
      <c r="F60" s="719">
        <f>F58*F59</f>
        <v>52550003.98064702</v>
      </c>
      <c r="G60" s="258" t="str">
        <f>"Line "&amp;A58&amp;" * Line "&amp;A59&amp;""</f>
        <v>Line 24 * Line 25</v>
      </c>
      <c r="H60" s="238"/>
      <c r="I60" s="238"/>
      <c r="J60" s="238"/>
      <c r="K60" s="238"/>
      <c r="L60" s="238"/>
      <c r="M60" s="238"/>
      <c r="Q60" s="248"/>
      <c r="R60" s="248"/>
    </row>
    <row r="61" spans="1:18" x14ac:dyDescent="0.2">
      <c r="B61" s="238"/>
      <c r="C61" s="238"/>
      <c r="D61" s="238"/>
      <c r="E61" s="238"/>
      <c r="F61" s="238"/>
      <c r="G61" s="238"/>
      <c r="H61" s="238"/>
      <c r="I61" s="238"/>
      <c r="J61" s="238"/>
      <c r="K61" s="238"/>
      <c r="L61" s="238"/>
      <c r="M61" s="238"/>
      <c r="Q61" s="248"/>
      <c r="R61" s="248"/>
    </row>
    <row r="62" spans="1:18" x14ac:dyDescent="0.2">
      <c r="Q62" s="248"/>
      <c r="R62" s="248"/>
    </row>
    <row r="63" spans="1:18" x14ac:dyDescent="0.2">
      <c r="B63" s="1" t="s">
        <v>1988</v>
      </c>
      <c r="Q63" s="248"/>
      <c r="R63" s="248"/>
    </row>
    <row r="64" spans="1:18" x14ac:dyDescent="0.2">
      <c r="Q64" s="248"/>
      <c r="R64" s="248"/>
    </row>
    <row r="65" spans="1:18" x14ac:dyDescent="0.2">
      <c r="C65" s="1" t="s">
        <v>1982</v>
      </c>
      <c r="D65" s="626"/>
      <c r="E65" s="626"/>
      <c r="F65" s="626"/>
      <c r="G65" s="626"/>
      <c r="H65" s="626"/>
      <c r="I65" s="626"/>
      <c r="J65" s="626"/>
      <c r="K65" s="626"/>
      <c r="L65" s="626"/>
      <c r="M65" s="626"/>
      <c r="Q65" s="248"/>
      <c r="R65" s="248"/>
    </row>
    <row r="66" spans="1:18" x14ac:dyDescent="0.2">
      <c r="A66" s="626"/>
      <c r="D66" s="626"/>
      <c r="E66" s="626"/>
      <c r="F66" s="626"/>
      <c r="G66" s="626"/>
      <c r="H66" s="626"/>
      <c r="I66" s="626"/>
      <c r="J66" s="626"/>
      <c r="K66" s="626"/>
      <c r="L66" s="626"/>
      <c r="M66" s="626"/>
      <c r="Q66" s="248"/>
      <c r="R66" s="248"/>
    </row>
    <row r="67" spans="1:18" x14ac:dyDescent="0.2">
      <c r="A67" s="456"/>
      <c r="C67" s="86" t="s">
        <v>403</v>
      </c>
      <c r="D67" s="86" t="s">
        <v>387</v>
      </c>
      <c r="E67" s="86" t="s">
        <v>388</v>
      </c>
      <c r="F67" s="86" t="s">
        <v>389</v>
      </c>
      <c r="G67" s="86" t="s">
        <v>390</v>
      </c>
      <c r="H67" s="86" t="s">
        <v>391</v>
      </c>
      <c r="I67" s="86" t="s">
        <v>392</v>
      </c>
      <c r="J67" s="86" t="s">
        <v>606</v>
      </c>
      <c r="K67" s="86" t="s">
        <v>1055</v>
      </c>
      <c r="L67" s="86" t="s">
        <v>1072</v>
      </c>
      <c r="M67" s="86" t="s">
        <v>1075</v>
      </c>
      <c r="N67" s="86" t="s">
        <v>1093</v>
      </c>
      <c r="Q67" s="248"/>
      <c r="R67" s="248"/>
    </row>
    <row r="68" spans="1:18" x14ac:dyDescent="0.2">
      <c r="A68" s="238"/>
      <c r="C68" s="260"/>
      <c r="D68" s="238"/>
      <c r="E68" s="238"/>
      <c r="F68" s="238"/>
      <c r="G68" s="238"/>
      <c r="H68" s="238"/>
      <c r="I68" s="238"/>
      <c r="J68" s="238"/>
      <c r="K68" s="238"/>
      <c r="L68" s="238"/>
      <c r="N68" s="260" t="s">
        <v>1488</v>
      </c>
      <c r="O68" s="248"/>
      <c r="P68" s="248"/>
      <c r="Q68" s="248"/>
      <c r="R68" s="248"/>
    </row>
    <row r="69" spans="1:18" x14ac:dyDescent="0.2">
      <c r="A69" s="238"/>
      <c r="C69" s="115"/>
      <c r="D69" s="86"/>
      <c r="E69" s="86"/>
      <c r="F69" s="238"/>
      <c r="G69" s="238"/>
      <c r="H69" s="238"/>
      <c r="I69" s="238"/>
      <c r="J69" s="238"/>
      <c r="K69" s="238"/>
      <c r="L69" s="238"/>
      <c r="M69" s="238"/>
      <c r="O69" s="248"/>
      <c r="P69" s="248"/>
      <c r="Q69" s="248"/>
      <c r="R69" s="248"/>
    </row>
    <row r="70" spans="1:18" x14ac:dyDescent="0.2">
      <c r="A70" s="53"/>
      <c r="C70" s="129" t="s">
        <v>2295</v>
      </c>
      <c r="D70" s="86">
        <v>350.1</v>
      </c>
      <c r="E70" s="86">
        <v>350.2</v>
      </c>
      <c r="F70" s="86">
        <v>352</v>
      </c>
      <c r="G70" s="86">
        <v>353</v>
      </c>
      <c r="H70" s="86">
        <v>354</v>
      </c>
      <c r="I70" s="86">
        <v>355</v>
      </c>
      <c r="J70" s="86">
        <v>356</v>
      </c>
      <c r="K70" s="86">
        <v>357</v>
      </c>
      <c r="L70" s="86">
        <v>358</v>
      </c>
      <c r="M70" s="86">
        <v>359</v>
      </c>
      <c r="N70" s="3" t="s">
        <v>224</v>
      </c>
      <c r="O70" s="248"/>
      <c r="P70" s="248"/>
      <c r="Q70" s="248"/>
      <c r="R70" s="248"/>
    </row>
    <row r="71" spans="1:18" x14ac:dyDescent="0.2">
      <c r="A71" s="713">
        <f>A60+1</f>
        <v>27</v>
      </c>
      <c r="C71" s="1007" t="s">
        <v>2908</v>
      </c>
      <c r="D71" s="715">
        <v>0</v>
      </c>
      <c r="E71" s="805">
        <v>165841.31999917887</v>
      </c>
      <c r="F71" s="805">
        <v>422804.5147601217</v>
      </c>
      <c r="G71" s="805">
        <v>2502752.144956708</v>
      </c>
      <c r="H71" s="805">
        <v>467029.46733301878</v>
      </c>
      <c r="I71" s="805">
        <v>912565.69104123116</v>
      </c>
      <c r="J71" s="805">
        <v>520785.87617957592</v>
      </c>
      <c r="K71" s="805">
        <v>25292.781126491725</v>
      </c>
      <c r="L71" s="805">
        <v>379269.81089483202</v>
      </c>
      <c r="M71" s="805">
        <v>10822.061538752168</v>
      </c>
      <c r="N71" s="240">
        <f t="shared" ref="N71:N82" si="12">SUM(D71:M71)</f>
        <v>5407163.6678299103</v>
      </c>
      <c r="O71" s="248"/>
      <c r="P71" s="248"/>
      <c r="Q71" s="248"/>
      <c r="R71" s="248"/>
    </row>
    <row r="72" spans="1:18" x14ac:dyDescent="0.2">
      <c r="A72" s="713">
        <f t="shared" ref="A72:A83" si="13">A71+1</f>
        <v>28</v>
      </c>
      <c r="C72" s="1006" t="s">
        <v>2909</v>
      </c>
      <c r="D72" s="715">
        <v>0</v>
      </c>
      <c r="E72" s="805">
        <v>165590.03000061214</v>
      </c>
      <c r="F72" s="805">
        <v>352415.85080389678</v>
      </c>
      <c r="G72" s="805">
        <v>4718112.2915290594</v>
      </c>
      <c r="H72" s="805">
        <v>241549.963727355</v>
      </c>
      <c r="I72" s="805">
        <v>829001.08871734142</v>
      </c>
      <c r="J72" s="805">
        <v>586850.95078021288</v>
      </c>
      <c r="K72" s="805">
        <v>21514.555619949475</v>
      </c>
      <c r="L72" s="805">
        <v>359735.96576362848</v>
      </c>
      <c r="M72" s="805">
        <v>7324.8200367167592</v>
      </c>
      <c r="N72" s="240">
        <f t="shared" si="12"/>
        <v>7282095.5169787724</v>
      </c>
      <c r="P72" s="248"/>
      <c r="Q72" s="248"/>
      <c r="R72" s="248"/>
    </row>
    <row r="73" spans="1:18" x14ac:dyDescent="0.2">
      <c r="A73" s="713">
        <f t="shared" si="13"/>
        <v>29</v>
      </c>
      <c r="C73" s="1006" t="s">
        <v>2910</v>
      </c>
      <c r="D73" s="715">
        <v>0</v>
      </c>
      <c r="E73" s="805">
        <v>165899.0799998939</v>
      </c>
      <c r="F73" s="805">
        <v>-194829.35667143762</v>
      </c>
      <c r="G73" s="805">
        <v>1125315.4072603583</v>
      </c>
      <c r="H73" s="805">
        <v>-374820.83648848534</v>
      </c>
      <c r="I73" s="805">
        <v>-1498449.4848166406</v>
      </c>
      <c r="J73" s="805">
        <v>-610178.12340146303</v>
      </c>
      <c r="K73" s="805">
        <v>-1054.5394139066339</v>
      </c>
      <c r="L73" s="805">
        <v>-1407540.7751770914</v>
      </c>
      <c r="M73" s="805">
        <v>-12815.105412350968</v>
      </c>
      <c r="N73" s="240">
        <f t="shared" si="12"/>
        <v>-2808473.7341211233</v>
      </c>
      <c r="P73" s="248"/>
      <c r="Q73" s="248"/>
      <c r="R73" s="248"/>
    </row>
    <row r="74" spans="1:18" x14ac:dyDescent="0.2">
      <c r="A74" s="713">
        <f t="shared" si="13"/>
        <v>30</v>
      </c>
      <c r="C74" s="1007" t="s">
        <v>2911</v>
      </c>
      <c r="D74" s="715">
        <v>0</v>
      </c>
      <c r="E74" s="805">
        <v>165738.31999965757</v>
      </c>
      <c r="F74" s="805">
        <v>289884.61499190331</v>
      </c>
      <c r="G74" s="805">
        <v>4311822.4947493076</v>
      </c>
      <c r="H74" s="805">
        <v>-190729.83186757565</v>
      </c>
      <c r="I74" s="805">
        <v>349705.79226464033</v>
      </c>
      <c r="J74" s="805">
        <v>-108462.45108473301</v>
      </c>
      <c r="K74" s="805">
        <v>5309.1692710258067</v>
      </c>
      <c r="L74" s="805">
        <v>268123.8039034307</v>
      </c>
      <c r="M74" s="805">
        <v>-6881.2994230296463</v>
      </c>
      <c r="N74" s="240">
        <f t="shared" si="12"/>
        <v>5084510.612804627</v>
      </c>
      <c r="P74" s="248"/>
      <c r="Q74" s="248"/>
      <c r="R74" s="248"/>
    </row>
    <row r="75" spans="1:18" x14ac:dyDescent="0.2">
      <c r="A75" s="713">
        <f t="shared" si="13"/>
        <v>31</v>
      </c>
      <c r="C75" s="1006" t="s">
        <v>2912</v>
      </c>
      <c r="D75" s="715">
        <v>0</v>
      </c>
      <c r="E75" s="805">
        <v>165738.8400001321</v>
      </c>
      <c r="F75" s="805">
        <v>717310.2846648246</v>
      </c>
      <c r="G75" s="805">
        <v>3984812.0531271696</v>
      </c>
      <c r="H75" s="805">
        <v>857355.35476922989</v>
      </c>
      <c r="I75" s="805">
        <v>1309921.8462833762</v>
      </c>
      <c r="J75" s="805">
        <v>2160561.3105307221</v>
      </c>
      <c r="K75" s="805">
        <v>77628.350730616599</v>
      </c>
      <c r="L75" s="805">
        <v>493470.09213894606</v>
      </c>
      <c r="M75" s="805">
        <v>58621.193372828886</v>
      </c>
      <c r="N75" s="240">
        <f t="shared" si="12"/>
        <v>9825419.3256178461</v>
      </c>
    </row>
    <row r="76" spans="1:18" x14ac:dyDescent="0.2">
      <c r="A76" s="713">
        <f t="shared" si="13"/>
        <v>32</v>
      </c>
      <c r="C76" s="1006" t="s">
        <v>2913</v>
      </c>
      <c r="D76" s="715">
        <v>0</v>
      </c>
      <c r="E76" s="805">
        <v>165754.35999989696</v>
      </c>
      <c r="F76" s="805">
        <v>418355.66621990502</v>
      </c>
      <c r="G76" s="805">
        <v>2844014.548198998</v>
      </c>
      <c r="H76" s="805">
        <v>-840245.12535727024</v>
      </c>
      <c r="I76" s="805">
        <v>-215582.25582906604</v>
      </c>
      <c r="J76" s="805">
        <v>-1462134.7131207585</v>
      </c>
      <c r="K76" s="805">
        <v>18125.518709030002</v>
      </c>
      <c r="L76" s="805">
        <v>-511342.32810734212</v>
      </c>
      <c r="M76" s="805">
        <v>4721.6394489053637</v>
      </c>
      <c r="N76" s="240">
        <f t="shared" si="12"/>
        <v>421667.31016229838</v>
      </c>
    </row>
    <row r="77" spans="1:18" x14ac:dyDescent="0.2">
      <c r="A77" s="713">
        <f t="shared" si="13"/>
        <v>33</v>
      </c>
      <c r="C77" s="1007" t="s">
        <v>2914</v>
      </c>
      <c r="D77" s="715">
        <v>0</v>
      </c>
      <c r="E77" s="805">
        <v>167240.41000037082</v>
      </c>
      <c r="F77" s="805">
        <v>383254.07903380692</v>
      </c>
      <c r="G77" s="805">
        <v>4592584.483705759</v>
      </c>
      <c r="H77" s="805">
        <v>-33899.287806272507</v>
      </c>
      <c r="I77" s="805">
        <v>-162336.66223067045</v>
      </c>
      <c r="J77" s="805">
        <v>-63346.586045384407</v>
      </c>
      <c r="K77" s="805">
        <v>15032.045966537669</v>
      </c>
      <c r="L77" s="805">
        <v>285082.16258385777</v>
      </c>
      <c r="M77" s="805">
        <v>-1766.2422057967633</v>
      </c>
      <c r="N77" s="240">
        <f t="shared" si="12"/>
        <v>5181844.4030022081</v>
      </c>
    </row>
    <row r="78" spans="1:18" x14ac:dyDescent="0.2">
      <c r="A78" s="713">
        <f t="shared" si="13"/>
        <v>34</v>
      </c>
      <c r="C78" s="1006" t="s">
        <v>2915</v>
      </c>
      <c r="D78" s="715">
        <v>0</v>
      </c>
      <c r="E78" s="805">
        <v>167320.77999989688</v>
      </c>
      <c r="F78" s="805">
        <v>534655.52765884995</v>
      </c>
      <c r="G78" s="805">
        <v>1998458.7126041055</v>
      </c>
      <c r="H78" s="805">
        <v>1040575.5077718496</v>
      </c>
      <c r="I78" s="805">
        <v>-186569.78824040294</v>
      </c>
      <c r="J78" s="805">
        <v>1108467.3952938318</v>
      </c>
      <c r="K78" s="805">
        <v>57155.88941575028</v>
      </c>
      <c r="L78" s="805">
        <v>532592.7381708324</v>
      </c>
      <c r="M78" s="805">
        <v>36010.776619672775</v>
      </c>
      <c r="N78" s="240">
        <f t="shared" si="12"/>
        <v>5288667.5392943863</v>
      </c>
    </row>
    <row r="79" spans="1:18" x14ac:dyDescent="0.2">
      <c r="A79" s="713">
        <f t="shared" si="13"/>
        <v>35</v>
      </c>
      <c r="C79" s="1006" t="s">
        <v>2916</v>
      </c>
      <c r="D79" s="715">
        <v>0</v>
      </c>
      <c r="E79" s="805">
        <v>167349.86000037007</v>
      </c>
      <c r="F79" s="805">
        <v>1583173.3274514973</v>
      </c>
      <c r="G79" s="805">
        <v>9481160.2280074954</v>
      </c>
      <c r="H79" s="805">
        <v>1022312.7993659377</v>
      </c>
      <c r="I79" s="805">
        <v>1440652.9179632366</v>
      </c>
      <c r="J79" s="805">
        <v>2894928.8442512751</v>
      </c>
      <c r="K79" s="805">
        <v>97737.400803385302</v>
      </c>
      <c r="L79" s="805">
        <v>771484.73809595406</v>
      </c>
      <c r="M79" s="805">
        <v>196308.40401240066</v>
      </c>
      <c r="N79" s="240">
        <f t="shared" si="12"/>
        <v>17655108.519951552</v>
      </c>
    </row>
    <row r="80" spans="1:18" x14ac:dyDescent="0.2">
      <c r="A80" s="713">
        <f t="shared" si="13"/>
        <v>36</v>
      </c>
      <c r="C80" s="1007" t="s">
        <v>2917</v>
      </c>
      <c r="D80" s="715">
        <v>0</v>
      </c>
      <c r="E80" s="805">
        <v>167370.69999965839</v>
      </c>
      <c r="F80" s="805">
        <v>-430364.34010051191</v>
      </c>
      <c r="G80" s="805">
        <v>-29324097.43608278</v>
      </c>
      <c r="H80" s="805">
        <v>10458360.154123724</v>
      </c>
      <c r="I80" s="805">
        <v>-6532195.781662941</v>
      </c>
      <c r="J80" s="805">
        <v>11481124.551490784</v>
      </c>
      <c r="K80" s="805">
        <v>457599.36077926308</v>
      </c>
      <c r="L80" s="805">
        <v>2382094.0570985228</v>
      </c>
      <c r="M80" s="805">
        <v>612484.71180758253</v>
      </c>
      <c r="N80" s="240">
        <f t="shared" si="12"/>
        <v>-10727624.022546697</v>
      </c>
    </row>
    <row r="81" spans="1:15" x14ac:dyDescent="0.2">
      <c r="A81" s="713">
        <f t="shared" si="13"/>
        <v>37</v>
      </c>
      <c r="C81" s="1007" t="s">
        <v>2918</v>
      </c>
      <c r="D81" s="715">
        <v>0</v>
      </c>
      <c r="E81" s="805">
        <v>167474.69000036828</v>
      </c>
      <c r="F81" s="805">
        <v>396717.15025724471</v>
      </c>
      <c r="G81" s="805">
        <v>-5894421.2334192991</v>
      </c>
      <c r="H81" s="805">
        <v>1183720.0191777945</v>
      </c>
      <c r="I81" s="805">
        <v>-1358755.2355123162</v>
      </c>
      <c r="J81" s="805">
        <v>955581.06111806631</v>
      </c>
      <c r="K81" s="805">
        <v>-15257.135854385793</v>
      </c>
      <c r="L81" s="805">
        <v>476160.9234034121</v>
      </c>
      <c r="M81" s="805">
        <v>155734.92608914152</v>
      </c>
      <c r="N81" s="240">
        <f t="shared" si="12"/>
        <v>-3933044.8347399738</v>
      </c>
    </row>
    <row r="82" spans="1:15" x14ac:dyDescent="0.2">
      <c r="A82" s="713">
        <f t="shared" si="13"/>
        <v>38</v>
      </c>
      <c r="C82" s="1006" t="s">
        <v>2919</v>
      </c>
      <c r="D82" s="121">
        <v>0</v>
      </c>
      <c r="E82" s="1154">
        <v>166763.22999942303</v>
      </c>
      <c r="F82" s="1154">
        <v>553214.86507382989</v>
      </c>
      <c r="G82" s="1154">
        <v>-3694762.4420499802</v>
      </c>
      <c r="H82" s="1154">
        <v>1204141.4638538361</v>
      </c>
      <c r="I82" s="1154">
        <v>83345.905114024878</v>
      </c>
      <c r="J82" s="1154">
        <v>1236249.5730394125</v>
      </c>
      <c r="K82" s="1154">
        <v>119120.61635032669</v>
      </c>
      <c r="L82" s="1154">
        <v>-176071.4316970557</v>
      </c>
      <c r="M82" s="1154">
        <v>149309.51103365421</v>
      </c>
      <c r="N82" s="385">
        <f t="shared" si="12"/>
        <v>-358688.70928252861</v>
      </c>
      <c r="O82" s="248"/>
    </row>
    <row r="83" spans="1:15" x14ac:dyDescent="0.2">
      <c r="A83" s="713">
        <f t="shared" si="13"/>
        <v>39</v>
      </c>
      <c r="C83" s="717" t="s">
        <v>4</v>
      </c>
      <c r="D83" s="240">
        <f>SUM(D71:D82)</f>
        <v>0</v>
      </c>
      <c r="E83" s="240">
        <f t="shared" ref="E83:M83" si="14">SUM(E71:E82)</f>
        <v>1998081.619999459</v>
      </c>
      <c r="F83" s="240">
        <f t="shared" si="14"/>
        <v>5026592.1841439307</v>
      </c>
      <c r="G83" s="240">
        <f t="shared" si="14"/>
        <v>-3354248.7474130988</v>
      </c>
      <c r="H83" s="240">
        <f t="shared" si="14"/>
        <v>15035349.648603141</v>
      </c>
      <c r="I83" s="240">
        <f t="shared" si="14"/>
        <v>-5028695.9669081867</v>
      </c>
      <c r="J83" s="240">
        <f t="shared" si="14"/>
        <v>18700427.689031541</v>
      </c>
      <c r="K83" s="240">
        <f t="shared" si="14"/>
        <v>878204.0135040842</v>
      </c>
      <c r="L83" s="240">
        <f t="shared" si="14"/>
        <v>3853059.7570719272</v>
      </c>
      <c r="M83" s="240">
        <f t="shared" si="14"/>
        <v>1209875.3969184775</v>
      </c>
      <c r="N83" s="240">
        <f>SUM(N71:N82)</f>
        <v>38318645.594951272</v>
      </c>
      <c r="O83" s="248"/>
    </row>
    <row r="85" spans="1:15" x14ac:dyDescent="0.2">
      <c r="C85" s="1" t="s">
        <v>1993</v>
      </c>
      <c r="D85" s="626"/>
      <c r="E85" s="626"/>
      <c r="F85" s="626"/>
      <c r="G85" s="626"/>
      <c r="H85" s="626"/>
      <c r="I85" s="626"/>
      <c r="J85" s="626"/>
      <c r="K85" s="626"/>
      <c r="L85" s="626"/>
    </row>
    <row r="86" spans="1:15" x14ac:dyDescent="0.2">
      <c r="A86" s="626"/>
      <c r="C86" s="626"/>
      <c r="D86" s="626"/>
      <c r="E86" s="626"/>
      <c r="F86" s="626"/>
      <c r="G86" s="626"/>
      <c r="H86" s="626"/>
      <c r="I86" s="626"/>
      <c r="J86" s="626"/>
      <c r="K86" s="626"/>
      <c r="L86" s="626"/>
    </row>
    <row r="87" spans="1:15" x14ac:dyDescent="0.2">
      <c r="A87" s="456"/>
      <c r="C87" s="86" t="s">
        <v>403</v>
      </c>
      <c r="D87" s="86" t="s">
        <v>387</v>
      </c>
      <c r="E87" s="86" t="s">
        <v>388</v>
      </c>
      <c r="F87" s="86" t="s">
        <v>389</v>
      </c>
      <c r="G87" s="86" t="s">
        <v>390</v>
      </c>
      <c r="H87" s="86" t="s">
        <v>391</v>
      </c>
      <c r="I87" s="86" t="s">
        <v>392</v>
      </c>
      <c r="J87" s="86" t="s">
        <v>606</v>
      </c>
      <c r="K87" s="86" t="s">
        <v>1055</v>
      </c>
      <c r="L87" s="86" t="s">
        <v>1072</v>
      </c>
      <c r="M87" s="86" t="s">
        <v>1075</v>
      </c>
      <c r="N87" s="86" t="s">
        <v>1093</v>
      </c>
    </row>
    <row r="88" spans="1:15" x14ac:dyDescent="0.2">
      <c r="A88" s="238"/>
      <c r="C88" s="260"/>
      <c r="D88" s="238"/>
      <c r="E88" s="238"/>
      <c r="F88" s="238"/>
      <c r="G88" s="238"/>
      <c r="H88" s="238"/>
      <c r="I88" s="238"/>
      <c r="J88" s="238"/>
      <c r="K88" s="238"/>
      <c r="L88" s="238"/>
      <c r="N88" s="260" t="s">
        <v>1488</v>
      </c>
    </row>
    <row r="89" spans="1:15" x14ac:dyDescent="0.2">
      <c r="A89" s="238"/>
      <c r="C89" s="115"/>
      <c r="D89" s="86"/>
      <c r="E89" s="86"/>
      <c r="F89" s="238"/>
      <c r="G89" s="238"/>
      <c r="H89" s="238"/>
      <c r="I89" s="238"/>
      <c r="J89" s="238"/>
      <c r="K89" s="238"/>
      <c r="L89" s="238"/>
      <c r="M89" s="238"/>
    </row>
    <row r="90" spans="1:15" x14ac:dyDescent="0.2">
      <c r="A90" s="53"/>
      <c r="C90" s="129" t="s">
        <v>2295</v>
      </c>
      <c r="D90" s="86">
        <v>350.1</v>
      </c>
      <c r="E90" s="86">
        <v>350.2</v>
      </c>
      <c r="F90" s="86">
        <v>352</v>
      </c>
      <c r="G90" s="86">
        <v>353</v>
      </c>
      <c r="H90" s="86">
        <v>354</v>
      </c>
      <c r="I90" s="86">
        <v>355</v>
      </c>
      <c r="J90" s="86">
        <v>356</v>
      </c>
      <c r="K90" s="86">
        <v>357</v>
      </c>
      <c r="L90" s="86">
        <v>358</v>
      </c>
      <c r="M90" s="86">
        <v>359</v>
      </c>
      <c r="N90" s="3" t="s">
        <v>224</v>
      </c>
    </row>
    <row r="91" spans="1:15" x14ac:dyDescent="0.2">
      <c r="A91" s="713">
        <f>A83+1</f>
        <v>40</v>
      </c>
      <c r="C91" s="1007" t="s">
        <v>2908</v>
      </c>
      <c r="D91" s="687">
        <f>'17-Depreciation'!C49</f>
        <v>0</v>
      </c>
      <c r="E91" s="687">
        <f>'17-Depreciation'!D49</f>
        <v>111689.77992236456</v>
      </c>
      <c r="F91" s="687">
        <f>'17-Depreciation'!E49</f>
        <v>375771.82825833332</v>
      </c>
      <c r="G91" s="687">
        <f>'17-Depreciation'!F49</f>
        <v>3458439.0486750002</v>
      </c>
      <c r="H91" s="687">
        <f>'17-Depreciation'!G49</f>
        <v>1271457.953</v>
      </c>
      <c r="I91" s="687">
        <f>'17-Depreciation'!H49</f>
        <v>347947.19194166671</v>
      </c>
      <c r="J91" s="687">
        <f>'17-Depreciation'!I49</f>
        <v>1073024.0507083333</v>
      </c>
      <c r="K91" s="687">
        <f>'17-Depreciation'!J49</f>
        <v>390.63200000000001</v>
      </c>
      <c r="L91" s="687">
        <f>'17-Depreciation'!K49</f>
        <v>7426.9427999999998</v>
      </c>
      <c r="M91" s="687">
        <f>'17-Depreciation'!L49</f>
        <v>37204.788399999998</v>
      </c>
      <c r="N91" s="240">
        <f t="shared" ref="N91:N102" si="15">SUM(D91:M91)</f>
        <v>6683352.2157056984</v>
      </c>
    </row>
    <row r="92" spans="1:15" x14ac:dyDescent="0.2">
      <c r="A92" s="713">
        <f t="shared" ref="A92:A103" si="16">A91+1</f>
        <v>41</v>
      </c>
      <c r="C92" s="1006" t="s">
        <v>2909</v>
      </c>
      <c r="D92" s="687">
        <f>'17-Depreciation'!C50</f>
        <v>0</v>
      </c>
      <c r="E92" s="687">
        <f>'17-Depreciation'!D50</f>
        <v>111423.31011786521</v>
      </c>
      <c r="F92" s="687">
        <f>'17-Depreciation'!E50</f>
        <v>375929.92269404378</v>
      </c>
      <c r="G92" s="687">
        <f>'17-Depreciation'!F50</f>
        <v>3463758.4654427506</v>
      </c>
      <c r="H92" s="687">
        <f>'17-Depreciation'!G50</f>
        <v>1153608.0622216146</v>
      </c>
      <c r="I92" s="687">
        <f>'17-Depreciation'!H50</f>
        <v>348461.35870318394</v>
      </c>
      <c r="J92" s="687">
        <f>'17-Depreciation'!I50</f>
        <v>1224957.7068497294</v>
      </c>
      <c r="K92" s="687">
        <f>'17-Depreciation'!J50</f>
        <v>406.41947323924461</v>
      </c>
      <c r="L92" s="687">
        <f>'17-Depreciation'!K50</f>
        <v>7755.0426690136183</v>
      </c>
      <c r="M92" s="687">
        <f>'17-Depreciation'!L50</f>
        <v>37166.655325621308</v>
      </c>
      <c r="N92" s="240">
        <f t="shared" si="15"/>
        <v>6723466.9434970627</v>
      </c>
    </row>
    <row r="93" spans="1:15" x14ac:dyDescent="0.2">
      <c r="A93" s="713">
        <f t="shared" si="16"/>
        <v>42</v>
      </c>
      <c r="C93" s="1006" t="s">
        <v>2910</v>
      </c>
      <c r="D93" s="687">
        <f>'17-Depreciation'!C51</f>
        <v>0</v>
      </c>
      <c r="E93" s="687">
        <f>'17-Depreciation'!D51</f>
        <v>111512.16118051425</v>
      </c>
      <c r="F93" s="687">
        <f>'17-Depreciation'!E51</f>
        <v>363966.71648831136</v>
      </c>
      <c r="G93" s="687">
        <f>'17-Depreciation'!F51</f>
        <v>3478857.7058596122</v>
      </c>
      <c r="H93" s="687">
        <f>'17-Depreciation'!G51</f>
        <v>1153178.6657361158</v>
      </c>
      <c r="I93" s="687">
        <f>'17-Depreciation'!H51</f>
        <v>347974.70992226712</v>
      </c>
      <c r="J93" s="687">
        <f>'17-Depreciation'!I51</f>
        <v>1224626.5716783872</v>
      </c>
      <c r="K93" s="687">
        <f>'17-Depreciation'!J51</f>
        <v>384.61655156017633</v>
      </c>
      <c r="L93" s="687">
        <f>'17-Depreciation'!K51</f>
        <v>7399.2462858727295</v>
      </c>
      <c r="M93" s="687">
        <f>'17-Depreciation'!L51</f>
        <v>37161.353117281535</v>
      </c>
      <c r="N93" s="240">
        <f t="shared" si="15"/>
        <v>6725061.7468199218</v>
      </c>
    </row>
    <row r="94" spans="1:15" x14ac:dyDescent="0.2">
      <c r="A94" s="713">
        <f t="shared" si="16"/>
        <v>43</v>
      </c>
      <c r="C94" s="1007" t="s">
        <v>2911</v>
      </c>
      <c r="D94" s="687">
        <f>'17-Depreciation'!C52</f>
        <v>0</v>
      </c>
      <c r="E94" s="687">
        <f>'17-Depreciation'!D52</f>
        <v>111513.56973776344</v>
      </c>
      <c r="F94" s="687">
        <f>'17-Depreciation'!E52</f>
        <v>363634.55532020022</v>
      </c>
      <c r="G94" s="687">
        <f>'17-Depreciation'!F52</f>
        <v>3478914.2132373624</v>
      </c>
      <c r="H94" s="687">
        <f>'17-Depreciation'!G52</f>
        <v>1154244.9566487528</v>
      </c>
      <c r="I94" s="687">
        <f>'17-Depreciation'!H52</f>
        <v>347901.25333058217</v>
      </c>
      <c r="J94" s="687">
        <f>'17-Depreciation'!I52</f>
        <v>1224366.9223150993</v>
      </c>
      <c r="K94" s="687">
        <f>'17-Depreciation'!J52</f>
        <v>384.70862071287632</v>
      </c>
      <c r="L94" s="687">
        <f>'17-Depreciation'!K52</f>
        <v>6538.8031958188476</v>
      </c>
      <c r="M94" s="687">
        <f>'17-Depreciation'!L52</f>
        <v>37161.322428846041</v>
      </c>
      <c r="N94" s="240">
        <f t="shared" si="15"/>
        <v>6724660.3048351379</v>
      </c>
    </row>
    <row r="95" spans="1:15" x14ac:dyDescent="0.2">
      <c r="A95" s="713">
        <f t="shared" si="16"/>
        <v>44</v>
      </c>
      <c r="C95" s="1006" t="s">
        <v>2912</v>
      </c>
      <c r="D95" s="687">
        <f>'17-Depreciation'!C53</f>
        <v>0</v>
      </c>
      <c r="E95" s="687">
        <f>'17-Depreciation'!D53</f>
        <v>111514.10252859678</v>
      </c>
      <c r="F95" s="687">
        <f>'17-Depreciation'!E53</f>
        <v>363922.41820344259</v>
      </c>
      <c r="G95" s="687">
        <f>'17-Depreciation'!F53</f>
        <v>3491604.7208836884</v>
      </c>
      <c r="H95" s="687">
        <f>'17-Depreciation'!G53</f>
        <v>1152415.2012152581</v>
      </c>
      <c r="I95" s="687">
        <f>'17-Depreciation'!H53</f>
        <v>348394.76406694954</v>
      </c>
      <c r="J95" s="687">
        <f>'17-Depreciation'!I53</f>
        <v>1224175.0481072904</v>
      </c>
      <c r="K95" s="687">
        <f>'17-Depreciation'!J53</f>
        <v>384.88358603567571</v>
      </c>
      <c r="L95" s="687">
        <f>'17-Depreciation'!K53</f>
        <v>6555.2436974315306</v>
      </c>
      <c r="M95" s="687">
        <f>'17-Depreciation'!L53</f>
        <v>37153.761989286148</v>
      </c>
      <c r="N95" s="240">
        <f t="shared" si="15"/>
        <v>6736120.1442779796</v>
      </c>
    </row>
    <row r="96" spans="1:15" x14ac:dyDescent="0.2">
      <c r="A96" s="713">
        <f t="shared" si="16"/>
        <v>45</v>
      </c>
      <c r="C96" s="1006" t="s">
        <v>2913</v>
      </c>
      <c r="D96" s="687">
        <f>'17-Depreciation'!C54</f>
        <v>0</v>
      </c>
      <c r="E96" s="687">
        <f>'17-Depreciation'!D54</f>
        <v>111524.472993616</v>
      </c>
      <c r="F96" s="687">
        <f>'17-Depreciation'!E54</f>
        <v>365278.47693791328</v>
      </c>
      <c r="G96" s="687">
        <f>'17-Depreciation'!F54</f>
        <v>3528882.5627245326</v>
      </c>
      <c r="H96" s="687">
        <f>'17-Depreciation'!G54</f>
        <v>1152624.5481272025</v>
      </c>
      <c r="I96" s="687">
        <f>'17-Depreciation'!H54</f>
        <v>348323.01373202517</v>
      </c>
      <c r="J96" s="687">
        <f>'17-Depreciation'!I54</f>
        <v>1226027.6914051967</v>
      </c>
      <c r="K96" s="687">
        <f>'17-Depreciation'!J54</f>
        <v>397.26796979389502</v>
      </c>
      <c r="L96" s="687">
        <f>'17-Depreciation'!K54</f>
        <v>6891.6171717315156</v>
      </c>
      <c r="M96" s="687">
        <f>'17-Depreciation'!L54</f>
        <v>37146.00422026014</v>
      </c>
      <c r="N96" s="240">
        <f t="shared" si="15"/>
        <v>6777095.655282272</v>
      </c>
    </row>
    <row r="97" spans="1:14" x14ac:dyDescent="0.2">
      <c r="A97" s="713">
        <f t="shared" si="16"/>
        <v>46</v>
      </c>
      <c r="C97" s="1007" t="s">
        <v>2914</v>
      </c>
      <c r="D97" s="687">
        <f>'17-Depreciation'!C55</f>
        <v>0</v>
      </c>
      <c r="E97" s="687">
        <f>'17-Depreciation'!D55</f>
        <v>113006.25073116104</v>
      </c>
      <c r="F97" s="687">
        <f>'17-Depreciation'!E55</f>
        <v>366136.68254406605</v>
      </c>
      <c r="G97" s="687">
        <f>'17-Depreciation'!F55</f>
        <v>3572579.3959903065</v>
      </c>
      <c r="H97" s="687">
        <f>'17-Depreciation'!G55</f>
        <v>1173735.7824891957</v>
      </c>
      <c r="I97" s="687">
        <f>'17-Depreciation'!H55</f>
        <v>350886.30907864711</v>
      </c>
      <c r="J97" s="687">
        <f>'17-Depreciation'!I55</f>
        <v>1256503.9261761918</v>
      </c>
      <c r="K97" s="687">
        <f>'17-Depreciation'!J55</f>
        <v>663.75133187386132</v>
      </c>
      <c r="L97" s="687">
        <f>'17-Depreciation'!K55</f>
        <v>6977.7118731447554</v>
      </c>
      <c r="M97" s="687">
        <f>'17-Depreciation'!L55</f>
        <v>37104.849411875992</v>
      </c>
      <c r="N97" s="240">
        <f t="shared" si="15"/>
        <v>6877594.6596264625</v>
      </c>
    </row>
    <row r="98" spans="1:14" x14ac:dyDescent="0.2">
      <c r="A98" s="713">
        <f t="shared" si="16"/>
        <v>47</v>
      </c>
      <c r="C98" s="1006" t="s">
        <v>2915</v>
      </c>
      <c r="D98" s="687">
        <f>'17-Depreciation'!C56</f>
        <v>0</v>
      </c>
      <c r="E98" s="687">
        <f>'17-Depreciation'!D56</f>
        <v>113059.72328175032</v>
      </c>
      <c r="F98" s="687">
        <f>'17-Depreciation'!E56</f>
        <v>366353.8449260912</v>
      </c>
      <c r="G98" s="687">
        <f>'17-Depreciation'!F56</f>
        <v>3589659.2702147984</v>
      </c>
      <c r="H98" s="687">
        <f>'17-Depreciation'!G56</f>
        <v>1167588.7340434899</v>
      </c>
      <c r="I98" s="687">
        <f>'17-Depreciation'!H56</f>
        <v>350386.74489131029</v>
      </c>
      <c r="J98" s="687">
        <f>'17-Depreciation'!I56</f>
        <v>1251814.689828428</v>
      </c>
      <c r="K98" s="687">
        <f>'17-Depreciation'!J56</f>
        <v>768.74810245260608</v>
      </c>
      <c r="L98" s="687">
        <f>'17-Depreciation'!K56</f>
        <v>11460.956814722551</v>
      </c>
      <c r="M98" s="687">
        <f>'17-Depreciation'!L56</f>
        <v>37105.368379141604</v>
      </c>
      <c r="N98" s="240">
        <f t="shared" si="15"/>
        <v>6888198.080482183</v>
      </c>
    </row>
    <row r="99" spans="1:14" x14ac:dyDescent="0.2">
      <c r="A99" s="713">
        <f t="shared" si="16"/>
        <v>48</v>
      </c>
      <c r="C99" s="1006" t="s">
        <v>2916</v>
      </c>
      <c r="D99" s="687">
        <f>'17-Depreciation'!C57</f>
        <v>0</v>
      </c>
      <c r="E99" s="687">
        <f>'17-Depreciation'!D57</f>
        <v>113079.67051813692</v>
      </c>
      <c r="F99" s="687">
        <f>'17-Depreciation'!E57</f>
        <v>368210.23599154531</v>
      </c>
      <c r="G99" s="687">
        <f>'17-Depreciation'!F57</f>
        <v>3595578.4631386423</v>
      </c>
      <c r="H99" s="687">
        <f>'17-Depreciation'!G57</f>
        <v>1167670.8102315369</v>
      </c>
      <c r="I99" s="687">
        <f>'17-Depreciation'!H57</f>
        <v>350416.70257141179</v>
      </c>
      <c r="J99" s="687">
        <f>'17-Depreciation'!I57</f>
        <v>1254347.3665480874</v>
      </c>
      <c r="K99" s="687">
        <f>'17-Depreciation'!J57</f>
        <v>792.18841157187501</v>
      </c>
      <c r="L99" s="687">
        <f>'17-Depreciation'!K57</f>
        <v>12045.539091127976</v>
      </c>
      <c r="M99" s="687">
        <f>'17-Depreciation'!L57</f>
        <v>37105.372223628714</v>
      </c>
      <c r="N99" s="240">
        <f t="shared" si="15"/>
        <v>6899246.3487256886</v>
      </c>
    </row>
    <row r="100" spans="1:14" x14ac:dyDescent="0.2">
      <c r="A100" s="713">
        <f t="shared" si="16"/>
        <v>49</v>
      </c>
      <c r="C100" s="1007" t="s">
        <v>2917</v>
      </c>
      <c r="D100" s="687">
        <f>'17-Depreciation'!C58</f>
        <v>0</v>
      </c>
      <c r="E100" s="687">
        <f>'17-Depreciation'!D58</f>
        <v>113094.11212784384</v>
      </c>
      <c r="F100" s="687">
        <f>'17-Depreciation'!E58</f>
        <v>368298.8787046895</v>
      </c>
      <c r="G100" s="687">
        <f>'17-Depreciation'!F58</f>
        <v>3600607.1413492314</v>
      </c>
      <c r="H100" s="687">
        <f>'17-Depreciation'!G58</f>
        <v>1117676.6923778413</v>
      </c>
      <c r="I100" s="687">
        <f>'17-Depreciation'!H58</f>
        <v>402008.51287183032</v>
      </c>
      <c r="J100" s="687">
        <f>'17-Depreciation'!I58</f>
        <v>1074174.4679577658</v>
      </c>
      <c r="K100" s="687">
        <f>'17-Depreciation'!J58</f>
        <v>790.43677038062913</v>
      </c>
      <c r="L100" s="687">
        <f>'17-Depreciation'!K58</f>
        <v>11514.786656337606</v>
      </c>
      <c r="M100" s="687">
        <f>'17-Depreciation'!L58</f>
        <v>143502.3189067824</v>
      </c>
      <c r="N100" s="240">
        <f t="shared" si="15"/>
        <v>6831667.3477227027</v>
      </c>
    </row>
    <row r="101" spans="1:14" x14ac:dyDescent="0.2">
      <c r="A101" s="713">
        <f t="shared" si="16"/>
        <v>50</v>
      </c>
      <c r="C101" s="1007" t="s">
        <v>2918</v>
      </c>
      <c r="D101" s="687">
        <f>'17-Depreciation'!C59</f>
        <v>0</v>
      </c>
      <c r="E101" s="687">
        <f>'17-Depreciation'!D59</f>
        <v>113163.4625843547</v>
      </c>
      <c r="F101" s="687">
        <f>'17-Depreciation'!E59</f>
        <v>368320.28258592752</v>
      </c>
      <c r="G101" s="687">
        <f>'17-Depreciation'!F59</f>
        <v>3597920.0845075599</v>
      </c>
      <c r="H101" s="687">
        <f>'17-Depreciation'!G59</f>
        <v>1117829.6724844354</v>
      </c>
      <c r="I101" s="687">
        <f>'17-Depreciation'!H59</f>
        <v>402211.73867027828</v>
      </c>
      <c r="J101" s="687">
        <f>'17-Depreciation'!I59</f>
        <v>1073636.4705990127</v>
      </c>
      <c r="K101" s="687">
        <f>'17-Depreciation'!J59</f>
        <v>788.3304892698003</v>
      </c>
      <c r="L101" s="687">
        <f>'17-Depreciation'!K59</f>
        <v>11407.741734170753</v>
      </c>
      <c r="M101" s="687">
        <f>'17-Depreciation'!L59</f>
        <v>143502.78651517988</v>
      </c>
      <c r="N101" s="240">
        <f t="shared" si="15"/>
        <v>6828780.5701701883</v>
      </c>
    </row>
    <row r="102" spans="1:14" x14ac:dyDescent="0.2">
      <c r="A102" s="713">
        <f t="shared" si="16"/>
        <v>51</v>
      </c>
      <c r="C102" s="1006" t="s">
        <v>2919</v>
      </c>
      <c r="D102" s="116">
        <f>'17-Depreciation'!C60</f>
        <v>0</v>
      </c>
      <c r="E102" s="116">
        <f>'17-Depreciation'!D60</f>
        <v>113558.82962247432</v>
      </c>
      <c r="F102" s="116">
        <f>'17-Depreciation'!E60</f>
        <v>368220.40614481713</v>
      </c>
      <c r="G102" s="116">
        <f>'17-Depreciation'!F60</f>
        <v>3611323.28385075</v>
      </c>
      <c r="H102" s="116">
        <f>'17-Depreciation'!G60</f>
        <v>1118109.8629245518</v>
      </c>
      <c r="I102" s="116">
        <f>'17-Depreciation'!H60</f>
        <v>402579.93123217166</v>
      </c>
      <c r="J102" s="116">
        <f>'17-Depreciation'!I60</f>
        <v>1073884.6980351855</v>
      </c>
      <c r="K102" s="116">
        <f>'17-Depreciation'!J60</f>
        <v>779.36617248899972</v>
      </c>
      <c r="L102" s="116">
        <f>'17-Depreciation'!K60</f>
        <v>11288.074180230593</v>
      </c>
      <c r="M102" s="116">
        <f>'17-Depreciation'!L60</f>
        <v>143502.76947352639</v>
      </c>
      <c r="N102" s="385">
        <f t="shared" si="15"/>
        <v>6843247.2216361966</v>
      </c>
    </row>
    <row r="103" spans="1:14" x14ac:dyDescent="0.2">
      <c r="A103" s="713">
        <f t="shared" si="16"/>
        <v>52</v>
      </c>
      <c r="C103" s="717" t="s">
        <v>4</v>
      </c>
      <c r="D103" s="240">
        <f>SUM(D91:D102)</f>
        <v>0</v>
      </c>
      <c r="E103" s="240">
        <f t="shared" ref="E103:M103" si="17">SUM(E91:E102)</f>
        <v>1348139.4453464414</v>
      </c>
      <c r="F103" s="240">
        <f t="shared" si="17"/>
        <v>4414044.2487993818</v>
      </c>
      <c r="G103" s="240">
        <f t="shared" si="17"/>
        <v>42468124.35587424</v>
      </c>
      <c r="H103" s="240">
        <f t="shared" si="17"/>
        <v>13900140.941499993</v>
      </c>
      <c r="I103" s="240">
        <f t="shared" si="17"/>
        <v>4347492.2310123239</v>
      </c>
      <c r="J103" s="240">
        <f t="shared" si="17"/>
        <v>14181539.610208709</v>
      </c>
      <c r="K103" s="240">
        <f t="shared" si="17"/>
        <v>6931.3494793796399</v>
      </c>
      <c r="L103" s="240">
        <f t="shared" si="17"/>
        <v>107261.70616960246</v>
      </c>
      <c r="M103" s="240">
        <f t="shared" si="17"/>
        <v>764817.3503914302</v>
      </c>
      <c r="N103" s="240">
        <f>SUM(N91:N102)</f>
        <v>81538491.238781497</v>
      </c>
    </row>
    <row r="105" spans="1:14" x14ac:dyDescent="0.2">
      <c r="C105" s="1" t="s">
        <v>1994</v>
      </c>
      <c r="D105" s="626"/>
      <c r="E105" s="626"/>
      <c r="F105" s="626"/>
      <c r="G105" s="626"/>
      <c r="H105" s="626"/>
      <c r="I105" s="626"/>
      <c r="J105" s="626"/>
      <c r="K105" s="626"/>
      <c r="L105" s="626"/>
    </row>
    <row r="106" spans="1:14" x14ac:dyDescent="0.2">
      <c r="C106" s="626"/>
      <c r="D106" s="626"/>
      <c r="E106" s="626"/>
      <c r="F106" s="626"/>
      <c r="G106" s="626"/>
      <c r="H106" s="626"/>
      <c r="I106" s="626"/>
      <c r="J106" s="626"/>
      <c r="K106" s="626"/>
      <c r="L106" s="626"/>
    </row>
    <row r="107" spans="1:14" x14ac:dyDescent="0.2">
      <c r="C107" s="86" t="s">
        <v>403</v>
      </c>
      <c r="D107" s="86" t="s">
        <v>387</v>
      </c>
      <c r="E107" s="86" t="s">
        <v>388</v>
      </c>
      <c r="F107" s="86" t="s">
        <v>389</v>
      </c>
      <c r="G107" s="86" t="s">
        <v>390</v>
      </c>
      <c r="H107" s="86" t="s">
        <v>391</v>
      </c>
      <c r="I107" s="86" t="s">
        <v>392</v>
      </c>
      <c r="J107" s="86" t="s">
        <v>606</v>
      </c>
      <c r="K107" s="86" t="s">
        <v>1055</v>
      </c>
      <c r="L107" s="86" t="s">
        <v>1072</v>
      </c>
      <c r="M107" s="86" t="s">
        <v>1075</v>
      </c>
      <c r="N107" s="86" t="s">
        <v>1093</v>
      </c>
    </row>
    <row r="108" spans="1:14" x14ac:dyDescent="0.2">
      <c r="C108" s="260"/>
      <c r="D108" s="238"/>
      <c r="E108" s="238"/>
      <c r="F108" s="238"/>
      <c r="G108" s="238"/>
      <c r="H108" s="238"/>
      <c r="I108" s="238"/>
      <c r="J108" s="238"/>
      <c r="K108" s="238"/>
      <c r="L108" s="238"/>
      <c r="N108" s="260" t="s">
        <v>1488</v>
      </c>
    </row>
    <row r="109" spans="1:14" x14ac:dyDescent="0.2">
      <c r="C109" s="115"/>
      <c r="D109" s="86"/>
      <c r="E109" s="86"/>
      <c r="F109" s="238"/>
      <c r="G109" s="238"/>
      <c r="H109" s="238"/>
      <c r="I109" s="238"/>
      <c r="J109" s="238"/>
      <c r="K109" s="238"/>
      <c r="L109" s="238"/>
      <c r="M109" s="238"/>
    </row>
    <row r="110" spans="1:14" x14ac:dyDescent="0.2">
      <c r="C110" s="129" t="s">
        <v>2295</v>
      </c>
      <c r="D110" s="86">
        <v>350.1</v>
      </c>
      <c r="E110" s="86">
        <v>350.2</v>
      </c>
      <c r="F110" s="86">
        <v>352</v>
      </c>
      <c r="G110" s="86">
        <v>353</v>
      </c>
      <c r="H110" s="86">
        <v>354</v>
      </c>
      <c r="I110" s="86">
        <v>355</v>
      </c>
      <c r="J110" s="86">
        <v>356</v>
      </c>
      <c r="K110" s="86">
        <v>357</v>
      </c>
      <c r="L110" s="86">
        <v>358</v>
      </c>
      <c r="M110" s="86">
        <v>359</v>
      </c>
      <c r="N110" s="3" t="s">
        <v>224</v>
      </c>
    </row>
    <row r="111" spans="1:14" x14ac:dyDescent="0.2">
      <c r="A111" s="713">
        <f>A103+1</f>
        <v>53</v>
      </c>
      <c r="C111" s="1007" t="s">
        <v>2908</v>
      </c>
      <c r="D111" s="687">
        <f t="shared" ref="D111:M111" si="18">D71-D91</f>
        <v>0</v>
      </c>
      <c r="E111" s="687">
        <f t="shared" si="18"/>
        <v>54151.540076814315</v>
      </c>
      <c r="F111" s="687">
        <f t="shared" si="18"/>
        <v>47032.686501788383</v>
      </c>
      <c r="G111" s="687">
        <f t="shared" si="18"/>
        <v>-955686.90371829225</v>
      </c>
      <c r="H111" s="687">
        <f t="shared" si="18"/>
        <v>-804428.4856669812</v>
      </c>
      <c r="I111" s="687">
        <f t="shared" si="18"/>
        <v>564618.49909956451</v>
      </c>
      <c r="J111" s="687">
        <f t="shared" si="18"/>
        <v>-552238.17452875734</v>
      </c>
      <c r="K111" s="687">
        <f t="shared" si="18"/>
        <v>24902.149126491724</v>
      </c>
      <c r="L111" s="687">
        <f t="shared" si="18"/>
        <v>371842.868094832</v>
      </c>
      <c r="M111" s="687">
        <f t="shared" si="18"/>
        <v>-26382.726861247829</v>
      </c>
      <c r="N111" s="240">
        <f t="shared" ref="N111:N122" si="19">SUM(D111:M111)</f>
        <v>-1276188.5478757876</v>
      </c>
    </row>
    <row r="112" spans="1:14" x14ac:dyDescent="0.2">
      <c r="A112" s="713">
        <f t="shared" ref="A112:A123" si="20">A111+1</f>
        <v>54</v>
      </c>
      <c r="C112" s="1006" t="s">
        <v>2909</v>
      </c>
      <c r="D112" s="687">
        <f t="shared" ref="D112:M112" si="21">D72-D92</f>
        <v>0</v>
      </c>
      <c r="E112" s="687">
        <f t="shared" si="21"/>
        <v>54166.719882746926</v>
      </c>
      <c r="F112" s="687">
        <f t="shared" si="21"/>
        <v>-23514.071890146995</v>
      </c>
      <c r="G112" s="687">
        <f t="shared" si="21"/>
        <v>1254353.8260863088</v>
      </c>
      <c r="H112" s="687">
        <f t="shared" si="21"/>
        <v>-912058.09849425964</v>
      </c>
      <c r="I112" s="687">
        <f t="shared" si="21"/>
        <v>480539.73001415748</v>
      </c>
      <c r="J112" s="687">
        <f t="shared" si="21"/>
        <v>-638106.75606951653</v>
      </c>
      <c r="K112" s="687">
        <f t="shared" si="21"/>
        <v>21108.136146710229</v>
      </c>
      <c r="L112" s="687">
        <f t="shared" si="21"/>
        <v>351980.92309461487</v>
      </c>
      <c r="M112" s="687">
        <f t="shared" si="21"/>
        <v>-29841.835288904549</v>
      </c>
      <c r="N112" s="240">
        <f t="shared" si="19"/>
        <v>558628.57348171063</v>
      </c>
    </row>
    <row r="113" spans="1:14" x14ac:dyDescent="0.2">
      <c r="A113" s="713">
        <f t="shared" si="20"/>
        <v>55</v>
      </c>
      <c r="C113" s="1006" t="s">
        <v>2910</v>
      </c>
      <c r="D113" s="687">
        <f t="shared" ref="D113:M113" si="22">D73-D93</f>
        <v>0</v>
      </c>
      <c r="E113" s="687">
        <f t="shared" si="22"/>
        <v>54386.918819379658</v>
      </c>
      <c r="F113" s="687">
        <f t="shared" si="22"/>
        <v>-558796.07315974892</v>
      </c>
      <c r="G113" s="687">
        <f t="shared" si="22"/>
        <v>-2353542.2985992539</v>
      </c>
      <c r="H113" s="687">
        <f t="shared" si="22"/>
        <v>-1527999.5022246011</v>
      </c>
      <c r="I113" s="687">
        <f t="shared" si="22"/>
        <v>-1846424.1947389077</v>
      </c>
      <c r="J113" s="687">
        <f t="shared" si="22"/>
        <v>-1834804.6950798503</v>
      </c>
      <c r="K113" s="687">
        <f t="shared" si="22"/>
        <v>-1439.1559654668101</v>
      </c>
      <c r="L113" s="687">
        <f t="shared" si="22"/>
        <v>-1414940.0214629641</v>
      </c>
      <c r="M113" s="687">
        <f t="shared" si="22"/>
        <v>-49976.458529632502</v>
      </c>
      <c r="N113" s="240">
        <f t="shared" si="19"/>
        <v>-9533535.480941046</v>
      </c>
    </row>
    <row r="114" spans="1:14" x14ac:dyDescent="0.2">
      <c r="A114" s="713">
        <f t="shared" si="20"/>
        <v>56</v>
      </c>
      <c r="C114" s="1007" t="s">
        <v>2911</v>
      </c>
      <c r="D114" s="687">
        <f t="shared" ref="D114:M114" si="23">D74-D94</f>
        <v>0</v>
      </c>
      <c r="E114" s="687">
        <f t="shared" si="23"/>
        <v>54224.750261894136</v>
      </c>
      <c r="F114" s="687">
        <f t="shared" si="23"/>
        <v>-73749.940328296914</v>
      </c>
      <c r="G114" s="687">
        <f t="shared" si="23"/>
        <v>832908.28151194518</v>
      </c>
      <c r="H114" s="687">
        <f t="shared" si="23"/>
        <v>-1344974.7885163284</v>
      </c>
      <c r="I114" s="687">
        <f t="shared" si="23"/>
        <v>1804.5389340581605</v>
      </c>
      <c r="J114" s="687">
        <f t="shared" si="23"/>
        <v>-1332829.3733998323</v>
      </c>
      <c r="K114" s="687">
        <f t="shared" si="23"/>
        <v>4924.4606503129307</v>
      </c>
      <c r="L114" s="687">
        <f t="shared" si="23"/>
        <v>261585.00070761185</v>
      </c>
      <c r="M114" s="687">
        <f t="shared" si="23"/>
        <v>-44042.621851875687</v>
      </c>
      <c r="N114" s="240">
        <f t="shared" si="19"/>
        <v>-1640149.6920305109</v>
      </c>
    </row>
    <row r="115" spans="1:14" x14ac:dyDescent="0.2">
      <c r="A115" s="713">
        <f t="shared" si="20"/>
        <v>57</v>
      </c>
      <c r="C115" s="1006" t="s">
        <v>2912</v>
      </c>
      <c r="D115" s="687">
        <f t="shared" ref="D115:M115" si="24">D75-D95</f>
        <v>0</v>
      </c>
      <c r="E115" s="687">
        <f t="shared" si="24"/>
        <v>54224.737471535322</v>
      </c>
      <c r="F115" s="687">
        <f t="shared" si="24"/>
        <v>353387.86646138201</v>
      </c>
      <c r="G115" s="687">
        <f t="shared" si="24"/>
        <v>493207.33224348119</v>
      </c>
      <c r="H115" s="687">
        <f t="shared" si="24"/>
        <v>-295059.84644602821</v>
      </c>
      <c r="I115" s="687">
        <f t="shared" si="24"/>
        <v>961527.08221642673</v>
      </c>
      <c r="J115" s="687">
        <f t="shared" si="24"/>
        <v>936386.26242343173</v>
      </c>
      <c r="K115" s="687">
        <f t="shared" si="24"/>
        <v>77243.467144580922</v>
      </c>
      <c r="L115" s="687">
        <f t="shared" si="24"/>
        <v>486914.84844151454</v>
      </c>
      <c r="M115" s="687">
        <f t="shared" si="24"/>
        <v>21467.431383542738</v>
      </c>
      <c r="N115" s="240">
        <f t="shared" si="19"/>
        <v>3089299.1813398674</v>
      </c>
    </row>
    <row r="116" spans="1:14" x14ac:dyDescent="0.2">
      <c r="A116" s="713">
        <f t="shared" si="20"/>
        <v>58</v>
      </c>
      <c r="C116" s="1006" t="s">
        <v>2913</v>
      </c>
      <c r="D116" s="687">
        <f t="shared" ref="D116:M116" si="25">D76-D96</f>
        <v>0</v>
      </c>
      <c r="E116" s="687">
        <f t="shared" si="25"/>
        <v>54229.887006280958</v>
      </c>
      <c r="F116" s="687">
        <f t="shared" si="25"/>
        <v>53077.189281991741</v>
      </c>
      <c r="G116" s="687">
        <f t="shared" si="25"/>
        <v>-684868.01452553459</v>
      </c>
      <c r="H116" s="687">
        <f t="shared" si="25"/>
        <v>-1992869.6734844728</v>
      </c>
      <c r="I116" s="687">
        <f t="shared" si="25"/>
        <v>-563905.26956109121</v>
      </c>
      <c r="J116" s="687">
        <f t="shared" si="25"/>
        <v>-2688162.4045259552</v>
      </c>
      <c r="K116" s="687">
        <f t="shared" si="25"/>
        <v>17728.250739236108</v>
      </c>
      <c r="L116" s="687">
        <f t="shared" si="25"/>
        <v>-518233.94527907367</v>
      </c>
      <c r="M116" s="687">
        <f t="shared" si="25"/>
        <v>-32424.364771354776</v>
      </c>
      <c r="N116" s="240">
        <f t="shared" si="19"/>
        <v>-6355428.3451199736</v>
      </c>
    </row>
    <row r="117" spans="1:14" x14ac:dyDescent="0.2">
      <c r="A117" s="713">
        <f t="shared" si="20"/>
        <v>59</v>
      </c>
      <c r="C117" s="1007" t="s">
        <v>2914</v>
      </c>
      <c r="D117" s="687">
        <f t="shared" ref="D117:M117" si="26">D77-D97</f>
        <v>0</v>
      </c>
      <c r="E117" s="687">
        <f t="shared" si="26"/>
        <v>54234.159269209777</v>
      </c>
      <c r="F117" s="687">
        <f t="shared" si="26"/>
        <v>17117.396489740873</v>
      </c>
      <c r="G117" s="687">
        <f t="shared" si="26"/>
        <v>1020005.0877154525</v>
      </c>
      <c r="H117" s="687">
        <f t="shared" si="26"/>
        <v>-1207635.0702954682</v>
      </c>
      <c r="I117" s="687">
        <f t="shared" si="26"/>
        <v>-513222.97130931757</v>
      </c>
      <c r="J117" s="687">
        <f t="shared" si="26"/>
        <v>-1319850.5122215762</v>
      </c>
      <c r="K117" s="687">
        <f t="shared" si="26"/>
        <v>14368.294634663807</v>
      </c>
      <c r="L117" s="687">
        <f t="shared" si="26"/>
        <v>278104.45071071305</v>
      </c>
      <c r="M117" s="687">
        <f t="shared" si="26"/>
        <v>-38871.091617672755</v>
      </c>
      <c r="N117" s="240">
        <f t="shared" si="19"/>
        <v>-1695750.2566242544</v>
      </c>
    </row>
    <row r="118" spans="1:14" x14ac:dyDescent="0.2">
      <c r="A118" s="713">
        <f t="shared" si="20"/>
        <v>60</v>
      </c>
      <c r="C118" s="1006" t="s">
        <v>2915</v>
      </c>
      <c r="D118" s="687">
        <f t="shared" ref="D118:M118" si="27">D78-D98</f>
        <v>0</v>
      </c>
      <c r="E118" s="687">
        <f t="shared" si="27"/>
        <v>54261.056718146559</v>
      </c>
      <c r="F118" s="687">
        <f t="shared" si="27"/>
        <v>168301.68273275875</v>
      </c>
      <c r="G118" s="687">
        <f t="shared" si="27"/>
        <v>-1591200.5576106929</v>
      </c>
      <c r="H118" s="687">
        <f t="shared" si="27"/>
        <v>-127013.22627164028</v>
      </c>
      <c r="I118" s="687">
        <f t="shared" si="27"/>
        <v>-536956.53313171328</v>
      </c>
      <c r="J118" s="687">
        <f t="shared" si="27"/>
        <v>-143347.29453459615</v>
      </c>
      <c r="K118" s="687">
        <f t="shared" si="27"/>
        <v>56387.141313297674</v>
      </c>
      <c r="L118" s="687">
        <f t="shared" si="27"/>
        <v>521131.78135610983</v>
      </c>
      <c r="M118" s="687">
        <f t="shared" si="27"/>
        <v>-1094.591759468829</v>
      </c>
      <c r="N118" s="240">
        <f t="shared" si="19"/>
        <v>-1599530.5411877986</v>
      </c>
    </row>
    <row r="119" spans="1:14" x14ac:dyDescent="0.2">
      <c r="A119" s="713">
        <f t="shared" si="20"/>
        <v>61</v>
      </c>
      <c r="C119" s="1006" t="s">
        <v>2916</v>
      </c>
      <c r="D119" s="687">
        <f t="shared" ref="D119:M119" si="28">D79-D99</f>
        <v>0</v>
      </c>
      <c r="E119" s="687">
        <f t="shared" si="28"/>
        <v>54270.189482233152</v>
      </c>
      <c r="F119" s="687">
        <f t="shared" si="28"/>
        <v>1214963.0914599521</v>
      </c>
      <c r="G119" s="687">
        <f t="shared" si="28"/>
        <v>5885581.7648688536</v>
      </c>
      <c r="H119" s="687">
        <f t="shared" si="28"/>
        <v>-145358.01086559915</v>
      </c>
      <c r="I119" s="687">
        <f t="shared" si="28"/>
        <v>1090236.2153918247</v>
      </c>
      <c r="J119" s="687">
        <f t="shared" si="28"/>
        <v>1640581.4777031876</v>
      </c>
      <c r="K119" s="687">
        <f t="shared" si="28"/>
        <v>96945.212391813431</v>
      </c>
      <c r="L119" s="687">
        <f t="shared" si="28"/>
        <v>759439.19900482614</v>
      </c>
      <c r="M119" s="687">
        <f t="shared" si="28"/>
        <v>159203.03178877194</v>
      </c>
      <c r="N119" s="240">
        <f t="shared" si="19"/>
        <v>10755862.171225866</v>
      </c>
    </row>
    <row r="120" spans="1:14" x14ac:dyDescent="0.2">
      <c r="A120" s="713">
        <f t="shared" si="20"/>
        <v>62</v>
      </c>
      <c r="C120" s="1007" t="s">
        <v>2917</v>
      </c>
      <c r="D120" s="687">
        <f t="shared" ref="D120:M120" si="29">D80-D100</f>
        <v>0</v>
      </c>
      <c r="E120" s="687">
        <f t="shared" si="29"/>
        <v>54276.587871814554</v>
      </c>
      <c r="F120" s="687">
        <f t="shared" si="29"/>
        <v>-798663.21880520135</v>
      </c>
      <c r="G120" s="687">
        <f t="shared" si="29"/>
        <v>-32924704.57743201</v>
      </c>
      <c r="H120" s="687">
        <f t="shared" si="29"/>
        <v>9340683.4617458824</v>
      </c>
      <c r="I120" s="687">
        <f t="shared" si="29"/>
        <v>-6934204.2945347717</v>
      </c>
      <c r="J120" s="687">
        <f t="shared" si="29"/>
        <v>10406950.083533019</v>
      </c>
      <c r="K120" s="687">
        <f t="shared" si="29"/>
        <v>456808.92400888243</v>
      </c>
      <c r="L120" s="687">
        <f t="shared" si="29"/>
        <v>2370579.270442185</v>
      </c>
      <c r="M120" s="687">
        <f t="shared" si="29"/>
        <v>468982.3929008001</v>
      </c>
      <c r="N120" s="240">
        <f t="shared" si="19"/>
        <v>-17559291.370269403</v>
      </c>
    </row>
    <row r="121" spans="1:14" x14ac:dyDescent="0.2">
      <c r="A121" s="713">
        <f t="shared" si="20"/>
        <v>63</v>
      </c>
      <c r="C121" s="1007" t="s">
        <v>2918</v>
      </c>
      <c r="D121" s="687">
        <f t="shared" ref="D121:M121" si="30">D81-D101</f>
        <v>0</v>
      </c>
      <c r="E121" s="687">
        <f t="shared" si="30"/>
        <v>54311.227416013586</v>
      </c>
      <c r="F121" s="687">
        <f t="shared" si="30"/>
        <v>28396.867671317188</v>
      </c>
      <c r="G121" s="687">
        <f t="shared" si="30"/>
        <v>-9492341.3179268595</v>
      </c>
      <c r="H121" s="687">
        <f t="shared" si="30"/>
        <v>65890.346693359083</v>
      </c>
      <c r="I121" s="687">
        <f t="shared" si="30"/>
        <v>-1760966.9741825946</v>
      </c>
      <c r="J121" s="687">
        <f t="shared" si="30"/>
        <v>-118055.40948094637</v>
      </c>
      <c r="K121" s="687">
        <f t="shared" si="30"/>
        <v>-16045.466343655593</v>
      </c>
      <c r="L121" s="687">
        <f t="shared" si="30"/>
        <v>464753.18166924134</v>
      </c>
      <c r="M121" s="687">
        <f t="shared" si="30"/>
        <v>12232.139573961642</v>
      </c>
      <c r="N121" s="240">
        <f t="shared" si="19"/>
        <v>-10761825.404910164</v>
      </c>
    </row>
    <row r="122" spans="1:14" x14ac:dyDescent="0.2">
      <c r="A122" s="713">
        <f t="shared" si="20"/>
        <v>64</v>
      </c>
      <c r="C122" s="1006" t="s">
        <v>2919</v>
      </c>
      <c r="D122" s="116">
        <f t="shared" ref="D122:M122" si="31">D82-D102</f>
        <v>0</v>
      </c>
      <c r="E122" s="116">
        <f t="shared" si="31"/>
        <v>53204.400376948703</v>
      </c>
      <c r="F122" s="116">
        <f t="shared" si="31"/>
        <v>184994.45892901276</v>
      </c>
      <c r="G122" s="116">
        <f t="shared" si="31"/>
        <v>-7306085.7259007301</v>
      </c>
      <c r="H122" s="116">
        <f t="shared" si="31"/>
        <v>86031.600929284235</v>
      </c>
      <c r="I122" s="116">
        <f t="shared" si="31"/>
        <v>-319234.02611814678</v>
      </c>
      <c r="J122" s="116">
        <f t="shared" si="31"/>
        <v>162364.87500422704</v>
      </c>
      <c r="K122" s="116">
        <f t="shared" si="31"/>
        <v>118341.25017783769</v>
      </c>
      <c r="L122" s="116">
        <f t="shared" si="31"/>
        <v>-187359.50587728628</v>
      </c>
      <c r="M122" s="116">
        <f t="shared" si="31"/>
        <v>5806.741560127819</v>
      </c>
      <c r="N122" s="385">
        <f t="shared" si="19"/>
        <v>-7201935.9309187252</v>
      </c>
    </row>
    <row r="123" spans="1:14" x14ac:dyDescent="0.2">
      <c r="A123" s="713">
        <f t="shared" si="20"/>
        <v>65</v>
      </c>
      <c r="C123" s="717" t="s">
        <v>4</v>
      </c>
      <c r="D123" s="240">
        <f>SUM(D111:D122)</f>
        <v>0</v>
      </c>
      <c r="E123" s="240">
        <f t="shared" ref="E123:M123" si="32">SUM(E111:E122)</f>
        <v>649942.17465301766</v>
      </c>
      <c r="F123" s="240">
        <f t="shared" si="32"/>
        <v>612547.93534454959</v>
      </c>
      <c r="G123" s="240">
        <f t="shared" si="32"/>
        <v>-45822373.103287332</v>
      </c>
      <c r="H123" s="240">
        <f t="shared" si="32"/>
        <v>1135208.7071031476</v>
      </c>
      <c r="I123" s="240">
        <f t="shared" si="32"/>
        <v>-9376188.1979205105</v>
      </c>
      <c r="J123" s="240">
        <f t="shared" si="32"/>
        <v>4518888.0788228353</v>
      </c>
      <c r="K123" s="240">
        <f t="shared" si="32"/>
        <v>871272.66402470449</v>
      </c>
      <c r="L123" s="240">
        <f t="shared" si="32"/>
        <v>3745798.0509023243</v>
      </c>
      <c r="M123" s="240">
        <f t="shared" si="32"/>
        <v>445058.04652704729</v>
      </c>
      <c r="N123" s="240">
        <f>SUM(N111:N122)</f>
        <v>-43219845.64383021</v>
      </c>
    </row>
    <row r="125" spans="1:14" x14ac:dyDescent="0.2">
      <c r="C125" s="1" t="s">
        <v>1989</v>
      </c>
    </row>
    <row r="127" spans="1:14" x14ac:dyDescent="0.2">
      <c r="C127" s="630" t="s">
        <v>1995</v>
      </c>
    </row>
    <row r="128" spans="1:14" x14ac:dyDescent="0.2">
      <c r="C128" s="16"/>
      <c r="D128" s="86">
        <v>350.1</v>
      </c>
      <c r="E128" s="86">
        <v>350.2</v>
      </c>
      <c r="F128" s="86">
        <v>352</v>
      </c>
      <c r="G128" s="86">
        <v>353</v>
      </c>
      <c r="H128" s="86">
        <v>354</v>
      </c>
      <c r="I128" s="86">
        <v>355</v>
      </c>
      <c r="J128" s="86">
        <v>356</v>
      </c>
      <c r="K128" s="86">
        <v>357</v>
      </c>
      <c r="L128" s="86">
        <v>358</v>
      </c>
      <c r="M128" s="86">
        <v>359</v>
      </c>
      <c r="N128" s="3" t="s">
        <v>224</v>
      </c>
    </row>
    <row r="129" spans="1:14" x14ac:dyDescent="0.2">
      <c r="A129" s="713">
        <f>A123+1</f>
        <v>66</v>
      </c>
      <c r="C129" s="16"/>
      <c r="D129" s="7">
        <f t="shared" ref="D129:M129" si="33">D24-D12</f>
        <v>0</v>
      </c>
      <c r="E129" s="7">
        <f t="shared" si="33"/>
        <v>1349088.6966444859</v>
      </c>
      <c r="F129" s="7">
        <f t="shared" si="33"/>
        <v>-2128526.0595872775</v>
      </c>
      <c r="G129" s="7">
        <f t="shared" si="33"/>
        <v>-2218503.3304763436</v>
      </c>
      <c r="H129" s="7">
        <f t="shared" si="33"/>
        <v>13099925.763269246</v>
      </c>
      <c r="I129" s="7">
        <f t="shared" si="33"/>
        <v>-643323.39605495334</v>
      </c>
      <c r="J129" s="7">
        <f t="shared" si="33"/>
        <v>12156905.59487772</v>
      </c>
      <c r="K129" s="7">
        <f t="shared" si="33"/>
        <v>84155.381831832055</v>
      </c>
      <c r="L129" s="7">
        <f t="shared" si="33"/>
        <v>452278.67225418158</v>
      </c>
      <c r="M129" s="7">
        <f t="shared" si="33"/>
        <v>979283.38456329145</v>
      </c>
      <c r="N129" s="7">
        <f>SUM(D129:M129)</f>
        <v>23131284.70732218</v>
      </c>
    </row>
    <row r="130" spans="1:14" x14ac:dyDescent="0.2">
      <c r="C130" s="16"/>
    </row>
    <row r="131" spans="1:14" x14ac:dyDescent="0.2">
      <c r="C131" s="630" t="s">
        <v>1996</v>
      </c>
    </row>
    <row r="132" spans="1:14" x14ac:dyDescent="0.2">
      <c r="C132" s="16"/>
      <c r="D132" s="86">
        <v>350.1</v>
      </c>
      <c r="E132" s="86">
        <v>350.2</v>
      </c>
      <c r="F132" s="86">
        <v>352</v>
      </c>
      <c r="G132" s="86">
        <v>353</v>
      </c>
      <c r="H132" s="86">
        <v>354</v>
      </c>
      <c r="I132" s="86">
        <v>355</v>
      </c>
      <c r="J132" s="86">
        <v>356</v>
      </c>
      <c r="K132" s="86">
        <v>357</v>
      </c>
      <c r="L132" s="86">
        <v>358</v>
      </c>
      <c r="M132" s="86">
        <v>359</v>
      </c>
      <c r="N132" s="3" t="s">
        <v>224</v>
      </c>
    </row>
    <row r="133" spans="1:14" x14ac:dyDescent="0.2">
      <c r="A133" s="713">
        <f>A129+1</f>
        <v>67</v>
      </c>
      <c r="C133" s="16"/>
      <c r="D133" s="7">
        <f t="shared" ref="D133:M133" si="34">D103</f>
        <v>0</v>
      </c>
      <c r="E133" s="7">
        <f t="shared" si="34"/>
        <v>1348139.4453464414</v>
      </c>
      <c r="F133" s="7">
        <f t="shared" si="34"/>
        <v>4414044.2487993818</v>
      </c>
      <c r="G133" s="7">
        <f t="shared" si="34"/>
        <v>42468124.35587424</v>
      </c>
      <c r="H133" s="7">
        <f t="shared" si="34"/>
        <v>13900140.941499993</v>
      </c>
      <c r="I133" s="7">
        <f t="shared" si="34"/>
        <v>4347492.2310123239</v>
      </c>
      <c r="J133" s="7">
        <f t="shared" si="34"/>
        <v>14181539.610208709</v>
      </c>
      <c r="K133" s="7">
        <f t="shared" si="34"/>
        <v>6931.3494793796399</v>
      </c>
      <c r="L133" s="7">
        <f t="shared" si="34"/>
        <v>107261.70616960246</v>
      </c>
      <c r="M133" s="7">
        <f t="shared" si="34"/>
        <v>764817.3503914302</v>
      </c>
      <c r="N133" s="7">
        <f>SUM(D133:M133)</f>
        <v>81538491.238781497</v>
      </c>
    </row>
    <row r="134" spans="1:14" x14ac:dyDescent="0.2">
      <c r="C134" s="630" t="s">
        <v>1997</v>
      </c>
    </row>
    <row r="135" spans="1:14" x14ac:dyDescent="0.2">
      <c r="D135" s="86">
        <v>350.1</v>
      </c>
      <c r="E135" s="86">
        <v>350.2</v>
      </c>
      <c r="F135" s="86">
        <v>352</v>
      </c>
      <c r="G135" s="86">
        <v>353</v>
      </c>
      <c r="H135" s="86">
        <v>354</v>
      </c>
      <c r="I135" s="86">
        <v>355</v>
      </c>
      <c r="J135" s="86">
        <v>356</v>
      </c>
      <c r="K135" s="86">
        <v>357</v>
      </c>
      <c r="L135" s="86">
        <v>358</v>
      </c>
      <c r="M135" s="86">
        <v>359</v>
      </c>
      <c r="N135" s="3" t="s">
        <v>224</v>
      </c>
    </row>
    <row r="136" spans="1:14" x14ac:dyDescent="0.2">
      <c r="A136" s="713">
        <f>A133+1</f>
        <v>68</v>
      </c>
      <c r="D136" s="7">
        <f t="shared" ref="D136:M136" si="35">D129-D133</f>
        <v>0</v>
      </c>
      <c r="E136" s="7">
        <f t="shared" si="35"/>
        <v>949.25129804457538</v>
      </c>
      <c r="F136" s="7">
        <f t="shared" si="35"/>
        <v>-6542570.3083866592</v>
      </c>
      <c r="G136" s="7">
        <f t="shared" si="35"/>
        <v>-44686627.686350584</v>
      </c>
      <c r="H136" s="7">
        <f t="shared" si="35"/>
        <v>-800215.17823074758</v>
      </c>
      <c r="I136" s="7">
        <f t="shared" si="35"/>
        <v>-4990815.6270672772</v>
      </c>
      <c r="J136" s="7">
        <f t="shared" si="35"/>
        <v>-2024634.0153309889</v>
      </c>
      <c r="K136" s="7">
        <f t="shared" si="35"/>
        <v>77224.032352452414</v>
      </c>
      <c r="L136" s="7">
        <f t="shared" si="35"/>
        <v>345016.96608457912</v>
      </c>
      <c r="M136" s="7">
        <f t="shared" si="35"/>
        <v>214466.03417186125</v>
      </c>
      <c r="N136" s="7">
        <f>SUM(D136:M136)</f>
        <v>-58407206.531459317</v>
      </c>
    </row>
    <row r="138" spans="1:14" x14ac:dyDescent="0.2">
      <c r="C138" s="1" t="s">
        <v>1998</v>
      </c>
      <c r="D138" s="626"/>
      <c r="E138" s="626"/>
      <c r="F138" s="626"/>
      <c r="G138" s="626"/>
      <c r="H138" s="626"/>
      <c r="I138" s="626"/>
      <c r="J138" s="626"/>
      <c r="K138" s="626"/>
      <c r="L138" s="626"/>
    </row>
    <row r="139" spans="1:14" x14ac:dyDescent="0.2">
      <c r="C139" s="626"/>
      <c r="D139" s="626"/>
      <c r="E139" s="626"/>
      <c r="F139" s="626"/>
      <c r="G139" s="626"/>
      <c r="H139" s="626"/>
      <c r="I139" s="626"/>
      <c r="J139" s="626"/>
      <c r="K139" s="626"/>
      <c r="L139" s="626"/>
    </row>
    <row r="140" spans="1:14" x14ac:dyDescent="0.2">
      <c r="C140" s="86" t="s">
        <v>403</v>
      </c>
      <c r="D140" s="86" t="s">
        <v>387</v>
      </c>
      <c r="E140" s="86" t="s">
        <v>388</v>
      </c>
      <c r="F140" s="86" t="s">
        <v>389</v>
      </c>
      <c r="G140" s="86" t="s">
        <v>390</v>
      </c>
      <c r="H140" s="86" t="s">
        <v>391</v>
      </c>
      <c r="I140" s="86" t="s">
        <v>392</v>
      </c>
      <c r="J140" s="86" t="s">
        <v>606</v>
      </c>
      <c r="K140" s="86" t="s">
        <v>1055</v>
      </c>
      <c r="L140" s="86" t="s">
        <v>1072</v>
      </c>
      <c r="M140" s="86" t="s">
        <v>1075</v>
      </c>
      <c r="N140" s="86" t="s">
        <v>1093</v>
      </c>
    </row>
    <row r="141" spans="1:14" x14ac:dyDescent="0.2">
      <c r="C141" s="260"/>
      <c r="D141" s="238"/>
      <c r="E141" s="238"/>
      <c r="F141" s="238"/>
      <c r="G141" s="238"/>
      <c r="H141" s="238"/>
      <c r="I141" s="238"/>
      <c r="J141" s="238"/>
      <c r="K141" s="238"/>
      <c r="L141" s="238"/>
      <c r="N141" s="260" t="s">
        <v>1488</v>
      </c>
    </row>
    <row r="142" spans="1:14" x14ac:dyDescent="0.2">
      <c r="C142" s="115"/>
      <c r="D142" s="86"/>
      <c r="E142" s="86"/>
      <c r="F142" s="238"/>
      <c r="G142" s="238"/>
      <c r="H142" s="238"/>
      <c r="I142" s="238"/>
      <c r="J142" s="238"/>
      <c r="K142" s="238"/>
      <c r="L142" s="238"/>
      <c r="M142" s="238"/>
    </row>
    <row r="143" spans="1:14" x14ac:dyDescent="0.2">
      <c r="C143" s="129" t="s">
        <v>2295</v>
      </c>
      <c r="D143" s="86">
        <v>350.1</v>
      </c>
      <c r="E143" s="86">
        <v>350.2</v>
      </c>
      <c r="F143" s="86">
        <v>352</v>
      </c>
      <c r="G143" s="86">
        <v>353</v>
      </c>
      <c r="H143" s="86">
        <v>354</v>
      </c>
      <c r="I143" s="86">
        <v>355</v>
      </c>
      <c r="J143" s="86">
        <v>356</v>
      </c>
      <c r="K143" s="86">
        <v>357</v>
      </c>
      <c r="L143" s="86">
        <v>358</v>
      </c>
      <c r="M143" s="86">
        <v>359</v>
      </c>
      <c r="N143" s="3" t="s">
        <v>224</v>
      </c>
    </row>
    <row r="144" spans="1:14" x14ac:dyDescent="0.2">
      <c r="A144" s="713">
        <f>A136+1</f>
        <v>69</v>
      </c>
      <c r="C144" s="1007" t="s">
        <v>2908</v>
      </c>
      <c r="D144" s="242">
        <v>0</v>
      </c>
      <c r="E144" s="242">
        <f t="shared" ref="E144:M144" si="36">E111*(E$136/E$123)</f>
        <v>79.089220108652583</v>
      </c>
      <c r="F144" s="242">
        <f t="shared" si="36"/>
        <v>-502351.96378088108</v>
      </c>
      <c r="G144" s="242">
        <f t="shared" si="36"/>
        <v>-931999.41336335347</v>
      </c>
      <c r="H144" s="242">
        <f t="shared" si="36"/>
        <v>567046.28849662642</v>
      </c>
      <c r="I144" s="242">
        <f t="shared" si="36"/>
        <v>300538.6377869788</v>
      </c>
      <c r="J144" s="242">
        <f t="shared" si="36"/>
        <v>247423.74079919056</v>
      </c>
      <c r="K144" s="242">
        <f t="shared" si="36"/>
        <v>2207.1671121949312</v>
      </c>
      <c r="L144" s="242">
        <f t="shared" si="36"/>
        <v>34249.60354692988</v>
      </c>
      <c r="M144" s="242">
        <f t="shared" si="36"/>
        <v>-12713.39512839792</v>
      </c>
      <c r="N144" s="240">
        <f t="shared" ref="N144:N155" si="37">SUM(D144:M144)</f>
        <v>-295520.24531060312</v>
      </c>
    </row>
    <row r="145" spans="1:14" x14ac:dyDescent="0.2">
      <c r="A145" s="713">
        <f t="shared" ref="A145:A156" si="38">A144+1</f>
        <v>70</v>
      </c>
      <c r="C145" s="1006" t="s">
        <v>2909</v>
      </c>
      <c r="D145" s="242">
        <v>0</v>
      </c>
      <c r="E145" s="242">
        <f t="shared" ref="E145:M145" si="39">E112*(E$136/E$123)</f>
        <v>79.11139046633599</v>
      </c>
      <c r="F145" s="242">
        <f t="shared" si="39"/>
        <v>251151.72168723558</v>
      </c>
      <c r="G145" s="242">
        <f t="shared" si="39"/>
        <v>1223263.6290338039</v>
      </c>
      <c r="H145" s="242">
        <f t="shared" si="39"/>
        <v>642915.02459121426</v>
      </c>
      <c r="I145" s="242">
        <f t="shared" si="39"/>
        <v>255784.66892476083</v>
      </c>
      <c r="J145" s="242">
        <f t="shared" si="39"/>
        <v>285896.13666364667</v>
      </c>
      <c r="K145" s="242">
        <f t="shared" si="39"/>
        <v>1870.8900852733532</v>
      </c>
      <c r="L145" s="242">
        <f t="shared" si="39"/>
        <v>32420.164823488038</v>
      </c>
      <c r="M145" s="242">
        <f t="shared" si="39"/>
        <v>-14380.281666095683</v>
      </c>
      <c r="N145" s="240">
        <f t="shared" si="37"/>
        <v>2679001.0655337935</v>
      </c>
    </row>
    <row r="146" spans="1:14" x14ac:dyDescent="0.2">
      <c r="A146" s="713">
        <f t="shared" si="38"/>
        <v>71</v>
      </c>
      <c r="C146" s="1006" t="s">
        <v>2910</v>
      </c>
      <c r="D146" s="242">
        <v>0</v>
      </c>
      <c r="E146" s="242">
        <f t="shared" ref="E146:M146" si="40">E113*(E$136/E$123)</f>
        <v>79.432994656029095</v>
      </c>
      <c r="F146" s="242">
        <f t="shared" si="40"/>
        <v>5968451.4235471301</v>
      </c>
      <c r="G146" s="242">
        <f t="shared" si="40"/>
        <v>-2295207.8061194411</v>
      </c>
      <c r="H146" s="242">
        <f t="shared" si="40"/>
        <v>1077095.6797268935</v>
      </c>
      <c r="I146" s="242">
        <f t="shared" si="40"/>
        <v>-982826.12622278964</v>
      </c>
      <c r="J146" s="242">
        <f t="shared" si="40"/>
        <v>822062.40392556274</v>
      </c>
      <c r="K146" s="242">
        <f t="shared" si="40"/>
        <v>-127.5575734512917</v>
      </c>
      <c r="L146" s="242">
        <f t="shared" si="40"/>
        <v>-130326.91745867186</v>
      </c>
      <c r="M146" s="242">
        <f t="shared" si="40"/>
        <v>-24082.820087049917</v>
      </c>
      <c r="N146" s="240">
        <f t="shared" si="37"/>
        <v>4435117.7127328385</v>
      </c>
    </row>
    <row r="147" spans="1:14" x14ac:dyDescent="0.2">
      <c r="A147" s="713">
        <f t="shared" si="38"/>
        <v>72</v>
      </c>
      <c r="C147" s="1007" t="s">
        <v>2911</v>
      </c>
      <c r="D147" s="242">
        <v>0</v>
      </c>
      <c r="E147" s="242">
        <f t="shared" ref="E147:M147" si="41">E114*(E$136/E$123)</f>
        <v>79.196144795074417</v>
      </c>
      <c r="F147" s="242">
        <f t="shared" si="41"/>
        <v>787716.58836103301</v>
      </c>
      <c r="G147" s="242">
        <f t="shared" si="41"/>
        <v>812263.96085828636</v>
      </c>
      <c r="H147" s="242">
        <f t="shared" si="41"/>
        <v>948080.50129821943</v>
      </c>
      <c r="I147" s="242">
        <f t="shared" si="41"/>
        <v>960.53117979715989</v>
      </c>
      <c r="J147" s="242">
        <f t="shared" si="41"/>
        <v>597158.33606583637</v>
      </c>
      <c r="K147" s="242">
        <f t="shared" si="41"/>
        <v>436.47267299936982</v>
      </c>
      <c r="L147" s="242">
        <f t="shared" si="41"/>
        <v>24094.001355901211</v>
      </c>
      <c r="M147" s="242">
        <f t="shared" si="41"/>
        <v>-21223.403366843067</v>
      </c>
      <c r="N147" s="240">
        <f t="shared" si="37"/>
        <v>3149566.1845700247</v>
      </c>
    </row>
    <row r="148" spans="1:14" x14ac:dyDescent="0.2">
      <c r="A148" s="713">
        <f t="shared" si="38"/>
        <v>73</v>
      </c>
      <c r="C148" s="1006" t="s">
        <v>2912</v>
      </c>
      <c r="D148" s="242">
        <v>0</v>
      </c>
      <c r="E148" s="242">
        <f t="shared" ref="E148:M148" si="42">E115*(E$136/E$123)</f>
        <v>79.196126114543787</v>
      </c>
      <c r="F148" s="242">
        <f t="shared" si="42"/>
        <v>-3774504.5392306214</v>
      </c>
      <c r="G148" s="242">
        <f t="shared" si="42"/>
        <v>480982.78058325849</v>
      </c>
      <c r="H148" s="242">
        <f t="shared" si="42"/>
        <v>207989.39096852069</v>
      </c>
      <c r="I148" s="242">
        <f t="shared" si="42"/>
        <v>511807.60096501088</v>
      </c>
      <c r="J148" s="242">
        <f t="shared" si="42"/>
        <v>-419536.71906054229</v>
      </c>
      <c r="K148" s="242">
        <f t="shared" si="42"/>
        <v>6846.3665303512571</v>
      </c>
      <c r="L148" s="242">
        <f t="shared" si="42"/>
        <v>44848.622768212503</v>
      </c>
      <c r="M148" s="242">
        <f t="shared" si="42"/>
        <v>10344.796389172046</v>
      </c>
      <c r="N148" s="240">
        <f t="shared" si="37"/>
        <v>-2931142.5039605233</v>
      </c>
    </row>
    <row r="149" spans="1:14" x14ac:dyDescent="0.2">
      <c r="A149" s="713">
        <f t="shared" si="38"/>
        <v>74</v>
      </c>
      <c r="C149" s="1006" t="s">
        <v>2913</v>
      </c>
      <c r="D149" s="242">
        <v>0</v>
      </c>
      <c r="E149" s="242">
        <f t="shared" ref="E149:M149" si="43">E116*(E$136/E$123)</f>
        <v>79.203647095228305</v>
      </c>
      <c r="F149" s="242">
        <f t="shared" si="43"/>
        <v>-566912.76324953767</v>
      </c>
      <c r="G149" s="242">
        <f t="shared" si="43"/>
        <v>-667892.99433287361</v>
      </c>
      <c r="H149" s="242">
        <f t="shared" si="43"/>
        <v>1404785.3500238603</v>
      </c>
      <c r="I149" s="242">
        <f t="shared" si="43"/>
        <v>-300158.99554312025</v>
      </c>
      <c r="J149" s="242">
        <f t="shared" si="43"/>
        <v>1204399.1681145967</v>
      </c>
      <c r="K149" s="242">
        <f t="shared" si="43"/>
        <v>1571.3186757347171</v>
      </c>
      <c r="L149" s="242">
        <f t="shared" si="43"/>
        <v>-47733.353772010436</v>
      </c>
      <c r="M149" s="242">
        <f t="shared" si="43"/>
        <v>-15624.759460745217</v>
      </c>
      <c r="N149" s="240">
        <f t="shared" si="37"/>
        <v>1012512.1741030001</v>
      </c>
    </row>
    <row r="150" spans="1:14" x14ac:dyDescent="0.2">
      <c r="A150" s="713">
        <f t="shared" si="38"/>
        <v>75</v>
      </c>
      <c r="C150" s="1007" t="s">
        <v>2914</v>
      </c>
      <c r="D150" s="242">
        <v>0</v>
      </c>
      <c r="E150" s="242">
        <f t="shared" ref="E150:M150" si="44">E117*(E$136/E$123)</f>
        <v>79.209886805911694</v>
      </c>
      <c r="F150" s="242">
        <f t="shared" si="44"/>
        <v>-182829.39761712993</v>
      </c>
      <c r="G150" s="242">
        <f t="shared" si="44"/>
        <v>994723.4179727328</v>
      </c>
      <c r="H150" s="242">
        <f t="shared" si="44"/>
        <v>851268.94021117047</v>
      </c>
      <c r="I150" s="242">
        <f t="shared" si="44"/>
        <v>-273181.50737935497</v>
      </c>
      <c r="J150" s="242">
        <f t="shared" si="44"/>
        <v>591343.31180247793</v>
      </c>
      <c r="K150" s="242">
        <f t="shared" si="44"/>
        <v>1273.5136720476573</v>
      </c>
      <c r="L150" s="242">
        <f t="shared" si="44"/>
        <v>25615.570443183671</v>
      </c>
      <c r="M150" s="242">
        <f t="shared" si="44"/>
        <v>-18731.329381024283</v>
      </c>
      <c r="N150" s="240">
        <f t="shared" si="37"/>
        <v>1989561.7296109095</v>
      </c>
    </row>
    <row r="151" spans="1:14" x14ac:dyDescent="0.2">
      <c r="A151" s="713">
        <f t="shared" si="38"/>
        <v>76</v>
      </c>
      <c r="C151" s="1006" t="s">
        <v>2915</v>
      </c>
      <c r="D151" s="242">
        <v>0</v>
      </c>
      <c r="E151" s="242">
        <f t="shared" ref="E151:M151" si="45">E118*(E$136/E$123)</f>
        <v>79.249170975047136</v>
      </c>
      <c r="F151" s="242">
        <f t="shared" si="45"/>
        <v>-1797615.3844669992</v>
      </c>
      <c r="G151" s="242">
        <f t="shared" si="45"/>
        <v>-1551761.3357122554</v>
      </c>
      <c r="H151" s="242">
        <f t="shared" si="45"/>
        <v>89532.357233221817</v>
      </c>
      <c r="I151" s="242">
        <f t="shared" si="45"/>
        <v>-285814.55491731397</v>
      </c>
      <c r="J151" s="242">
        <f t="shared" si="45"/>
        <v>64225.0490514509</v>
      </c>
      <c r="K151" s="242">
        <f t="shared" si="45"/>
        <v>4997.7952997236898</v>
      </c>
      <c r="L151" s="242">
        <f t="shared" si="45"/>
        <v>48000.26688316137</v>
      </c>
      <c r="M151" s="242">
        <f t="shared" si="45"/>
        <v>-527.46547449785987</v>
      </c>
      <c r="N151" s="240">
        <f t="shared" si="37"/>
        <v>-3428884.0229325336</v>
      </c>
    </row>
    <row r="152" spans="1:14" x14ac:dyDescent="0.2">
      <c r="A152" s="713">
        <f t="shared" si="38"/>
        <v>77</v>
      </c>
      <c r="C152" s="1006" t="s">
        <v>2916</v>
      </c>
      <c r="D152" s="242">
        <v>0</v>
      </c>
      <c r="E152" s="242">
        <f t="shared" ref="E152:M152" si="46">E119*(E$136/E$123)</f>
        <v>79.26250952807851</v>
      </c>
      <c r="F152" s="242">
        <f t="shared" si="46"/>
        <v>-12976913.298222704</v>
      </c>
      <c r="G152" s="242">
        <f t="shared" si="46"/>
        <v>5739702.7528764177</v>
      </c>
      <c r="H152" s="242">
        <f t="shared" si="46"/>
        <v>102463.7019116111</v>
      </c>
      <c r="I152" s="242">
        <f t="shared" si="46"/>
        <v>580317.69692709122</v>
      </c>
      <c r="J152" s="242">
        <f t="shared" si="46"/>
        <v>-735043.00322151789</v>
      </c>
      <c r="K152" s="242">
        <f t="shared" si="46"/>
        <v>8592.6031279095605</v>
      </c>
      <c r="L152" s="242">
        <f t="shared" si="46"/>
        <v>69950.222837889043</v>
      </c>
      <c r="M152" s="242">
        <f t="shared" si="46"/>
        <v>76717.280189202647</v>
      </c>
      <c r="N152" s="240">
        <f t="shared" si="37"/>
        <v>-7134132.7810645709</v>
      </c>
    </row>
    <row r="153" spans="1:14" x14ac:dyDescent="0.2">
      <c r="A153" s="713">
        <f t="shared" si="38"/>
        <v>78</v>
      </c>
      <c r="C153" s="1007" t="s">
        <v>2917</v>
      </c>
      <c r="D153" s="242">
        <v>0</v>
      </c>
      <c r="E153" s="242">
        <f t="shared" ref="E153:M153" si="47">E120*(E$136/E$123)</f>
        <v>79.27185448191041</v>
      </c>
      <c r="F153" s="242">
        <f t="shared" si="47"/>
        <v>8530451.1863488108</v>
      </c>
      <c r="G153" s="242">
        <f t="shared" si="47"/>
        <v>-32108638.542538412</v>
      </c>
      <c r="H153" s="242">
        <f t="shared" si="47"/>
        <v>-6584301.7538261553</v>
      </c>
      <c r="I153" s="242">
        <f t="shared" si="47"/>
        <v>-3690981.2840698441</v>
      </c>
      <c r="J153" s="242">
        <f t="shared" si="47"/>
        <v>-4662710.1108601484</v>
      </c>
      <c r="K153" s="242">
        <f t="shared" si="47"/>
        <v>40488.619215477491</v>
      </c>
      <c r="L153" s="242">
        <f t="shared" si="47"/>
        <v>218348.68207962689</v>
      </c>
      <c r="M153" s="242">
        <f t="shared" si="47"/>
        <v>225994.77683132215</v>
      </c>
      <c r="N153" s="240">
        <f t="shared" si="37"/>
        <v>-38031269.154964834</v>
      </c>
    </row>
    <row r="154" spans="1:14" x14ac:dyDescent="0.2">
      <c r="A154" s="713">
        <f t="shared" si="38"/>
        <v>79</v>
      </c>
      <c r="C154" s="1007" t="s">
        <v>2918</v>
      </c>
      <c r="D154" s="242">
        <v>0</v>
      </c>
      <c r="E154" s="242">
        <f t="shared" ref="E154:M154" si="48">E121*(E$136/E$123)</f>
        <v>79.322446109253505</v>
      </c>
      <c r="F154" s="242">
        <f t="shared" si="48"/>
        <v>-303304.4314695819</v>
      </c>
      <c r="G154" s="242">
        <f t="shared" si="48"/>
        <v>-9257065.7872699518</v>
      </c>
      <c r="H154" s="242">
        <f t="shared" si="48"/>
        <v>-46446.486177383806</v>
      </c>
      <c r="I154" s="242">
        <f t="shared" si="48"/>
        <v>-937338.42665925343</v>
      </c>
      <c r="J154" s="242">
        <f t="shared" si="48"/>
        <v>52893.321002811092</v>
      </c>
      <c r="K154" s="242">
        <f t="shared" si="48"/>
        <v>-1422.1674375835944</v>
      </c>
      <c r="L154" s="242">
        <f t="shared" si="48"/>
        <v>42807.361886220948</v>
      </c>
      <c r="M154" s="242">
        <f t="shared" si="48"/>
        <v>5894.463619600695</v>
      </c>
      <c r="N154" s="240">
        <f t="shared" si="37"/>
        <v>-10443902.830059012</v>
      </c>
    </row>
    <row r="155" spans="1:14" x14ac:dyDescent="0.2">
      <c r="A155" s="713">
        <f t="shared" si="38"/>
        <v>80</v>
      </c>
      <c r="C155" s="1006" t="s">
        <v>2919</v>
      </c>
      <c r="D155" s="116">
        <v>0</v>
      </c>
      <c r="E155" s="595">
        <f t="shared" ref="E155:M155" si="49">E122*(E$136/E$123)</f>
        <v>77.70590690850986</v>
      </c>
      <c r="F155" s="595">
        <f t="shared" si="49"/>
        <v>-1975909.4502934131</v>
      </c>
      <c r="G155" s="595">
        <f t="shared" si="49"/>
        <v>-7124998.3483387968</v>
      </c>
      <c r="H155" s="595">
        <f t="shared" si="49"/>
        <v>-60644.172688545485</v>
      </c>
      <c r="I155" s="595">
        <f t="shared" si="49"/>
        <v>-169923.86805924022</v>
      </c>
      <c r="J155" s="595">
        <f t="shared" si="49"/>
        <v>-72745.649614352893</v>
      </c>
      <c r="K155" s="595">
        <f t="shared" si="49"/>
        <v>10489.01097177528</v>
      </c>
      <c r="L155" s="595">
        <f t="shared" si="49"/>
        <v>-17257.259309352125</v>
      </c>
      <c r="M155" s="595">
        <f t="shared" si="49"/>
        <v>2798.1717072176489</v>
      </c>
      <c r="N155" s="385">
        <f t="shared" si="37"/>
        <v>-9408113.8597177975</v>
      </c>
    </row>
    <row r="156" spans="1:14" x14ac:dyDescent="0.2">
      <c r="A156" s="713">
        <f t="shared" si="38"/>
        <v>81</v>
      </c>
      <c r="C156" s="717" t="s">
        <v>4</v>
      </c>
      <c r="D156" s="240">
        <f>SUM(D144:D155)</f>
        <v>0</v>
      </c>
      <c r="E156" s="240">
        <f t="shared" ref="E156:M156" si="50">SUM(E144:E155)</f>
        <v>949.25129804457526</v>
      </c>
      <c r="F156" s="240">
        <f t="shared" si="50"/>
        <v>-6542570.3083866583</v>
      </c>
      <c r="G156" s="240">
        <f t="shared" si="50"/>
        <v>-44686627.686350584</v>
      </c>
      <c r="H156" s="240">
        <f t="shared" si="50"/>
        <v>-800215.17823074642</v>
      </c>
      <c r="I156" s="240">
        <f t="shared" si="50"/>
        <v>-4990815.6270672772</v>
      </c>
      <c r="J156" s="240">
        <f t="shared" si="50"/>
        <v>-2024634.0153309882</v>
      </c>
      <c r="K156" s="240">
        <f t="shared" si="50"/>
        <v>77224.032352452414</v>
      </c>
      <c r="L156" s="240">
        <f t="shared" si="50"/>
        <v>345016.96608457906</v>
      </c>
      <c r="M156" s="240">
        <f t="shared" si="50"/>
        <v>214466.03417186122</v>
      </c>
      <c r="N156" s="240">
        <f>SUM(N144:N155)</f>
        <v>-58407206.531459317</v>
      </c>
    </row>
    <row r="158" spans="1:14" x14ac:dyDescent="0.2">
      <c r="B158" s="462" t="s">
        <v>265</v>
      </c>
    </row>
    <row r="159" spans="1:14" x14ac:dyDescent="0.2">
      <c r="B159" s="1046" t="s">
        <v>2549</v>
      </c>
      <c r="C159" s="14"/>
      <c r="D159" s="14"/>
      <c r="E159" s="14"/>
      <c r="F159" s="14"/>
      <c r="G159" s="14"/>
      <c r="H159" s="14"/>
      <c r="I159" s="14"/>
      <c r="J159" s="14"/>
      <c r="K159" s="14"/>
    </row>
    <row r="160" spans="1:14" x14ac:dyDescent="0.2">
      <c r="B160" s="1046" t="s">
        <v>2550</v>
      </c>
      <c r="C160" s="14"/>
      <c r="D160" s="14"/>
      <c r="E160" s="14"/>
      <c r="F160" s="14"/>
      <c r="G160" s="14"/>
      <c r="H160" s="14"/>
      <c r="I160" s="14"/>
      <c r="J160" s="14"/>
      <c r="K160" s="14"/>
    </row>
    <row r="161" spans="2:14" x14ac:dyDescent="0.2">
      <c r="B161" s="865" t="s">
        <v>2512</v>
      </c>
      <c r="C161" s="847"/>
      <c r="D161" s="847"/>
      <c r="E161" s="847"/>
      <c r="F161" s="847"/>
      <c r="G161" s="847"/>
      <c r="H161" s="847"/>
      <c r="I161" s="847"/>
      <c r="J161" s="14"/>
      <c r="K161" s="14"/>
      <c r="L161" s="847"/>
      <c r="M161" s="847"/>
      <c r="N161" s="14"/>
    </row>
    <row r="162" spans="2:14" x14ac:dyDescent="0.2">
      <c r="B162" s="1055" t="s">
        <v>2846</v>
      </c>
      <c r="C162" s="847"/>
      <c r="D162" s="847"/>
      <c r="E162" s="847"/>
      <c r="F162" s="847"/>
      <c r="G162" s="847"/>
      <c r="H162" s="847"/>
      <c r="I162" s="847"/>
      <c r="J162" s="847"/>
      <c r="K162" s="847"/>
      <c r="L162" s="847"/>
      <c r="M162" s="847"/>
      <c r="N162" s="14"/>
    </row>
    <row r="163" spans="2:14" x14ac:dyDescent="0.2">
      <c r="B163" s="1055" t="s">
        <v>2513</v>
      </c>
      <c r="C163" s="847"/>
      <c r="D163" s="847"/>
      <c r="E163" s="847"/>
      <c r="F163" s="847"/>
      <c r="G163" s="847"/>
      <c r="H163" s="847"/>
      <c r="I163" s="847"/>
      <c r="J163" s="847"/>
      <c r="K163" s="847"/>
      <c r="L163" s="847"/>
      <c r="M163" s="847"/>
      <c r="N163" s="14"/>
    </row>
    <row r="164" spans="2:14" x14ac:dyDescent="0.2">
      <c r="B164" s="1055" t="s">
        <v>2514</v>
      </c>
      <c r="C164" s="847"/>
      <c r="D164" s="847"/>
      <c r="E164" s="847"/>
      <c r="F164" s="847"/>
      <c r="G164" s="847"/>
      <c r="H164" s="847"/>
      <c r="I164" s="847"/>
      <c r="J164" s="847"/>
      <c r="K164" s="847"/>
      <c r="L164" s="847"/>
      <c r="M164" s="847"/>
      <c r="N164" s="14"/>
    </row>
    <row r="165" spans="2:14" x14ac:dyDescent="0.2">
      <c r="B165" s="865" t="s">
        <v>2515</v>
      </c>
      <c r="C165" s="847"/>
      <c r="D165" s="847"/>
      <c r="E165" s="847"/>
      <c r="F165" s="847"/>
      <c r="G165" s="847"/>
      <c r="H165" s="847"/>
      <c r="I165" s="847"/>
      <c r="J165" s="847"/>
      <c r="K165" s="847"/>
      <c r="L165" s="847"/>
      <c r="M165" s="847"/>
      <c r="N165" s="14"/>
    </row>
    <row r="166" spans="2:14" x14ac:dyDescent="0.2">
      <c r="B166" s="1055" t="s">
        <v>2516</v>
      </c>
      <c r="C166" s="847"/>
      <c r="D166" s="847"/>
      <c r="E166" s="847"/>
      <c r="F166" s="847"/>
      <c r="G166" s="847"/>
      <c r="H166" s="847"/>
      <c r="I166" s="847"/>
      <c r="J166" s="847"/>
      <c r="K166" s="847"/>
      <c r="L166" s="847"/>
      <c r="M166" s="847"/>
      <c r="N166" s="14"/>
    </row>
    <row r="167" spans="2:14" x14ac:dyDescent="0.2">
      <c r="B167" s="1055" t="s">
        <v>2517</v>
      </c>
      <c r="C167" s="847"/>
      <c r="D167" s="847"/>
      <c r="E167" s="847"/>
      <c r="F167" s="847"/>
      <c r="G167" s="847"/>
      <c r="H167" s="847"/>
      <c r="I167" s="847"/>
      <c r="J167" s="847"/>
      <c r="K167" s="847"/>
      <c r="L167" s="847"/>
      <c r="M167" s="847"/>
      <c r="N167" s="14"/>
    </row>
    <row r="168" spans="2:14" x14ac:dyDescent="0.2">
      <c r="B168" s="1055" t="s">
        <v>2518</v>
      </c>
      <c r="C168" s="847"/>
      <c r="D168" s="847"/>
      <c r="E168" s="847"/>
      <c r="F168" s="847"/>
      <c r="G168" s="847"/>
      <c r="H168" s="847"/>
      <c r="I168" s="847"/>
      <c r="J168" s="847"/>
      <c r="K168" s="847"/>
      <c r="L168" s="847"/>
      <c r="M168" s="847"/>
      <c r="N168" s="14"/>
    </row>
    <row r="169" spans="2:14" x14ac:dyDescent="0.2">
      <c r="B169" s="628" t="str">
        <f>"2) Amounts on Line "&amp;A33&amp;" derived from Plant Study for previous year Prior Year."</f>
        <v>2) Amounts on Line 15 derived from Plant Study for previous year Prior Year.</v>
      </c>
      <c r="C169" s="14"/>
      <c r="D169" s="14"/>
      <c r="E169" s="14"/>
      <c r="F169" s="14"/>
      <c r="G169" s="14"/>
      <c r="H169" s="14"/>
      <c r="I169" s="14"/>
      <c r="J169" s="14"/>
      <c r="K169" s="14"/>
    </row>
    <row r="170" spans="2:14" x14ac:dyDescent="0.2">
      <c r="B170" s="625" t="str">
        <f>"Amounts on Line "&amp;A34&amp;" derived from Plant Study for Prior Year."</f>
        <v>Amounts on Line 16 derived from Plant Study for Prior Year.</v>
      </c>
      <c r="C170" s="14"/>
      <c r="D170" s="14"/>
      <c r="E170" s="14"/>
      <c r="F170" s="14"/>
      <c r="G170" s="14"/>
      <c r="H170" s="14"/>
      <c r="I170" s="14"/>
      <c r="J170" s="14"/>
      <c r="K170" s="14"/>
    </row>
    <row r="171" spans="2:14" x14ac:dyDescent="0.2">
      <c r="B171" s="628" t="s">
        <v>1992</v>
      </c>
      <c r="C171" s="14"/>
      <c r="D171" s="14"/>
      <c r="E171" s="14"/>
      <c r="F171" s="14"/>
      <c r="G171" s="14"/>
      <c r="H171" s="14"/>
      <c r="I171" s="14"/>
      <c r="J171" s="14"/>
      <c r="K171" s="14"/>
    </row>
    <row r="172" spans="2:14" x14ac:dyDescent="0.2">
      <c r="B172" s="14" t="str">
        <f>"4) From 17-Depreciation, Lines "&amp;'17-Depreciation'!A49&amp;" to "&amp;'17-Depreciation'!A60&amp;"."</f>
        <v>4) From 17-Depreciation, Lines 24 to 35.</v>
      </c>
      <c r="C172" s="14"/>
      <c r="D172" s="14"/>
      <c r="E172" s="14"/>
      <c r="F172" s="14"/>
      <c r="G172" s="14"/>
      <c r="H172" s="14"/>
      <c r="I172" s="14"/>
      <c r="J172" s="14"/>
      <c r="K172" s="14"/>
    </row>
    <row r="173" spans="2:14" x14ac:dyDescent="0.2">
      <c r="B173" s="628" t="str">
        <f>"5) Amount in matrix on lines "&amp;A71&amp;" to "&amp;A82&amp;" minus amount in matrix on lines "&amp;A91&amp;" to "&amp;A102&amp;"."</f>
        <v>5) Amount in matrix on lines 27 to 38 minus amount in matrix on lines 40 to 51.</v>
      </c>
      <c r="C173" s="14"/>
      <c r="D173" s="14"/>
      <c r="E173" s="14"/>
      <c r="F173" s="14"/>
      <c r="G173" s="14"/>
      <c r="H173" s="14"/>
      <c r="I173" s="14"/>
      <c r="J173" s="14"/>
      <c r="K173" s="14"/>
    </row>
    <row r="174" spans="2:14" x14ac:dyDescent="0.2">
      <c r="B174" s="628" t="str">
        <f>"6) Line "&amp;A24&amp;" - Line "&amp;A12&amp;"."</f>
        <v>6) Line 13 - Line 1.</v>
      </c>
      <c r="C174" s="14"/>
      <c r="D174" s="14"/>
      <c r="E174" s="14"/>
      <c r="F174" s="14"/>
      <c r="G174" s="14"/>
      <c r="H174" s="14"/>
      <c r="I174" s="14"/>
      <c r="J174" s="14"/>
      <c r="K174" s="14"/>
    </row>
    <row r="175" spans="2:14" x14ac:dyDescent="0.2">
      <c r="B175" s="14" t="str">
        <f>"7) Line "&amp;A103&amp;"."</f>
        <v>7) Line 52.</v>
      </c>
      <c r="C175" s="14"/>
      <c r="D175" s="14"/>
      <c r="E175" s="14"/>
      <c r="F175" s="14"/>
      <c r="G175" s="14"/>
      <c r="H175" s="14"/>
      <c r="I175" s="14"/>
      <c r="J175" s="14"/>
      <c r="K175" s="14"/>
    </row>
    <row r="176" spans="2:14" x14ac:dyDescent="0.2">
      <c r="B176" s="628" t="str">
        <f>"8) Line "&amp;A129&amp;" - Line "&amp;A133&amp;"."</f>
        <v>8) Line 66 - Line 67.</v>
      </c>
      <c r="C176" s="14"/>
      <c r="D176" s="14"/>
      <c r="E176" s="14"/>
      <c r="F176" s="14"/>
      <c r="G176" s="14"/>
      <c r="H176" s="14"/>
      <c r="I176" s="14"/>
      <c r="J176" s="14"/>
      <c r="K176" s="14"/>
    </row>
    <row r="177" spans="2:11" x14ac:dyDescent="0.2">
      <c r="B177" s="628" t="str">
        <f>"9) For each column (FERC Account) divide Line "&amp;A136&amp;" by Line "&amp;A123&amp;" to arrive at a ratio for each column."</f>
        <v>9) For each column (FERC Account) divide Line 68 by Line 65 to arrive at a ratio for each column.</v>
      </c>
      <c r="C177" s="14"/>
      <c r="D177" s="14"/>
      <c r="E177" s="14"/>
      <c r="F177" s="14"/>
      <c r="G177" s="14"/>
      <c r="H177" s="14"/>
      <c r="I177" s="14"/>
      <c r="J177" s="14"/>
      <c r="K177" s="14"/>
    </row>
    <row r="178" spans="2:11" x14ac:dyDescent="0.2">
      <c r="B178" s="628" t="str">
        <f>"Apply the ratio of each column to each monthly value from Lines "&amp;A111&amp;"-"&amp;A122&amp;" to calculate the values for"</f>
        <v>Apply the ratio of each column to each monthly value from Lines 53-64 to calculate the values for</v>
      </c>
      <c r="C178" s="14"/>
      <c r="D178" s="14"/>
      <c r="E178" s="14"/>
      <c r="F178" s="14"/>
      <c r="G178" s="14"/>
      <c r="H178" s="14"/>
      <c r="I178" s="14"/>
      <c r="J178" s="14"/>
      <c r="K178" s="14"/>
    </row>
    <row r="179" spans="2:11" x14ac:dyDescent="0.2">
      <c r="B179" s="628" t="str">
        <f>"the corresponsing months listed in Lines "&amp;A144&amp;"-"&amp;A155&amp;"."</f>
        <v>the corresponsing months listed in Lines 69-80.</v>
      </c>
      <c r="C179" s="14"/>
      <c r="D179" s="14"/>
      <c r="E179" s="14"/>
      <c r="F179" s="14"/>
      <c r="G179" s="14"/>
      <c r="H179" s="14"/>
      <c r="I179" s="14"/>
      <c r="J179" s="14"/>
      <c r="K179" s="14"/>
    </row>
  </sheetData>
  <phoneticPr fontId="11" type="noConversion"/>
  <pageMargins left="0.75" right="0.75" top="1" bottom="1" header="0.5" footer="0.5"/>
  <pageSetup scale="65" orientation="landscape" cellComments="asDisplayed" r:id="rId1"/>
  <headerFooter alignWithMargins="0">
    <oddHeader>&amp;CSchedule 8
Accumulated Depreciation
&amp;"Arial,Bold"Exhibit G-2</oddHeader>
    <oddFooter>&amp;R&amp;A</oddFooter>
  </headerFooter>
  <rowBreaks count="3" manualBreakCount="3">
    <brk id="36" max="16383" man="1"/>
    <brk id="84" max="16383" man="1"/>
    <brk id="124" max="16383" man="1"/>
  </row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49"/>
  <sheetViews>
    <sheetView zoomScale="85" zoomScaleNormal="85" workbookViewId="0"/>
  </sheetViews>
  <sheetFormatPr defaultRowHeight="12.75" x14ac:dyDescent="0.2"/>
  <cols>
    <col min="1" max="1" width="4.7109375" customWidth="1"/>
    <col min="2" max="2" width="9.7109375" style="748" customWidth="1"/>
    <col min="3" max="3" width="44.7109375" style="748" customWidth="1"/>
    <col min="4" max="8" width="15.7109375" style="748" customWidth="1"/>
    <col min="9" max="9" width="16.140625" style="748" bestFit="1" customWidth="1"/>
    <col min="10" max="10" width="33.7109375" style="748" customWidth="1"/>
  </cols>
  <sheetData>
    <row r="1" spans="1:12" x14ac:dyDescent="0.2">
      <c r="A1" s="1045" t="s">
        <v>1478</v>
      </c>
      <c r="B1" s="248"/>
      <c r="C1" s="248"/>
      <c r="D1" s="248"/>
      <c r="E1" s="248"/>
      <c r="F1" s="457" t="s">
        <v>341</v>
      </c>
      <c r="G1" s="457"/>
      <c r="H1" s="248"/>
      <c r="I1" s="238"/>
      <c r="J1" s="238"/>
      <c r="K1" s="747"/>
      <c r="L1" s="747"/>
    </row>
    <row r="2" spans="1:12" x14ac:dyDescent="0.2">
      <c r="A2" s="238"/>
      <c r="B2" s="852"/>
      <c r="C2" s="853"/>
      <c r="D2" s="853"/>
      <c r="E2" s="238"/>
      <c r="F2" s="238"/>
      <c r="G2" s="238"/>
      <c r="H2" s="238"/>
      <c r="I2" s="238"/>
      <c r="J2" s="238"/>
      <c r="K2" s="747"/>
      <c r="L2" s="747"/>
    </row>
    <row r="3" spans="1:12" x14ac:dyDescent="0.2">
      <c r="A3" s="238"/>
      <c r="B3" s="852" t="s">
        <v>2020</v>
      </c>
      <c r="C3" s="853"/>
      <c r="D3" s="853"/>
      <c r="E3" s="238"/>
      <c r="F3" s="238"/>
      <c r="G3" s="238"/>
      <c r="H3" s="238"/>
      <c r="I3" s="238"/>
      <c r="J3" s="238"/>
      <c r="K3" s="747"/>
      <c r="L3" s="747"/>
    </row>
    <row r="4" spans="1:12" x14ac:dyDescent="0.2">
      <c r="A4" s="238"/>
      <c r="B4" s="852"/>
      <c r="C4" s="853"/>
      <c r="D4" s="853"/>
      <c r="E4" s="238"/>
      <c r="F4" s="238"/>
      <c r="G4" s="238"/>
      <c r="H4" s="238"/>
      <c r="I4" s="238"/>
      <c r="J4" s="238"/>
      <c r="K4" s="747"/>
      <c r="L4" s="747"/>
    </row>
    <row r="5" spans="1:12" x14ac:dyDescent="0.2">
      <c r="A5" s="238"/>
      <c r="B5" s="854" t="s">
        <v>2021</v>
      </c>
      <c r="C5" s="853"/>
      <c r="D5" s="853"/>
      <c r="E5" s="238"/>
      <c r="F5" s="238"/>
      <c r="G5" s="238"/>
      <c r="H5" s="238"/>
      <c r="I5" s="238"/>
      <c r="J5" s="238"/>
      <c r="K5" s="747"/>
      <c r="L5" s="747"/>
    </row>
    <row r="6" spans="1:12" x14ac:dyDescent="0.2">
      <c r="A6" s="238"/>
      <c r="B6" s="852"/>
      <c r="C6" s="86" t="s">
        <v>403</v>
      </c>
      <c r="D6" s="86" t="s">
        <v>387</v>
      </c>
      <c r="E6" s="238"/>
      <c r="I6" s="238"/>
      <c r="J6" s="238"/>
      <c r="K6" s="747"/>
      <c r="L6" s="747"/>
    </row>
    <row r="7" spans="1:12" x14ac:dyDescent="0.2">
      <c r="A7" s="238"/>
      <c r="C7" s="853"/>
      <c r="D7" s="238"/>
      <c r="E7" s="238"/>
      <c r="I7" s="238"/>
      <c r="J7" s="238"/>
      <c r="K7" s="747"/>
      <c r="L7" s="747"/>
    </row>
    <row r="8" spans="1:12" x14ac:dyDescent="0.2">
      <c r="A8" s="238"/>
      <c r="B8" s="852"/>
      <c r="C8" s="248"/>
      <c r="D8" s="115" t="s">
        <v>224</v>
      </c>
      <c r="J8" s="238"/>
      <c r="K8" s="747"/>
      <c r="L8" s="747"/>
    </row>
    <row r="9" spans="1:12" x14ac:dyDescent="0.2">
      <c r="A9" s="55" t="s">
        <v>369</v>
      </c>
      <c r="B9" s="852"/>
      <c r="C9" s="735" t="s">
        <v>111</v>
      </c>
      <c r="D9" s="129" t="s">
        <v>229</v>
      </c>
      <c r="E9" s="386" t="s">
        <v>207</v>
      </c>
      <c r="J9" s="238"/>
      <c r="K9" s="747"/>
      <c r="L9" s="747"/>
    </row>
    <row r="10" spans="1:12" ht="15" x14ac:dyDescent="0.25">
      <c r="A10" s="411">
        <v>1</v>
      </c>
      <c r="B10" s="852"/>
      <c r="C10" s="628" t="s">
        <v>1483</v>
      </c>
      <c r="D10" s="687">
        <f>+D145</f>
        <v>30289257.4453668</v>
      </c>
      <c r="E10" s="625" t="str">
        <f>"Line "&amp;A145&amp;", Col. 2"</f>
        <v>Line 353, Col. 2</v>
      </c>
      <c r="J10" s="238"/>
      <c r="K10" s="747"/>
      <c r="L10" s="747"/>
    </row>
    <row r="11" spans="1:12" x14ac:dyDescent="0.2">
      <c r="A11" s="811">
        <f>A10+1</f>
        <v>2</v>
      </c>
      <c r="B11" s="852"/>
      <c r="C11" s="628" t="s">
        <v>1481</v>
      </c>
      <c r="D11" s="687">
        <f>+D180</f>
        <v>-483484386.13998437</v>
      </c>
      <c r="E11" s="625" t="str">
        <f>"Line "&amp;A180&amp;", Col. 2"</f>
        <v>Line 452, Col. 2</v>
      </c>
      <c r="J11" s="238"/>
      <c r="K11" s="747"/>
      <c r="L11" s="747"/>
    </row>
    <row r="12" spans="1:12" x14ac:dyDescent="0.2">
      <c r="A12" s="811">
        <f t="shared" ref="A12:A24" si="0">A11+1</f>
        <v>3</v>
      </c>
      <c r="B12" s="852"/>
      <c r="C12" s="628" t="s">
        <v>1482</v>
      </c>
      <c r="D12" s="687">
        <f>+D297</f>
        <v>-15600120.831625745</v>
      </c>
      <c r="E12" s="625" t="str">
        <f>"Line "&amp;A297&amp;", Col. 2"</f>
        <v>Line 803, Col. 2</v>
      </c>
      <c r="I12" s="749"/>
      <c r="J12" s="238"/>
      <c r="K12" s="747"/>
      <c r="L12" s="747"/>
    </row>
    <row r="13" spans="1:12" x14ac:dyDescent="0.2">
      <c r="A13" s="811">
        <f t="shared" si="0"/>
        <v>4</v>
      </c>
      <c r="B13" s="852"/>
      <c r="C13" s="626" t="s">
        <v>2173</v>
      </c>
      <c r="D13" s="687">
        <f>G312</f>
        <v>23293262.194839805</v>
      </c>
      <c r="E13" s="625" t="str">
        <f>"Line "&amp;A312&amp;", Col. 5"</f>
        <v>Line 809, Col. 5</v>
      </c>
      <c r="I13" s="749"/>
      <c r="J13" s="238"/>
      <c r="K13" s="747"/>
      <c r="L13" s="747"/>
    </row>
    <row r="14" spans="1:12" x14ac:dyDescent="0.2">
      <c r="A14" s="811">
        <f t="shared" si="0"/>
        <v>5</v>
      </c>
      <c r="B14" s="852"/>
      <c r="C14" s="628" t="s">
        <v>2024</v>
      </c>
      <c r="D14" s="689">
        <f t="shared" ref="D14" si="1">SUM(D10:D13)</f>
        <v>-445501987.33140349</v>
      </c>
      <c r="E14" s="776" t="str">
        <f>"Sum of Lines "&amp;A10&amp;" to "&amp;A13&amp;""</f>
        <v>Sum of Lines 1 to 4</v>
      </c>
      <c r="J14" s="238"/>
      <c r="K14" s="747"/>
      <c r="L14" s="747"/>
    </row>
    <row r="15" spans="1:12" x14ac:dyDescent="0.2">
      <c r="A15" s="811">
        <f t="shared" si="0"/>
        <v>6</v>
      </c>
      <c r="B15" s="852"/>
      <c r="D15" s="248"/>
      <c r="E15" s="248"/>
      <c r="G15" s="750"/>
      <c r="H15" s="258"/>
      <c r="I15" s="248"/>
      <c r="J15" s="238"/>
      <c r="K15" s="747"/>
      <c r="L15" s="747"/>
    </row>
    <row r="16" spans="1:12" x14ac:dyDescent="0.2">
      <c r="A16" s="811">
        <f t="shared" si="0"/>
        <v>7</v>
      </c>
      <c r="B16" s="854" t="s">
        <v>2023</v>
      </c>
      <c r="E16" s="248"/>
      <c r="G16" s="749"/>
      <c r="H16" s="751"/>
      <c r="I16" s="749"/>
      <c r="J16" s="238"/>
      <c r="K16" s="747"/>
      <c r="L16" s="747"/>
    </row>
    <row r="17" spans="1:12" x14ac:dyDescent="0.2">
      <c r="A17" s="811">
        <f t="shared" si="0"/>
        <v>8</v>
      </c>
      <c r="B17" s="854"/>
      <c r="D17" s="115" t="s">
        <v>432</v>
      </c>
      <c r="E17" s="248"/>
      <c r="G17" s="749"/>
      <c r="H17" s="751"/>
      <c r="I17" s="749"/>
      <c r="J17" s="238"/>
      <c r="K17" s="747"/>
      <c r="L17" s="747"/>
    </row>
    <row r="18" spans="1:12" x14ac:dyDescent="0.2">
      <c r="A18" s="811">
        <f t="shared" si="0"/>
        <v>9</v>
      </c>
      <c r="B18" s="852"/>
      <c r="D18" s="129" t="s">
        <v>229</v>
      </c>
      <c r="E18" s="386" t="s">
        <v>207</v>
      </c>
      <c r="G18" s="752"/>
      <c r="H18" s="749"/>
      <c r="I18" s="749"/>
      <c r="J18" s="238"/>
      <c r="K18" s="747"/>
      <c r="L18" s="747"/>
    </row>
    <row r="19" spans="1:12" x14ac:dyDescent="0.2">
      <c r="A19" s="811">
        <f t="shared" si="0"/>
        <v>10</v>
      </c>
      <c r="B19" s="852"/>
      <c r="C19" s="628" t="s">
        <v>2024</v>
      </c>
      <c r="D19" s="715">
        <v>-412958179</v>
      </c>
      <c r="E19" s="599" t="str">
        <f>"Previous Year Informational Filing, Line "&amp;A14&amp;", Col. 2"</f>
        <v>Previous Year Informational Filing, Line 5, Col. 2</v>
      </c>
      <c r="G19" s="749"/>
      <c r="H19" s="749"/>
      <c r="I19" s="749"/>
      <c r="K19" s="747"/>
      <c r="L19" s="747"/>
    </row>
    <row r="20" spans="1:12" x14ac:dyDescent="0.2">
      <c r="A20" s="811">
        <f t="shared" si="0"/>
        <v>11</v>
      </c>
      <c r="B20" s="852"/>
      <c r="D20" s="248"/>
      <c r="E20" s="248"/>
      <c r="F20" s="749"/>
      <c r="G20" s="749"/>
      <c r="H20" s="749"/>
      <c r="I20" s="749"/>
      <c r="J20" s="238"/>
      <c r="K20" s="747"/>
      <c r="L20" s="747"/>
    </row>
    <row r="21" spans="1:12" x14ac:dyDescent="0.2">
      <c r="A21" s="811">
        <f t="shared" si="0"/>
        <v>12</v>
      </c>
      <c r="B21" s="854" t="s">
        <v>2025</v>
      </c>
      <c r="D21" s="248"/>
      <c r="E21" s="248"/>
      <c r="F21" s="749"/>
      <c r="G21" s="749"/>
      <c r="H21" s="749"/>
      <c r="I21" s="749"/>
      <c r="J21" s="238"/>
      <c r="K21" s="747"/>
      <c r="L21" s="747"/>
    </row>
    <row r="22" spans="1:12" x14ac:dyDescent="0.2">
      <c r="A22" s="811">
        <f t="shared" si="0"/>
        <v>13</v>
      </c>
      <c r="B22" s="853"/>
      <c r="C22" s="855"/>
      <c r="D22" s="856" t="s">
        <v>264</v>
      </c>
      <c r="E22" s="238"/>
      <c r="F22" s="238"/>
      <c r="G22" s="238"/>
      <c r="H22" s="238"/>
      <c r="I22" s="238"/>
      <c r="J22" s="238"/>
      <c r="K22" s="747"/>
      <c r="L22" s="747"/>
    </row>
    <row r="23" spans="1:12" x14ac:dyDescent="0.2">
      <c r="A23" s="811">
        <f t="shared" si="0"/>
        <v>14</v>
      </c>
      <c r="B23" s="853"/>
      <c r="D23" s="129" t="s">
        <v>229</v>
      </c>
      <c r="E23" s="386" t="s">
        <v>207</v>
      </c>
      <c r="F23" s="238"/>
      <c r="G23" s="752"/>
      <c r="H23" s="238"/>
      <c r="I23" s="238"/>
      <c r="J23" s="238"/>
      <c r="K23" s="747"/>
      <c r="L23" s="747"/>
    </row>
    <row r="24" spans="1:12" x14ac:dyDescent="0.2">
      <c r="A24" s="811">
        <f t="shared" si="0"/>
        <v>15</v>
      </c>
      <c r="B24" s="853"/>
      <c r="C24" s="857" t="s">
        <v>2026</v>
      </c>
      <c r="D24" s="858">
        <f>(D14+D19)/2</f>
        <v>-429230083.16570175</v>
      </c>
      <c r="E24" s="258" t="str">
        <f>"Average of Line "&amp;A14&amp;" and Line "&amp;A19&amp;""</f>
        <v>Average of Line 5 and Line 10</v>
      </c>
      <c r="F24" s="238"/>
      <c r="G24" s="749"/>
      <c r="H24" s="238"/>
      <c r="I24" s="238"/>
      <c r="J24" s="238"/>
      <c r="K24" s="747"/>
      <c r="L24" s="747"/>
    </row>
    <row r="25" spans="1:12" x14ac:dyDescent="0.2">
      <c r="A25" s="811"/>
      <c r="B25" s="853"/>
      <c r="C25" s="855"/>
      <c r="D25" s="859"/>
      <c r="E25" s="238"/>
      <c r="F25" s="238"/>
      <c r="G25" s="238"/>
      <c r="H25" s="238"/>
      <c r="I25" s="238"/>
      <c r="J25" s="238"/>
      <c r="K25" s="747"/>
      <c r="L25" s="747"/>
    </row>
    <row r="26" spans="1:12" x14ac:dyDescent="0.2">
      <c r="A26" s="811"/>
      <c r="B26" s="852" t="s">
        <v>2027</v>
      </c>
      <c r="C26" s="855"/>
      <c r="D26" s="859"/>
      <c r="E26" s="238"/>
      <c r="F26" s="238"/>
      <c r="G26" s="238"/>
      <c r="H26" s="238"/>
      <c r="I26" s="238"/>
      <c r="J26" s="238"/>
      <c r="K26" s="747"/>
      <c r="L26" s="747"/>
    </row>
    <row r="27" spans="1:12" x14ac:dyDescent="0.2">
      <c r="A27" s="811"/>
      <c r="B27" s="852"/>
      <c r="C27" s="86" t="s">
        <v>403</v>
      </c>
      <c r="D27" s="86" t="s">
        <v>387</v>
      </c>
      <c r="E27" s="86" t="s">
        <v>388</v>
      </c>
      <c r="F27" s="86" t="s">
        <v>389</v>
      </c>
      <c r="G27" s="86" t="s">
        <v>390</v>
      </c>
      <c r="H27" s="86" t="s">
        <v>391</v>
      </c>
      <c r="I27" s="86" t="s">
        <v>392</v>
      </c>
      <c r="J27" s="238"/>
      <c r="K27" s="747"/>
      <c r="L27" s="747"/>
    </row>
    <row r="28" spans="1:12" x14ac:dyDescent="0.2">
      <c r="A28" s="626"/>
      <c r="B28" s="856"/>
      <c r="C28" s="856"/>
      <c r="D28" s="856" t="s">
        <v>2028</v>
      </c>
      <c r="E28" s="856" t="s">
        <v>2029</v>
      </c>
      <c r="F28" s="856"/>
      <c r="G28" s="856"/>
      <c r="H28" s="856" t="s">
        <v>1546</v>
      </c>
      <c r="I28" s="1056" t="s">
        <v>2553</v>
      </c>
      <c r="J28" s="238"/>
      <c r="K28" s="747"/>
      <c r="L28" s="747"/>
    </row>
    <row r="29" spans="1:12" x14ac:dyDescent="0.2">
      <c r="A29" s="626"/>
      <c r="B29" s="860" t="s">
        <v>2030</v>
      </c>
      <c r="C29" s="860" t="s">
        <v>2031</v>
      </c>
      <c r="D29" s="860" t="s">
        <v>2032</v>
      </c>
      <c r="E29" s="860" t="s">
        <v>2033</v>
      </c>
      <c r="F29" s="860" t="s">
        <v>2034</v>
      </c>
      <c r="G29" s="860" t="s">
        <v>2035</v>
      </c>
      <c r="H29" s="860" t="s">
        <v>2022</v>
      </c>
      <c r="I29" s="860" t="s">
        <v>112</v>
      </c>
      <c r="J29" s="238"/>
      <c r="K29" s="747"/>
      <c r="L29" s="747"/>
    </row>
    <row r="30" spans="1:12" x14ac:dyDescent="0.2">
      <c r="A30" s="811"/>
      <c r="B30" s="853" t="s">
        <v>2037</v>
      </c>
      <c r="C30" s="853"/>
      <c r="D30" s="853"/>
      <c r="E30" s="238"/>
      <c r="F30" s="238"/>
      <c r="G30" s="238"/>
      <c r="H30" s="238"/>
      <c r="I30" s="238"/>
      <c r="J30" s="238"/>
      <c r="K30" s="747"/>
      <c r="L30" s="747"/>
    </row>
    <row r="31" spans="1:12" x14ac:dyDescent="0.2">
      <c r="A31" s="194">
        <f>100</f>
        <v>100</v>
      </c>
      <c r="B31" s="861">
        <v>190</v>
      </c>
      <c r="C31" s="862" t="s">
        <v>2920</v>
      </c>
      <c r="D31" s="863">
        <v>656266.65</v>
      </c>
      <c r="E31" s="1156">
        <f>D31*$G$341</f>
        <v>565.66695172934317</v>
      </c>
      <c r="F31" s="715"/>
      <c r="G31" s="715">
        <f>D31-E31</f>
        <v>655700.98304827069</v>
      </c>
      <c r="H31" s="715"/>
      <c r="I31" s="644" t="s">
        <v>2921</v>
      </c>
      <c r="J31" s="644"/>
      <c r="K31" s="747"/>
      <c r="L31" s="747"/>
    </row>
    <row r="32" spans="1:12" x14ac:dyDescent="0.2">
      <c r="A32" s="194">
        <f t="shared" ref="A32:A95" si="2">A31+1</f>
        <v>101</v>
      </c>
      <c r="B32" s="861">
        <v>190</v>
      </c>
      <c r="C32" s="862" t="s">
        <v>2922</v>
      </c>
      <c r="D32" s="863">
        <v>21363.95</v>
      </c>
      <c r="E32" s="1156">
        <v>21363.95</v>
      </c>
      <c r="F32" s="715"/>
      <c r="G32" s="715"/>
      <c r="H32" s="715"/>
      <c r="I32" s="644" t="s">
        <v>2923</v>
      </c>
      <c r="J32" s="644"/>
      <c r="K32" s="747"/>
      <c r="L32" s="747"/>
    </row>
    <row r="33" spans="1:12" x14ac:dyDescent="0.2">
      <c r="A33" s="194">
        <f t="shared" si="2"/>
        <v>102</v>
      </c>
      <c r="B33" s="861">
        <v>190</v>
      </c>
      <c r="C33" s="862" t="s">
        <v>121</v>
      </c>
      <c r="D33" s="863">
        <v>3679.67</v>
      </c>
      <c r="E33" s="1156">
        <f>D33*$G$341</f>
        <v>3.1716798534100614</v>
      </c>
      <c r="F33" s="715"/>
      <c r="G33" s="715">
        <f>D33-E33</f>
        <v>3676.4983201465902</v>
      </c>
      <c r="H33" s="715"/>
      <c r="I33" s="644" t="s">
        <v>2921</v>
      </c>
      <c r="J33" s="644"/>
      <c r="K33" s="747"/>
      <c r="L33" s="747"/>
    </row>
    <row r="34" spans="1:12" x14ac:dyDescent="0.2">
      <c r="A34" s="194">
        <f t="shared" si="2"/>
        <v>103</v>
      </c>
      <c r="B34" s="861">
        <v>190</v>
      </c>
      <c r="C34" s="862" t="s">
        <v>2924</v>
      </c>
      <c r="D34" s="863">
        <v>-12132675.220000001</v>
      </c>
      <c r="E34" s="1156">
        <v>-12132675.220000001</v>
      </c>
      <c r="F34" s="715"/>
      <c r="G34" s="715"/>
      <c r="H34" s="715"/>
      <c r="I34" s="644" t="s">
        <v>2925</v>
      </c>
      <c r="J34" s="644"/>
      <c r="K34" s="747"/>
      <c r="L34" s="747"/>
    </row>
    <row r="35" spans="1:12" x14ac:dyDescent="0.2">
      <c r="A35" s="194">
        <f t="shared" si="2"/>
        <v>104</v>
      </c>
      <c r="B35" s="861">
        <v>190</v>
      </c>
      <c r="C35" s="862" t="s">
        <v>2926</v>
      </c>
      <c r="D35" s="863">
        <v>-2239842.48</v>
      </c>
      <c r="E35" s="1156">
        <v>-2239842.48</v>
      </c>
      <c r="F35" s="715"/>
      <c r="G35" s="715"/>
      <c r="H35" s="715"/>
      <c r="I35" s="644" t="s">
        <v>2923</v>
      </c>
      <c r="J35" s="644"/>
      <c r="K35" s="747"/>
      <c r="L35" s="747"/>
    </row>
    <row r="36" spans="1:12" ht="12.75" customHeight="1" x14ac:dyDescent="0.2">
      <c r="A36" s="194">
        <f t="shared" si="2"/>
        <v>105</v>
      </c>
      <c r="B36" s="861">
        <v>190</v>
      </c>
      <c r="C36" s="862" t="s">
        <v>2927</v>
      </c>
      <c r="D36" s="863">
        <v>-30591</v>
      </c>
      <c r="E36" s="1156">
        <v>-30591</v>
      </c>
      <c r="F36" s="715"/>
      <c r="G36" s="715"/>
      <c r="H36" s="715"/>
      <c r="I36" s="644" t="s">
        <v>2923</v>
      </c>
      <c r="J36" s="644"/>
      <c r="K36" s="747"/>
      <c r="L36" s="747"/>
    </row>
    <row r="37" spans="1:12" x14ac:dyDescent="0.2">
      <c r="A37" s="194">
        <f t="shared" si="2"/>
        <v>106</v>
      </c>
      <c r="B37" s="861">
        <v>190</v>
      </c>
      <c r="C37" s="862" t="s">
        <v>2928</v>
      </c>
      <c r="D37" s="863">
        <v>0</v>
      </c>
      <c r="E37" s="1156">
        <v>0</v>
      </c>
      <c r="F37" s="715"/>
      <c r="G37" s="715"/>
      <c r="H37" s="715"/>
      <c r="I37" s="644" t="s">
        <v>2923</v>
      </c>
      <c r="J37" s="644"/>
      <c r="K37" s="747"/>
      <c r="L37" s="747"/>
    </row>
    <row r="38" spans="1:12" x14ac:dyDescent="0.2">
      <c r="A38" s="194">
        <f t="shared" si="2"/>
        <v>107</v>
      </c>
      <c r="B38" s="861">
        <v>190</v>
      </c>
      <c r="C38" s="862" t="s">
        <v>2929</v>
      </c>
      <c r="D38" s="863">
        <v>5223845.54</v>
      </c>
      <c r="E38" s="1156">
        <f>D38*$G$333</f>
        <v>6979.0940652351046</v>
      </c>
      <c r="F38" s="715"/>
      <c r="G38" s="715"/>
      <c r="H38" s="715">
        <f>D38-E38</f>
        <v>5216866.445934765</v>
      </c>
      <c r="I38" s="644" t="s">
        <v>2930</v>
      </c>
      <c r="J38" s="644"/>
      <c r="K38" s="747"/>
      <c r="L38" s="747"/>
    </row>
    <row r="39" spans="1:12" x14ac:dyDescent="0.2">
      <c r="A39" s="194">
        <f t="shared" si="2"/>
        <v>108</v>
      </c>
      <c r="B39" s="861">
        <v>190</v>
      </c>
      <c r="C39" s="862" t="s">
        <v>2931</v>
      </c>
      <c r="D39" s="863">
        <v>-43734347.729999997</v>
      </c>
      <c r="E39" s="1156">
        <v>-43734347.729999997</v>
      </c>
      <c r="F39" s="715"/>
      <c r="G39" s="715"/>
      <c r="H39" s="715"/>
      <c r="I39" s="644" t="s">
        <v>2923</v>
      </c>
      <c r="J39" s="644"/>
      <c r="K39" s="747"/>
      <c r="L39" s="747"/>
    </row>
    <row r="40" spans="1:12" x14ac:dyDescent="0.2">
      <c r="A40" s="194">
        <f>A39+1</f>
        <v>109</v>
      </c>
      <c r="B40" s="861">
        <v>190</v>
      </c>
      <c r="C40" s="862" t="s">
        <v>2932</v>
      </c>
      <c r="D40" s="863">
        <v>2155510</v>
      </c>
      <c r="E40" s="1156">
        <v>2155510</v>
      </c>
      <c r="F40" s="715"/>
      <c r="G40" s="715"/>
      <c r="H40" s="715"/>
      <c r="I40" s="644" t="s">
        <v>2933</v>
      </c>
      <c r="J40" s="644"/>
      <c r="K40" s="747"/>
      <c r="L40" s="747"/>
    </row>
    <row r="41" spans="1:12" x14ac:dyDescent="0.2">
      <c r="A41" s="194">
        <f t="shared" si="2"/>
        <v>110</v>
      </c>
      <c r="B41" s="861">
        <v>190</v>
      </c>
      <c r="C41" s="862" t="s">
        <v>2934</v>
      </c>
      <c r="D41" s="863">
        <v>-64265.910000000149</v>
      </c>
      <c r="E41" s="1156"/>
      <c r="F41" s="715">
        <v>-64265.910000000149</v>
      </c>
      <c r="G41" s="715"/>
      <c r="H41" s="715"/>
      <c r="I41" s="644" t="s">
        <v>2935</v>
      </c>
      <c r="J41" s="644"/>
      <c r="K41" s="747"/>
      <c r="L41" s="747"/>
    </row>
    <row r="42" spans="1:12" x14ac:dyDescent="0.2">
      <c r="A42" s="194">
        <f t="shared" si="2"/>
        <v>111</v>
      </c>
      <c r="B42" s="861">
        <v>190</v>
      </c>
      <c r="C42" s="862" t="s">
        <v>2936</v>
      </c>
      <c r="D42" s="863">
        <v>13776.84</v>
      </c>
      <c r="E42" s="1156">
        <f>D42*$G$341</f>
        <v>11.874903421136642</v>
      </c>
      <c r="F42" s="715"/>
      <c r="G42" s="715">
        <f>D42-E42</f>
        <v>13764.965096578864</v>
      </c>
      <c r="H42" s="715"/>
      <c r="I42" s="644" t="s">
        <v>2921</v>
      </c>
      <c r="J42" s="644"/>
      <c r="K42" s="747"/>
      <c r="L42" s="747"/>
    </row>
    <row r="43" spans="1:12" x14ac:dyDescent="0.2">
      <c r="A43" s="194">
        <f t="shared" si="2"/>
        <v>112</v>
      </c>
      <c r="B43" s="861">
        <v>190</v>
      </c>
      <c r="C43" s="862" t="s">
        <v>2937</v>
      </c>
      <c r="D43" s="863">
        <v>0.75</v>
      </c>
      <c r="E43" s="715">
        <v>0.75</v>
      </c>
      <c r="F43" s="715"/>
      <c r="G43" s="715"/>
      <c r="H43" s="715"/>
      <c r="I43" s="644" t="s">
        <v>2938</v>
      </c>
      <c r="J43" s="644"/>
      <c r="K43" s="747"/>
      <c r="L43" s="747"/>
    </row>
    <row r="44" spans="1:12" x14ac:dyDescent="0.2">
      <c r="A44" s="194">
        <f t="shared" si="2"/>
        <v>113</v>
      </c>
      <c r="B44" s="861">
        <v>190</v>
      </c>
      <c r="C44" s="862" t="s">
        <v>2939</v>
      </c>
      <c r="D44" s="863">
        <v>-89223.069999999992</v>
      </c>
      <c r="E44" s="715">
        <v>-89223.069999999992</v>
      </c>
      <c r="F44" s="715"/>
      <c r="G44" s="715"/>
      <c r="H44" s="715"/>
      <c r="I44" s="644" t="s">
        <v>2940</v>
      </c>
      <c r="J44" s="644"/>
      <c r="K44" s="747"/>
      <c r="L44" s="747"/>
    </row>
    <row r="45" spans="1:12" x14ac:dyDescent="0.2">
      <c r="A45" s="194">
        <f t="shared" si="2"/>
        <v>114</v>
      </c>
      <c r="B45" s="861">
        <v>190</v>
      </c>
      <c r="C45" s="862" t="s">
        <v>2941</v>
      </c>
      <c r="D45" s="863">
        <v>-131254.18</v>
      </c>
      <c r="E45" s="715">
        <v>-131254.18</v>
      </c>
      <c r="F45" s="715"/>
      <c r="G45" s="715"/>
      <c r="H45" s="715"/>
      <c r="I45" s="644" t="s">
        <v>2940</v>
      </c>
      <c r="J45" s="644"/>
      <c r="K45" s="747"/>
      <c r="L45" s="747"/>
    </row>
    <row r="46" spans="1:12" x14ac:dyDescent="0.2">
      <c r="A46" s="194">
        <f t="shared" si="2"/>
        <v>115</v>
      </c>
      <c r="B46" s="861">
        <v>190</v>
      </c>
      <c r="C46" s="862" t="s">
        <v>2942</v>
      </c>
      <c r="D46" s="863">
        <v>-617580.44999999995</v>
      </c>
      <c r="E46" s="715">
        <v>-617580.44999999995</v>
      </c>
      <c r="F46" s="715"/>
      <c r="G46" s="715"/>
      <c r="H46" s="715"/>
      <c r="I46" s="644" t="s">
        <v>2943</v>
      </c>
      <c r="J46" s="644"/>
      <c r="K46" s="747"/>
      <c r="L46" s="747"/>
    </row>
    <row r="47" spans="1:12" x14ac:dyDescent="0.2">
      <c r="A47" s="194">
        <f t="shared" si="2"/>
        <v>116</v>
      </c>
      <c r="B47" s="861">
        <v>190</v>
      </c>
      <c r="C47" s="862" t="s">
        <v>2944</v>
      </c>
      <c r="D47" s="863">
        <v>565837.30000000005</v>
      </c>
      <c r="E47" s="715">
        <v>565837.30000000005</v>
      </c>
      <c r="F47" s="715"/>
      <c r="G47" s="715"/>
      <c r="H47" s="715"/>
      <c r="I47" s="644" t="s">
        <v>2945</v>
      </c>
      <c r="J47" s="644"/>
      <c r="K47" s="747"/>
      <c r="L47" s="747"/>
    </row>
    <row r="48" spans="1:12" x14ac:dyDescent="0.2">
      <c r="A48" s="194">
        <f t="shared" si="2"/>
        <v>117</v>
      </c>
      <c r="B48" s="861">
        <v>190</v>
      </c>
      <c r="C48" s="862" t="s">
        <v>2946</v>
      </c>
      <c r="D48" s="863">
        <v>0</v>
      </c>
      <c r="E48" s="715"/>
      <c r="F48" s="715"/>
      <c r="G48" s="715"/>
      <c r="H48" s="715">
        <v>0</v>
      </c>
      <c r="I48" s="644" t="s">
        <v>2947</v>
      </c>
      <c r="J48" s="644"/>
      <c r="K48" s="747"/>
      <c r="L48" s="747"/>
    </row>
    <row r="49" spans="1:12" x14ac:dyDescent="0.2">
      <c r="A49" s="194">
        <f t="shared" si="2"/>
        <v>118</v>
      </c>
      <c r="B49" s="861">
        <v>190</v>
      </c>
      <c r="C49" s="862" t="s">
        <v>2948</v>
      </c>
      <c r="D49" s="863">
        <v>-7190885.8200000003</v>
      </c>
      <c r="E49" s="715">
        <v>-7190885.8200000003</v>
      </c>
      <c r="F49" s="715"/>
      <c r="G49" s="715"/>
      <c r="H49" s="715"/>
      <c r="I49" s="644" t="s">
        <v>2949</v>
      </c>
      <c r="J49" s="644"/>
      <c r="K49" s="747"/>
      <c r="L49" s="747"/>
    </row>
    <row r="50" spans="1:12" x14ac:dyDescent="0.2">
      <c r="A50" s="194">
        <f t="shared" si="2"/>
        <v>119</v>
      </c>
      <c r="B50" s="861">
        <v>190</v>
      </c>
      <c r="C50" s="862" t="s">
        <v>2950</v>
      </c>
      <c r="D50" s="863">
        <v>2413867.23</v>
      </c>
      <c r="E50" s="1156">
        <f>D50*$G$341</f>
        <v>2080.6251816597005</v>
      </c>
      <c r="F50" s="715"/>
      <c r="G50" s="715">
        <f>D50-E50</f>
        <v>2411786.6048183404</v>
      </c>
      <c r="H50" s="715"/>
      <c r="I50" s="644" t="s">
        <v>2921</v>
      </c>
      <c r="J50" s="644"/>
      <c r="K50" s="747"/>
      <c r="L50" s="747"/>
    </row>
    <row r="51" spans="1:12" x14ac:dyDescent="0.2">
      <c r="A51" s="194">
        <f t="shared" si="2"/>
        <v>120</v>
      </c>
      <c r="B51" s="861">
        <v>190</v>
      </c>
      <c r="C51" s="862" t="s">
        <v>2951</v>
      </c>
      <c r="D51" s="863">
        <v>24373366.679999992</v>
      </c>
      <c r="E51" s="715">
        <v>24373366.679999992</v>
      </c>
      <c r="F51" s="715"/>
      <c r="G51" s="715"/>
      <c r="H51" s="715"/>
      <c r="I51" s="644" t="s">
        <v>2952</v>
      </c>
      <c r="J51" s="644"/>
      <c r="K51" s="747"/>
      <c r="L51" s="747"/>
    </row>
    <row r="52" spans="1:12" x14ac:dyDescent="0.2">
      <c r="A52" s="194">
        <f t="shared" si="2"/>
        <v>121</v>
      </c>
      <c r="B52" s="861">
        <v>190</v>
      </c>
      <c r="C52" s="862" t="s">
        <v>2953</v>
      </c>
      <c r="D52" s="863">
        <v>94977296.399999991</v>
      </c>
      <c r="E52" s="715">
        <v>94977296.399999991</v>
      </c>
      <c r="F52" s="715"/>
      <c r="G52" s="715"/>
      <c r="H52" s="715"/>
      <c r="I52" s="644" t="s">
        <v>2940</v>
      </c>
      <c r="J52" s="644"/>
      <c r="K52" s="747"/>
      <c r="L52" s="747"/>
    </row>
    <row r="53" spans="1:12" x14ac:dyDescent="0.2">
      <c r="A53" s="194">
        <f t="shared" si="2"/>
        <v>122</v>
      </c>
      <c r="B53" s="861">
        <v>190</v>
      </c>
      <c r="C53" s="862" t="s">
        <v>2954</v>
      </c>
      <c r="D53" s="863">
        <v>34320011.369999997</v>
      </c>
      <c r="E53" s="715">
        <v>34320011.369999997</v>
      </c>
      <c r="F53" s="715"/>
      <c r="G53" s="715"/>
      <c r="H53" s="715"/>
      <c r="I53" s="644" t="s">
        <v>2955</v>
      </c>
      <c r="J53" s="644"/>
      <c r="K53" s="747"/>
      <c r="L53" s="747"/>
    </row>
    <row r="54" spans="1:12" x14ac:dyDescent="0.2">
      <c r="A54" s="194">
        <f t="shared" si="2"/>
        <v>123</v>
      </c>
      <c r="B54" s="861">
        <v>190</v>
      </c>
      <c r="C54" s="862" t="s">
        <v>2956</v>
      </c>
      <c r="D54" s="863">
        <v>935731</v>
      </c>
      <c r="E54" s="715">
        <v>935731</v>
      </c>
      <c r="F54" s="715"/>
      <c r="G54" s="715"/>
      <c r="H54" s="715"/>
      <c r="I54" s="644" t="s">
        <v>2955</v>
      </c>
      <c r="J54" s="644"/>
      <c r="K54" s="747"/>
      <c r="L54" s="747"/>
    </row>
    <row r="55" spans="1:12" x14ac:dyDescent="0.2">
      <c r="A55" s="194">
        <f t="shared" si="2"/>
        <v>124</v>
      </c>
      <c r="B55" s="861">
        <v>190</v>
      </c>
      <c r="C55" s="862" t="s">
        <v>2957</v>
      </c>
      <c r="D55" s="863">
        <v>5355398.6100000003</v>
      </c>
      <c r="E55" s="715">
        <f>D55*$G$333</f>
        <v>7154.8498840222856</v>
      </c>
      <c r="F55" s="715"/>
      <c r="G55" s="715"/>
      <c r="H55" s="715">
        <f t="shared" ref="H55:H56" si="3">D55-E55</f>
        <v>5348243.7601159783</v>
      </c>
      <c r="I55" s="644" t="s">
        <v>2930</v>
      </c>
      <c r="J55" s="644"/>
      <c r="K55" s="747"/>
      <c r="L55" s="747"/>
    </row>
    <row r="56" spans="1:12" x14ac:dyDescent="0.2">
      <c r="A56" s="194">
        <f t="shared" si="2"/>
        <v>125</v>
      </c>
      <c r="B56" s="861">
        <v>190</v>
      </c>
      <c r="C56" s="862" t="s">
        <v>2957</v>
      </c>
      <c r="D56" s="863">
        <v>0</v>
      </c>
      <c r="E56" s="715">
        <f>D56*$G$333</f>
        <v>0</v>
      </c>
      <c r="F56" s="715"/>
      <c r="G56" s="715"/>
      <c r="H56" s="715">
        <f t="shared" si="3"/>
        <v>0</v>
      </c>
      <c r="I56" s="644" t="s">
        <v>2930</v>
      </c>
      <c r="J56" s="644"/>
      <c r="K56" s="747"/>
      <c r="L56" s="747"/>
    </row>
    <row r="57" spans="1:12" x14ac:dyDescent="0.2">
      <c r="A57" s="194">
        <f t="shared" si="2"/>
        <v>126</v>
      </c>
      <c r="B57" s="861">
        <v>190</v>
      </c>
      <c r="C57" s="862" t="s">
        <v>2958</v>
      </c>
      <c r="D57" s="863">
        <v>119047041.95</v>
      </c>
      <c r="E57" s="715">
        <v>119047041.95</v>
      </c>
      <c r="F57" s="715"/>
      <c r="G57" s="715"/>
      <c r="H57" s="715"/>
      <c r="I57" s="644" t="s">
        <v>2943</v>
      </c>
      <c r="J57" s="644"/>
      <c r="K57" s="747"/>
      <c r="L57" s="747"/>
    </row>
    <row r="58" spans="1:12" x14ac:dyDescent="0.2">
      <c r="A58" s="194">
        <f t="shared" si="2"/>
        <v>127</v>
      </c>
      <c r="B58" s="861">
        <v>190</v>
      </c>
      <c r="C58" s="862" t="s">
        <v>2959</v>
      </c>
      <c r="D58" s="863">
        <v>29436240.510000002</v>
      </c>
      <c r="E58" s="715">
        <v>29436240.510000002</v>
      </c>
      <c r="F58" s="715"/>
      <c r="G58" s="715"/>
      <c r="H58" s="715"/>
      <c r="I58" s="644" t="s">
        <v>2943</v>
      </c>
      <c r="J58" s="644"/>
      <c r="K58" s="747"/>
      <c r="L58" s="747"/>
    </row>
    <row r="59" spans="1:12" x14ac:dyDescent="0.2">
      <c r="A59" s="194">
        <f t="shared" si="2"/>
        <v>128</v>
      </c>
      <c r="B59" s="861">
        <v>190</v>
      </c>
      <c r="C59" s="862" t="s">
        <v>2960</v>
      </c>
      <c r="D59" s="863">
        <v>0</v>
      </c>
      <c r="E59" s="715">
        <v>0</v>
      </c>
      <c r="F59" s="715"/>
      <c r="G59" s="715"/>
      <c r="H59" s="715"/>
      <c r="I59" s="644" t="s">
        <v>2961</v>
      </c>
      <c r="J59" s="644"/>
      <c r="K59" s="747"/>
      <c r="L59" s="747"/>
    </row>
    <row r="60" spans="1:12" x14ac:dyDescent="0.2">
      <c r="A60" s="194">
        <f t="shared" si="2"/>
        <v>129</v>
      </c>
      <c r="B60" s="861">
        <v>190</v>
      </c>
      <c r="C60" s="862" t="s">
        <v>2962</v>
      </c>
      <c r="D60" s="863">
        <v>7535477.2000000002</v>
      </c>
      <c r="E60" s="715">
        <v>7535477.2000000002</v>
      </c>
      <c r="F60" s="715"/>
      <c r="G60" s="715"/>
      <c r="H60" s="715"/>
      <c r="I60" s="644" t="s">
        <v>2952</v>
      </c>
      <c r="J60" s="644"/>
      <c r="K60" s="747"/>
      <c r="L60" s="747"/>
    </row>
    <row r="61" spans="1:12" x14ac:dyDescent="0.2">
      <c r="A61" s="194">
        <f t="shared" si="2"/>
        <v>130</v>
      </c>
      <c r="B61" s="861">
        <v>190</v>
      </c>
      <c r="C61" s="862" t="s">
        <v>2963</v>
      </c>
      <c r="D61" s="863">
        <v>67302149.700000003</v>
      </c>
      <c r="E61" s="715">
        <f>D61*$G$333</f>
        <v>89916.141270293883</v>
      </c>
      <c r="F61" s="715"/>
      <c r="G61" s="715"/>
      <c r="H61" s="715">
        <f t="shared" ref="H61" si="4">D61-E61</f>
        <v>67212233.558729708</v>
      </c>
      <c r="I61" s="644" t="s">
        <v>2930</v>
      </c>
      <c r="J61" s="644"/>
      <c r="K61" s="747"/>
      <c r="L61" s="747"/>
    </row>
    <row r="62" spans="1:12" x14ac:dyDescent="0.2">
      <c r="A62" s="194">
        <f t="shared" si="2"/>
        <v>131</v>
      </c>
      <c r="B62" s="861">
        <v>190</v>
      </c>
      <c r="C62" s="862" t="s">
        <v>2964</v>
      </c>
      <c r="D62" s="863">
        <v>-9417473.6900000013</v>
      </c>
      <c r="E62" s="715">
        <v>-9417473.6900000013</v>
      </c>
      <c r="F62" s="715"/>
      <c r="G62" s="715"/>
      <c r="H62" s="715"/>
      <c r="I62" s="644" t="s">
        <v>2952</v>
      </c>
      <c r="J62" s="644"/>
      <c r="K62" s="747"/>
      <c r="L62" s="747"/>
    </row>
    <row r="63" spans="1:12" x14ac:dyDescent="0.2">
      <c r="A63" s="194">
        <f t="shared" si="2"/>
        <v>132</v>
      </c>
      <c r="B63" s="861">
        <v>190</v>
      </c>
      <c r="C63" s="862" t="s">
        <v>2965</v>
      </c>
      <c r="D63" s="863">
        <v>373530112.64999998</v>
      </c>
      <c r="E63" s="715">
        <v>373530112.64999998</v>
      </c>
      <c r="F63" s="715"/>
      <c r="G63" s="715"/>
      <c r="H63" s="715"/>
      <c r="I63" s="644" t="s">
        <v>2966</v>
      </c>
      <c r="J63" s="644"/>
      <c r="K63" s="747"/>
      <c r="L63" s="747"/>
    </row>
    <row r="64" spans="1:12" x14ac:dyDescent="0.2">
      <c r="A64" s="194">
        <f t="shared" si="2"/>
        <v>133</v>
      </c>
      <c r="B64" s="861">
        <v>190</v>
      </c>
      <c r="C64" s="862" t="s">
        <v>2967</v>
      </c>
      <c r="D64" s="863">
        <v>30204</v>
      </c>
      <c r="E64" s="715">
        <v>30204</v>
      </c>
      <c r="F64" s="715"/>
      <c r="G64" s="715"/>
      <c r="H64" s="715"/>
      <c r="I64" s="644" t="s">
        <v>2940</v>
      </c>
      <c r="J64" s="644"/>
      <c r="K64" s="747"/>
      <c r="L64" s="747"/>
    </row>
    <row r="65" spans="1:12" x14ac:dyDescent="0.2">
      <c r="A65" s="194">
        <f t="shared" si="2"/>
        <v>134</v>
      </c>
      <c r="B65" s="861">
        <v>190</v>
      </c>
      <c r="C65" s="862" t="s">
        <v>2968</v>
      </c>
      <c r="D65" s="863">
        <v>25711320.350000001</v>
      </c>
      <c r="E65" s="715">
        <f>D65*$G$333</f>
        <v>34350.50326239998</v>
      </c>
      <c r="F65" s="715"/>
      <c r="G65" s="715"/>
      <c r="H65" s="715">
        <f t="shared" ref="H65:H66" si="5">D65-E65</f>
        <v>25676969.846737601</v>
      </c>
      <c r="I65" s="644" t="s">
        <v>2930</v>
      </c>
      <c r="J65" s="644"/>
      <c r="K65" s="747"/>
      <c r="L65" s="747"/>
    </row>
    <row r="66" spans="1:12" x14ac:dyDescent="0.2">
      <c r="A66" s="194">
        <f t="shared" si="2"/>
        <v>135</v>
      </c>
      <c r="B66" s="861">
        <v>190</v>
      </c>
      <c r="C66" s="862" t="s">
        <v>2969</v>
      </c>
      <c r="D66" s="863">
        <v>1642329.4300000002</v>
      </c>
      <c r="E66" s="715">
        <f>D66*$G$333</f>
        <v>2194.1635697892311</v>
      </c>
      <c r="F66" s="715"/>
      <c r="G66" s="715"/>
      <c r="H66" s="715">
        <f t="shared" si="5"/>
        <v>1640135.266430211</v>
      </c>
      <c r="I66" s="644" t="s">
        <v>2930</v>
      </c>
      <c r="J66" s="644"/>
      <c r="K66" s="747"/>
      <c r="L66" s="747"/>
    </row>
    <row r="67" spans="1:12" x14ac:dyDescent="0.2">
      <c r="A67" s="194">
        <f t="shared" si="2"/>
        <v>136</v>
      </c>
      <c r="B67" s="861">
        <v>190</v>
      </c>
      <c r="C67" s="862" t="s">
        <v>2970</v>
      </c>
      <c r="D67" s="863">
        <v>5213759.01</v>
      </c>
      <c r="E67" s="715">
        <v>5213759.01</v>
      </c>
      <c r="F67" s="715"/>
      <c r="G67" s="715"/>
      <c r="H67" s="715"/>
      <c r="I67" s="644" t="s">
        <v>2943</v>
      </c>
      <c r="J67" s="644"/>
      <c r="K67" s="747"/>
      <c r="L67" s="747"/>
    </row>
    <row r="68" spans="1:12" x14ac:dyDescent="0.2">
      <c r="A68" s="194">
        <f t="shared" si="2"/>
        <v>137</v>
      </c>
      <c r="B68" s="861">
        <v>190</v>
      </c>
      <c r="C68" s="862" t="s">
        <v>2971</v>
      </c>
      <c r="D68" s="863">
        <v>29586311.989999998</v>
      </c>
      <c r="E68" s="715"/>
      <c r="F68" s="715"/>
      <c r="G68" s="715">
        <v>29586311.989999998</v>
      </c>
      <c r="H68" s="715"/>
      <c r="I68" s="644" t="s">
        <v>2972</v>
      </c>
      <c r="J68" s="644"/>
      <c r="K68" s="747"/>
      <c r="L68" s="747"/>
    </row>
    <row r="69" spans="1:12" x14ac:dyDescent="0.2">
      <c r="A69" s="194">
        <f t="shared" si="2"/>
        <v>138</v>
      </c>
      <c r="B69" s="861">
        <v>190</v>
      </c>
      <c r="C69" s="862" t="s">
        <v>2973</v>
      </c>
      <c r="D69" s="863">
        <v>49878.37</v>
      </c>
      <c r="E69" s="1156">
        <f>D69*$G$341</f>
        <v>42.992502384706455</v>
      </c>
      <c r="F69" s="715"/>
      <c r="G69" s="715">
        <f>D69-E69</f>
        <v>49835.377497615293</v>
      </c>
      <c r="H69" s="715"/>
      <c r="I69" s="644" t="s">
        <v>2921</v>
      </c>
      <c r="J69" s="644"/>
      <c r="K69" s="747"/>
      <c r="L69" s="747"/>
    </row>
    <row r="70" spans="1:12" x14ac:dyDescent="0.2">
      <c r="A70" s="194">
        <f t="shared" si="2"/>
        <v>139</v>
      </c>
      <c r="B70" s="861">
        <v>190</v>
      </c>
      <c r="C70" s="862" t="s">
        <v>2974</v>
      </c>
      <c r="D70" s="863">
        <v>36046543.829999998</v>
      </c>
      <c r="E70" s="715">
        <f>D70</f>
        <v>36046543.829999998</v>
      </c>
      <c r="F70" s="715"/>
      <c r="G70" s="715"/>
      <c r="H70" s="715"/>
      <c r="I70" s="644" t="s">
        <v>2975</v>
      </c>
      <c r="J70" s="644"/>
      <c r="K70" s="747"/>
      <c r="L70" s="747"/>
    </row>
    <row r="71" spans="1:12" x14ac:dyDescent="0.2">
      <c r="A71" s="194">
        <f t="shared" si="2"/>
        <v>140</v>
      </c>
      <c r="B71" s="861">
        <v>190</v>
      </c>
      <c r="C71" s="862" t="s">
        <v>2976</v>
      </c>
      <c r="D71" s="863">
        <v>82624767.600000009</v>
      </c>
      <c r="E71" s="715">
        <v>82624767.600000009</v>
      </c>
      <c r="F71" s="715"/>
      <c r="G71" s="715"/>
      <c r="H71" s="715"/>
      <c r="I71" s="644" t="s">
        <v>2966</v>
      </c>
      <c r="J71" s="644"/>
      <c r="K71" s="747"/>
      <c r="L71" s="747"/>
    </row>
    <row r="72" spans="1:12" x14ac:dyDescent="0.2">
      <c r="A72" s="194">
        <f t="shared" si="2"/>
        <v>141</v>
      </c>
      <c r="B72" s="861">
        <v>190</v>
      </c>
      <c r="C72" s="862" t="s">
        <v>2977</v>
      </c>
      <c r="D72" s="863">
        <v>8980342.6899999995</v>
      </c>
      <c r="E72" s="715">
        <v>8980342.6899999995</v>
      </c>
      <c r="F72" s="715"/>
      <c r="G72" s="715"/>
      <c r="H72" s="715"/>
      <c r="I72" s="644" t="s">
        <v>2978</v>
      </c>
      <c r="J72" s="644"/>
      <c r="K72" s="747"/>
      <c r="L72" s="747"/>
    </row>
    <row r="73" spans="1:12" x14ac:dyDescent="0.2">
      <c r="A73" s="115"/>
      <c r="B73" s="864"/>
      <c r="C73" s="865"/>
      <c r="D73" s="866"/>
      <c r="E73" s="242"/>
      <c r="F73" s="242"/>
      <c r="G73" s="242"/>
      <c r="H73" s="242"/>
      <c r="I73" s="248"/>
      <c r="J73" s="248"/>
      <c r="K73" s="747"/>
      <c r="L73" s="747"/>
    </row>
    <row r="74" spans="1:12" x14ac:dyDescent="0.2">
      <c r="A74" s="115"/>
      <c r="B74" s="852" t="s">
        <v>2038</v>
      </c>
      <c r="C74" s="855"/>
      <c r="D74" s="859"/>
      <c r="E74" s="238"/>
      <c r="F74" s="238"/>
      <c r="G74" s="238"/>
      <c r="H74" s="238"/>
      <c r="I74" s="238"/>
      <c r="J74" s="248"/>
      <c r="K74" s="747"/>
      <c r="L74" s="747"/>
    </row>
    <row r="75" spans="1:12" x14ac:dyDescent="0.2">
      <c r="A75" s="115"/>
      <c r="B75" s="852"/>
      <c r="C75" s="86" t="s">
        <v>403</v>
      </c>
      <c r="D75" s="86" t="s">
        <v>387</v>
      </c>
      <c r="E75" s="86" t="s">
        <v>388</v>
      </c>
      <c r="F75" s="86" t="s">
        <v>389</v>
      </c>
      <c r="G75" s="86" t="s">
        <v>390</v>
      </c>
      <c r="H75" s="86" t="s">
        <v>391</v>
      </c>
      <c r="I75" s="86" t="s">
        <v>392</v>
      </c>
      <c r="J75" s="248"/>
      <c r="K75" s="747"/>
      <c r="L75" s="747"/>
    </row>
    <row r="76" spans="1:12" x14ac:dyDescent="0.2">
      <c r="A76" s="115"/>
      <c r="B76" s="856"/>
      <c r="C76" s="856"/>
      <c r="D76" s="856" t="s">
        <v>2028</v>
      </c>
      <c r="E76" s="856" t="s">
        <v>2029</v>
      </c>
      <c r="F76" s="856"/>
      <c r="G76" s="856"/>
      <c r="H76" s="856"/>
      <c r="I76" s="1056" t="s">
        <v>2553</v>
      </c>
      <c r="J76" s="248"/>
      <c r="K76" s="747"/>
      <c r="L76" s="747"/>
    </row>
    <row r="77" spans="1:12" x14ac:dyDescent="0.2">
      <c r="A77" s="115"/>
      <c r="B77" s="860" t="s">
        <v>2030</v>
      </c>
      <c r="C77" s="860" t="s">
        <v>2031</v>
      </c>
      <c r="D77" s="860" t="s">
        <v>2032</v>
      </c>
      <c r="E77" s="860" t="s">
        <v>2033</v>
      </c>
      <c r="F77" s="860" t="s">
        <v>2034</v>
      </c>
      <c r="G77" s="860" t="s">
        <v>2035</v>
      </c>
      <c r="H77" s="860" t="s">
        <v>2036</v>
      </c>
      <c r="I77" s="860" t="s">
        <v>112</v>
      </c>
      <c r="J77" s="248"/>
      <c r="K77" s="747"/>
      <c r="L77" s="747"/>
    </row>
    <row r="78" spans="1:12" x14ac:dyDescent="0.2">
      <c r="A78" s="115"/>
      <c r="B78" s="853" t="s">
        <v>2037</v>
      </c>
      <c r="C78" s="853"/>
      <c r="D78" s="853"/>
      <c r="E78" s="238"/>
      <c r="F78" s="238"/>
      <c r="G78" s="238"/>
      <c r="H78" s="238"/>
      <c r="I78" s="238"/>
      <c r="J78" s="248"/>
      <c r="K78" s="747"/>
      <c r="L78" s="747"/>
    </row>
    <row r="79" spans="1:12" x14ac:dyDescent="0.2">
      <c r="A79" s="194">
        <f>A72+1</f>
        <v>142</v>
      </c>
      <c r="B79" s="861">
        <v>190</v>
      </c>
      <c r="C79" s="862" t="s">
        <v>2979</v>
      </c>
      <c r="D79" s="863">
        <v>2210064.0099999998</v>
      </c>
      <c r="E79" s="715">
        <v>2210064.0099999998</v>
      </c>
      <c r="F79" s="715"/>
      <c r="G79" s="715"/>
      <c r="H79" s="715"/>
      <c r="I79" s="644" t="s">
        <v>2923</v>
      </c>
      <c r="J79" s="644"/>
      <c r="K79" s="747"/>
      <c r="L79" s="747"/>
    </row>
    <row r="80" spans="1:12" x14ac:dyDescent="0.2">
      <c r="A80" s="194">
        <f t="shared" si="2"/>
        <v>143</v>
      </c>
      <c r="B80" s="861">
        <v>190</v>
      </c>
      <c r="C80" s="862" t="s">
        <v>2980</v>
      </c>
      <c r="D80" s="863">
        <v>0</v>
      </c>
      <c r="E80" s="715">
        <v>0</v>
      </c>
      <c r="F80" s="715"/>
      <c r="G80" s="715"/>
      <c r="H80" s="715"/>
      <c r="I80" s="644" t="s">
        <v>2923</v>
      </c>
      <c r="J80" s="644"/>
      <c r="K80" s="747"/>
      <c r="L80" s="747"/>
    </row>
    <row r="81" spans="1:12" x14ac:dyDescent="0.2">
      <c r="A81" s="194">
        <f t="shared" si="2"/>
        <v>144</v>
      </c>
      <c r="B81" s="861">
        <v>190</v>
      </c>
      <c r="C81" s="862" t="s">
        <v>2981</v>
      </c>
      <c r="D81" s="863">
        <v>-22007952.530000001</v>
      </c>
      <c r="E81" s="715">
        <v>-22007952.530000001</v>
      </c>
      <c r="F81" s="715"/>
      <c r="G81" s="715"/>
      <c r="H81" s="715"/>
      <c r="I81" s="644" t="s">
        <v>2923</v>
      </c>
      <c r="J81" s="644"/>
      <c r="K81" s="747"/>
      <c r="L81" s="747"/>
    </row>
    <row r="82" spans="1:12" x14ac:dyDescent="0.2">
      <c r="A82" s="194">
        <f t="shared" si="2"/>
        <v>145</v>
      </c>
      <c r="B82" s="861">
        <v>190</v>
      </c>
      <c r="C82" s="862" t="s">
        <v>2982</v>
      </c>
      <c r="D82" s="863">
        <v>0</v>
      </c>
      <c r="E82" s="715">
        <v>0</v>
      </c>
      <c r="F82" s="715"/>
      <c r="G82" s="715"/>
      <c r="H82" s="715"/>
      <c r="I82" s="644" t="s">
        <v>2923</v>
      </c>
      <c r="J82" s="644"/>
      <c r="K82" s="747"/>
      <c r="L82" s="747"/>
    </row>
    <row r="83" spans="1:12" x14ac:dyDescent="0.2">
      <c r="A83" s="194">
        <f t="shared" si="2"/>
        <v>146</v>
      </c>
      <c r="B83" s="861">
        <v>190</v>
      </c>
      <c r="C83" s="862" t="s">
        <v>2983</v>
      </c>
      <c r="D83" s="863">
        <v>0</v>
      </c>
      <c r="E83" s="715">
        <v>0</v>
      </c>
      <c r="F83" s="715"/>
      <c r="G83" s="715"/>
      <c r="H83" s="715"/>
      <c r="I83" s="644" t="s">
        <v>2923</v>
      </c>
      <c r="J83" s="644"/>
      <c r="K83" s="747"/>
      <c r="L83" s="747"/>
    </row>
    <row r="84" spans="1:12" x14ac:dyDescent="0.2">
      <c r="A84" s="194">
        <f t="shared" si="2"/>
        <v>147</v>
      </c>
      <c r="B84" s="861">
        <v>190</v>
      </c>
      <c r="C84" s="862" t="s">
        <v>2984</v>
      </c>
      <c r="D84" s="863">
        <v>-50315947</v>
      </c>
      <c r="E84" s="715">
        <v>-50315947</v>
      </c>
      <c r="F84" s="715"/>
      <c r="G84" s="715"/>
      <c r="H84" s="715"/>
      <c r="I84" s="644" t="s">
        <v>2923</v>
      </c>
      <c r="J84" s="644"/>
      <c r="K84" s="747"/>
      <c r="L84" s="747"/>
    </row>
    <row r="85" spans="1:12" x14ac:dyDescent="0.2">
      <c r="A85" s="194">
        <f t="shared" si="2"/>
        <v>148</v>
      </c>
      <c r="B85" s="861">
        <v>190</v>
      </c>
      <c r="C85" s="862" t="s">
        <v>2985</v>
      </c>
      <c r="D85" s="863">
        <v>0</v>
      </c>
      <c r="E85" s="715">
        <v>0</v>
      </c>
      <c r="F85" s="715"/>
      <c r="G85" s="715"/>
      <c r="H85" s="715"/>
      <c r="I85" s="644" t="s">
        <v>2923</v>
      </c>
      <c r="J85" s="644"/>
      <c r="K85" s="747"/>
      <c r="L85" s="747"/>
    </row>
    <row r="86" spans="1:12" x14ac:dyDescent="0.2">
      <c r="A86" s="194">
        <f t="shared" si="2"/>
        <v>149</v>
      </c>
      <c r="B86" s="861">
        <v>190</v>
      </c>
      <c r="C86" s="862" t="s">
        <v>2986</v>
      </c>
      <c r="D86" s="863">
        <v>9560241.8800000008</v>
      </c>
      <c r="E86" s="715">
        <v>9560241.8800000008</v>
      </c>
      <c r="F86" s="715"/>
      <c r="G86" s="715"/>
      <c r="H86" s="715"/>
      <c r="I86" s="644" t="s">
        <v>2923</v>
      </c>
      <c r="J86" s="644"/>
      <c r="K86" s="747"/>
      <c r="L86" s="747"/>
    </row>
    <row r="87" spans="1:12" x14ac:dyDescent="0.2">
      <c r="A87" s="194">
        <f t="shared" si="2"/>
        <v>150</v>
      </c>
      <c r="B87" s="861">
        <v>190</v>
      </c>
      <c r="C87" s="862" t="s">
        <v>2987</v>
      </c>
      <c r="D87" s="863">
        <v>-40082616.359999999</v>
      </c>
      <c r="E87" s="715">
        <v>-40082616.359999999</v>
      </c>
      <c r="F87" s="715"/>
      <c r="G87" s="715"/>
      <c r="H87" s="715"/>
      <c r="I87" s="644" t="s">
        <v>2940</v>
      </c>
      <c r="J87" s="644"/>
      <c r="K87" s="747"/>
      <c r="L87" s="747"/>
    </row>
    <row r="88" spans="1:12" x14ac:dyDescent="0.2">
      <c r="A88" s="194">
        <f t="shared" si="2"/>
        <v>151</v>
      </c>
      <c r="B88" s="861">
        <v>190</v>
      </c>
      <c r="C88" s="862" t="s">
        <v>2988</v>
      </c>
      <c r="D88" s="863">
        <v>-120688812.73</v>
      </c>
      <c r="E88" s="715">
        <v>-120688812.73</v>
      </c>
      <c r="F88" s="715"/>
      <c r="G88" s="715"/>
      <c r="H88" s="715"/>
      <c r="I88" s="644" t="s">
        <v>2966</v>
      </c>
      <c r="J88" s="644"/>
      <c r="K88" s="747"/>
      <c r="L88" s="747"/>
    </row>
    <row r="89" spans="1:12" x14ac:dyDescent="0.2">
      <c r="A89" s="194">
        <f t="shared" si="2"/>
        <v>152</v>
      </c>
      <c r="B89" s="861">
        <v>190</v>
      </c>
      <c r="C89" s="862" t="s">
        <v>2989</v>
      </c>
      <c r="D89" s="863">
        <v>0</v>
      </c>
      <c r="E89" s="715">
        <v>0</v>
      </c>
      <c r="F89" s="715"/>
      <c r="G89" s="715"/>
      <c r="H89" s="715"/>
      <c r="I89" s="644" t="s">
        <v>2923</v>
      </c>
      <c r="J89" s="644"/>
      <c r="K89" s="747"/>
      <c r="L89" s="747"/>
    </row>
    <row r="90" spans="1:12" x14ac:dyDescent="0.2">
      <c r="A90" s="194">
        <f t="shared" si="2"/>
        <v>153</v>
      </c>
      <c r="B90" s="861">
        <v>190</v>
      </c>
      <c r="C90" s="862" t="s">
        <v>2990</v>
      </c>
      <c r="D90" s="863">
        <v>0</v>
      </c>
      <c r="E90" s="715">
        <v>0</v>
      </c>
      <c r="F90" s="715"/>
      <c r="G90" s="715"/>
      <c r="H90" s="715"/>
      <c r="I90" s="644" t="s">
        <v>2923</v>
      </c>
      <c r="J90" s="644"/>
      <c r="K90" s="747"/>
      <c r="L90" s="747"/>
    </row>
    <row r="91" spans="1:12" x14ac:dyDescent="0.2">
      <c r="A91" s="194">
        <f t="shared" si="2"/>
        <v>154</v>
      </c>
      <c r="B91" s="861">
        <v>190</v>
      </c>
      <c r="C91" s="862" t="s">
        <v>2991</v>
      </c>
      <c r="D91" s="863">
        <v>-46121980.620000005</v>
      </c>
      <c r="E91" s="715">
        <v>-46121980.620000005</v>
      </c>
      <c r="F91" s="715"/>
      <c r="G91" s="715"/>
      <c r="H91" s="715"/>
      <c r="I91" s="644" t="s">
        <v>2992</v>
      </c>
      <c r="J91" s="644"/>
      <c r="K91" s="747"/>
      <c r="L91" s="747"/>
    </row>
    <row r="92" spans="1:12" x14ac:dyDescent="0.2">
      <c r="A92" s="194">
        <f t="shared" si="2"/>
        <v>155</v>
      </c>
      <c r="B92" s="861">
        <v>190</v>
      </c>
      <c r="C92" s="862" t="s">
        <v>2993</v>
      </c>
      <c r="D92" s="863">
        <v>200689898.10999998</v>
      </c>
      <c r="E92" s="1156">
        <f>D92*$G$341</f>
        <v>172984.01938717463</v>
      </c>
      <c r="F92" s="715"/>
      <c r="G92" s="715">
        <f>D92-E92</f>
        <v>200516914.0906128</v>
      </c>
      <c r="H92" s="715"/>
      <c r="I92" s="644" t="s">
        <v>2921</v>
      </c>
      <c r="J92" s="644"/>
      <c r="K92" s="747"/>
      <c r="L92" s="747"/>
    </row>
    <row r="93" spans="1:12" x14ac:dyDescent="0.2">
      <c r="A93" s="194">
        <f t="shared" si="2"/>
        <v>156</v>
      </c>
      <c r="B93" s="861">
        <v>190</v>
      </c>
      <c r="C93" s="862" t="s">
        <v>2994</v>
      </c>
      <c r="D93" s="863">
        <v>295902392.60000002</v>
      </c>
      <c r="E93" s="715">
        <v>295902392.60000002</v>
      </c>
      <c r="F93" s="715"/>
      <c r="G93" s="715"/>
      <c r="H93" s="715"/>
      <c r="I93" s="644" t="s">
        <v>2992</v>
      </c>
      <c r="J93" s="644"/>
      <c r="K93" s="747"/>
      <c r="L93" s="747"/>
    </row>
    <row r="94" spans="1:12" x14ac:dyDescent="0.2">
      <c r="A94" s="194">
        <f t="shared" si="2"/>
        <v>157</v>
      </c>
      <c r="B94" s="861">
        <v>190</v>
      </c>
      <c r="C94" s="862" t="s">
        <v>2995</v>
      </c>
      <c r="D94" s="863">
        <v>54306653.490000002</v>
      </c>
      <c r="E94" s="715">
        <f>D94*$G$333</f>
        <v>72554.067721312895</v>
      </c>
      <c r="F94" s="715"/>
      <c r="G94" s="715"/>
      <c r="H94" s="715">
        <f>D94-E94</f>
        <v>54234099.422278687</v>
      </c>
      <c r="I94" s="644" t="s">
        <v>2996</v>
      </c>
      <c r="J94" s="644"/>
      <c r="K94" s="747"/>
      <c r="L94" s="747"/>
    </row>
    <row r="95" spans="1:12" x14ac:dyDescent="0.2">
      <c r="A95" s="194">
        <f t="shared" si="2"/>
        <v>158</v>
      </c>
      <c r="B95" s="867">
        <v>190</v>
      </c>
      <c r="C95" s="862" t="s">
        <v>2997</v>
      </c>
      <c r="D95" s="863">
        <v>12907876.539999999</v>
      </c>
      <c r="E95" s="715">
        <v>12907876.539999999</v>
      </c>
      <c r="F95" s="715"/>
      <c r="G95" s="715"/>
      <c r="H95" s="715"/>
      <c r="I95" s="644" t="s">
        <v>2940</v>
      </c>
      <c r="J95" s="644"/>
      <c r="K95" s="747"/>
      <c r="L95" s="747"/>
    </row>
    <row r="96" spans="1:12" x14ac:dyDescent="0.2">
      <c r="A96" s="194">
        <f t="shared" ref="A96:A138" si="6">A95+1</f>
        <v>159</v>
      </c>
      <c r="B96" s="861">
        <v>190</v>
      </c>
      <c r="C96" s="862" t="s">
        <v>2998</v>
      </c>
      <c r="D96" s="863">
        <v>-13398915.619999999</v>
      </c>
      <c r="E96" s="715">
        <v>-13398915.619999999</v>
      </c>
      <c r="F96" s="715"/>
      <c r="G96" s="715"/>
      <c r="H96" s="715"/>
      <c r="I96" s="644" t="s">
        <v>2999</v>
      </c>
      <c r="J96" s="644"/>
      <c r="K96" s="747"/>
      <c r="L96" s="747"/>
    </row>
    <row r="97" spans="1:12" x14ac:dyDescent="0.2">
      <c r="A97" s="194">
        <f t="shared" si="6"/>
        <v>160</v>
      </c>
      <c r="B97" s="861">
        <v>190</v>
      </c>
      <c r="C97" s="862" t="s">
        <v>2998</v>
      </c>
      <c r="D97" s="863">
        <v>13398916</v>
      </c>
      <c r="E97" s="715">
        <v>13398916</v>
      </c>
      <c r="F97" s="715"/>
      <c r="G97" s="715"/>
      <c r="H97" s="715"/>
      <c r="I97" s="644" t="s">
        <v>2999</v>
      </c>
      <c r="J97" s="644"/>
      <c r="K97" s="747"/>
      <c r="L97" s="747"/>
    </row>
    <row r="98" spans="1:12" x14ac:dyDescent="0.2">
      <c r="A98" s="194">
        <f t="shared" si="6"/>
        <v>161</v>
      </c>
      <c r="B98" s="861">
        <v>190</v>
      </c>
      <c r="C98" s="862" t="s">
        <v>3000</v>
      </c>
      <c r="D98" s="863">
        <v>71090.360000000015</v>
      </c>
      <c r="E98" s="715">
        <v>71090.360000000015</v>
      </c>
      <c r="F98" s="715"/>
      <c r="G98" s="715"/>
      <c r="H98" s="715"/>
      <c r="I98" s="644" t="s">
        <v>2999</v>
      </c>
      <c r="J98" s="644"/>
      <c r="K98" s="747"/>
      <c r="L98" s="747"/>
    </row>
    <row r="99" spans="1:12" x14ac:dyDescent="0.2">
      <c r="A99" s="194">
        <f t="shared" si="6"/>
        <v>162</v>
      </c>
      <c r="B99" s="861">
        <v>190</v>
      </c>
      <c r="C99" s="862" t="s">
        <v>3001</v>
      </c>
      <c r="D99" s="863">
        <v>-998888.12</v>
      </c>
      <c r="E99" s="715">
        <v>-998888.12</v>
      </c>
      <c r="F99" s="715"/>
      <c r="G99" s="715"/>
      <c r="H99" s="715"/>
      <c r="I99" s="644" t="s">
        <v>2940</v>
      </c>
      <c r="J99" s="644"/>
      <c r="K99" s="747"/>
      <c r="L99" s="747"/>
    </row>
    <row r="100" spans="1:12" x14ac:dyDescent="0.2">
      <c r="A100" s="194">
        <f t="shared" si="6"/>
        <v>163</v>
      </c>
      <c r="B100" s="861">
        <v>190</v>
      </c>
      <c r="C100" s="862" t="s">
        <v>3001</v>
      </c>
      <c r="D100" s="863">
        <v>998888.12</v>
      </c>
      <c r="E100" s="715">
        <v>998888.12</v>
      </c>
      <c r="F100" s="715"/>
      <c r="G100" s="715"/>
      <c r="H100" s="715"/>
      <c r="I100" s="644" t="s">
        <v>2940</v>
      </c>
      <c r="J100" s="644"/>
      <c r="K100" s="747"/>
      <c r="L100" s="747"/>
    </row>
    <row r="101" spans="1:12" x14ac:dyDescent="0.2">
      <c r="A101" s="194">
        <f t="shared" si="6"/>
        <v>164</v>
      </c>
      <c r="B101" s="861">
        <v>190</v>
      </c>
      <c r="C101" s="862" t="s">
        <v>3002</v>
      </c>
      <c r="D101" s="863">
        <v>0</v>
      </c>
      <c r="E101" s="715">
        <v>0</v>
      </c>
      <c r="F101" s="715"/>
      <c r="G101" s="715"/>
      <c r="H101" s="715"/>
      <c r="I101" s="644" t="s">
        <v>2923</v>
      </c>
      <c r="J101" s="644"/>
      <c r="K101" s="747"/>
      <c r="L101" s="747"/>
    </row>
    <row r="102" spans="1:12" x14ac:dyDescent="0.2">
      <c r="A102" s="194">
        <f t="shared" si="6"/>
        <v>165</v>
      </c>
      <c r="B102" s="861">
        <v>190</v>
      </c>
      <c r="C102" s="862" t="s">
        <v>3003</v>
      </c>
      <c r="D102" s="863">
        <v>0</v>
      </c>
      <c r="E102" s="715">
        <v>0</v>
      </c>
      <c r="F102" s="715"/>
      <c r="G102" s="715"/>
      <c r="H102" s="715"/>
      <c r="I102" s="644" t="s">
        <v>2923</v>
      </c>
      <c r="J102" s="644"/>
      <c r="K102" s="747"/>
      <c r="L102" s="747"/>
    </row>
    <row r="103" spans="1:12" x14ac:dyDescent="0.2">
      <c r="A103" s="194">
        <f t="shared" si="6"/>
        <v>166</v>
      </c>
      <c r="B103" s="861">
        <v>190</v>
      </c>
      <c r="C103" s="862" t="s">
        <v>3004</v>
      </c>
      <c r="D103" s="863">
        <v>458781</v>
      </c>
      <c r="E103" s="715">
        <v>458781</v>
      </c>
      <c r="F103" s="715"/>
      <c r="G103" s="715"/>
      <c r="H103" s="715"/>
      <c r="I103" s="644" t="s">
        <v>2961</v>
      </c>
      <c r="J103" s="644"/>
      <c r="K103" s="747"/>
      <c r="L103" s="747"/>
    </row>
    <row r="104" spans="1:12" x14ac:dyDescent="0.2">
      <c r="A104" s="194">
        <f t="shared" si="6"/>
        <v>167</v>
      </c>
      <c r="B104" s="861">
        <v>190</v>
      </c>
      <c r="C104" s="862" t="s">
        <v>3005</v>
      </c>
      <c r="D104" s="863">
        <v>24039389.700000003</v>
      </c>
      <c r="E104" s="715">
        <v>24039389.700000003</v>
      </c>
      <c r="F104" s="715"/>
      <c r="G104" s="715"/>
      <c r="H104" s="715"/>
      <c r="I104" s="644" t="s">
        <v>3006</v>
      </c>
      <c r="J104" s="644"/>
      <c r="K104" s="747"/>
      <c r="L104" s="747"/>
    </row>
    <row r="105" spans="1:12" x14ac:dyDescent="0.2">
      <c r="A105" s="194">
        <f t="shared" si="6"/>
        <v>168</v>
      </c>
      <c r="B105" s="861">
        <v>190</v>
      </c>
      <c r="C105" s="862" t="s">
        <v>3007</v>
      </c>
      <c r="D105" s="863">
        <v>-138961.92000000001</v>
      </c>
      <c r="E105" s="715">
        <v>-138961.92000000001</v>
      </c>
      <c r="F105" s="715"/>
      <c r="G105" s="715"/>
      <c r="H105" s="715"/>
      <c r="I105" s="644" t="s">
        <v>2940</v>
      </c>
      <c r="J105" s="644"/>
      <c r="K105" s="747"/>
      <c r="L105" s="747"/>
    </row>
    <row r="106" spans="1:12" x14ac:dyDescent="0.2">
      <c r="A106" s="194">
        <f t="shared" si="6"/>
        <v>169</v>
      </c>
      <c r="B106" s="861">
        <v>190</v>
      </c>
      <c r="C106" s="862" t="s">
        <v>3008</v>
      </c>
      <c r="D106" s="863">
        <v>-472825</v>
      </c>
      <c r="E106" s="715">
        <v>-472825</v>
      </c>
      <c r="F106" s="715"/>
      <c r="G106" s="715"/>
      <c r="H106" s="715"/>
      <c r="I106" s="644" t="s">
        <v>2940</v>
      </c>
      <c r="J106" s="644"/>
      <c r="K106" s="747"/>
      <c r="L106" s="747"/>
    </row>
    <row r="107" spans="1:12" x14ac:dyDescent="0.2">
      <c r="A107" s="194">
        <f t="shared" si="6"/>
        <v>170</v>
      </c>
      <c r="B107" s="861">
        <v>190</v>
      </c>
      <c r="C107" s="862" t="s">
        <v>3009</v>
      </c>
      <c r="D107" s="863">
        <v>13251947.48</v>
      </c>
      <c r="E107" s="715">
        <v>13251947.48</v>
      </c>
      <c r="F107" s="715"/>
      <c r="G107" s="715"/>
      <c r="H107" s="715"/>
      <c r="I107" s="644" t="s">
        <v>2923</v>
      </c>
      <c r="J107" s="644"/>
      <c r="K107" s="747"/>
      <c r="L107" s="747"/>
    </row>
    <row r="108" spans="1:12" x14ac:dyDescent="0.2">
      <c r="A108" s="194">
        <f t="shared" si="6"/>
        <v>171</v>
      </c>
      <c r="B108" s="861">
        <v>190</v>
      </c>
      <c r="C108" s="862" t="s">
        <v>3010</v>
      </c>
      <c r="D108" s="863">
        <v>-14527133.74</v>
      </c>
      <c r="E108" s="715">
        <v>-14527133.74</v>
      </c>
      <c r="F108" s="715"/>
      <c r="G108" s="715"/>
      <c r="H108" s="715"/>
      <c r="I108" s="644" t="s">
        <v>2923</v>
      </c>
      <c r="J108" s="644"/>
      <c r="K108" s="747"/>
      <c r="L108" s="747"/>
    </row>
    <row r="109" spans="1:12" x14ac:dyDescent="0.2">
      <c r="A109" s="194">
        <f t="shared" si="6"/>
        <v>172</v>
      </c>
      <c r="B109" s="861">
        <v>190</v>
      </c>
      <c r="C109" s="862" t="s">
        <v>3011</v>
      </c>
      <c r="D109" s="863">
        <v>-9792331.7899999991</v>
      </c>
      <c r="E109" s="715">
        <v>-9792331.7899999991</v>
      </c>
      <c r="F109" s="715"/>
      <c r="G109" s="715"/>
      <c r="H109" s="715"/>
      <c r="I109" s="644" t="s">
        <v>2923</v>
      </c>
      <c r="J109" s="644"/>
      <c r="K109" s="747"/>
      <c r="L109" s="747"/>
    </row>
    <row r="110" spans="1:12" x14ac:dyDescent="0.2">
      <c r="A110" s="194">
        <f t="shared" si="6"/>
        <v>173</v>
      </c>
      <c r="B110" s="861">
        <v>190</v>
      </c>
      <c r="C110" s="862" t="s">
        <v>3012</v>
      </c>
      <c r="D110" s="863">
        <v>-29118.809999999939</v>
      </c>
      <c r="E110" s="715">
        <v>-29118.809999999939</v>
      </c>
      <c r="F110" s="715"/>
      <c r="G110" s="715"/>
      <c r="H110" s="715"/>
      <c r="I110" s="644" t="s">
        <v>2923</v>
      </c>
      <c r="J110" s="644"/>
      <c r="K110" s="747"/>
      <c r="L110" s="747"/>
    </row>
    <row r="111" spans="1:12" x14ac:dyDescent="0.2">
      <c r="A111" s="194">
        <f t="shared" si="6"/>
        <v>174</v>
      </c>
      <c r="B111" s="861">
        <v>190</v>
      </c>
      <c r="C111" s="862" t="s">
        <v>3013</v>
      </c>
      <c r="D111" s="863">
        <v>-281765.99</v>
      </c>
      <c r="E111" s="715">
        <v>-281765.99</v>
      </c>
      <c r="F111" s="715"/>
      <c r="G111" s="715"/>
      <c r="H111" s="715"/>
      <c r="I111" s="644" t="s">
        <v>2923</v>
      </c>
      <c r="J111" s="644"/>
      <c r="K111" s="747"/>
      <c r="L111" s="747"/>
    </row>
    <row r="112" spans="1:12" x14ac:dyDescent="0.2">
      <c r="A112" s="194">
        <f t="shared" si="6"/>
        <v>175</v>
      </c>
      <c r="B112" s="861">
        <v>190</v>
      </c>
      <c r="C112" s="862" t="s">
        <v>3014</v>
      </c>
      <c r="D112" s="863">
        <v>15810624</v>
      </c>
      <c r="E112" s="1156">
        <f>D112*$G$341</f>
        <v>13627.917071542175</v>
      </c>
      <c r="F112" s="715"/>
      <c r="G112" s="715">
        <f>D112-E112</f>
        <v>15796996.082928458</v>
      </c>
      <c r="H112" s="715"/>
      <c r="I112" s="644" t="s">
        <v>2921</v>
      </c>
      <c r="J112" s="644"/>
      <c r="K112" s="747"/>
      <c r="L112" s="747"/>
    </row>
    <row r="113" spans="1:12" x14ac:dyDescent="0.2">
      <c r="A113" s="194">
        <f t="shared" si="6"/>
        <v>176</v>
      </c>
      <c r="B113" s="861">
        <v>190</v>
      </c>
      <c r="C113" s="862" t="s">
        <v>3015</v>
      </c>
      <c r="D113" s="863">
        <v>-7497298.0899999999</v>
      </c>
      <c r="E113" s="715">
        <v>-7497298.0899999999</v>
      </c>
      <c r="F113" s="715"/>
      <c r="G113" s="715"/>
      <c r="H113" s="715"/>
      <c r="I113" s="644" t="s">
        <v>2999</v>
      </c>
      <c r="J113" s="644"/>
      <c r="K113" s="747"/>
      <c r="L113" s="747"/>
    </row>
    <row r="114" spans="1:12" x14ac:dyDescent="0.2">
      <c r="A114" s="194">
        <f t="shared" si="6"/>
        <v>177</v>
      </c>
      <c r="B114" s="861">
        <v>190</v>
      </c>
      <c r="C114" s="862" t="s">
        <v>3016</v>
      </c>
      <c r="D114" s="863">
        <v>9781217.6900000013</v>
      </c>
      <c r="E114" s="715">
        <v>9781217.6900000013</v>
      </c>
      <c r="F114" s="715"/>
      <c r="G114" s="715"/>
      <c r="H114" s="715"/>
      <c r="I114" s="644" t="s">
        <v>3017</v>
      </c>
      <c r="J114" s="644"/>
      <c r="K114" s="747"/>
      <c r="L114" s="747"/>
    </row>
    <row r="115" spans="1:12" x14ac:dyDescent="0.2">
      <c r="A115" s="194">
        <f t="shared" si="6"/>
        <v>178</v>
      </c>
      <c r="B115" s="861">
        <v>190</v>
      </c>
      <c r="C115" s="862" t="s">
        <v>3018</v>
      </c>
      <c r="D115" s="863">
        <v>5516385</v>
      </c>
      <c r="E115" s="715">
        <v>5516385</v>
      </c>
      <c r="F115" s="715"/>
      <c r="G115" s="715"/>
      <c r="H115" s="715"/>
      <c r="I115" s="644" t="s">
        <v>3017</v>
      </c>
      <c r="J115" s="644"/>
      <c r="K115" s="747"/>
      <c r="L115" s="747"/>
    </row>
    <row r="116" spans="1:12" x14ac:dyDescent="0.2">
      <c r="A116" s="194">
        <f t="shared" si="6"/>
        <v>179</v>
      </c>
      <c r="B116" s="861">
        <v>190</v>
      </c>
      <c r="C116" s="862" t="s">
        <v>3019</v>
      </c>
      <c r="D116" s="863">
        <v>177823</v>
      </c>
      <c r="E116" s="1156">
        <f>D116*$G$341</f>
        <v>153.27396928880506</v>
      </c>
      <c r="F116" s="715"/>
      <c r="G116" s="715">
        <f>D116-E116</f>
        <v>177669.7260307112</v>
      </c>
      <c r="H116" s="715"/>
      <c r="I116" s="644" t="s">
        <v>2921</v>
      </c>
      <c r="J116" s="644"/>
      <c r="K116" s="747"/>
      <c r="L116" s="747"/>
    </row>
    <row r="117" spans="1:12" x14ac:dyDescent="0.2">
      <c r="A117" s="194">
        <f t="shared" si="6"/>
        <v>180</v>
      </c>
      <c r="B117" s="868" t="s">
        <v>574</v>
      </c>
      <c r="C117" s="862"/>
      <c r="D117" s="863"/>
      <c r="E117" s="243"/>
      <c r="F117" s="243"/>
      <c r="G117" s="243"/>
      <c r="H117" s="243"/>
      <c r="I117" s="457"/>
      <c r="J117" s="457"/>
      <c r="K117" s="747"/>
      <c r="L117" s="747"/>
    </row>
    <row r="118" spans="1:12" x14ac:dyDescent="0.2">
      <c r="A118" s="811"/>
      <c r="B118" s="869"/>
      <c r="C118" s="853"/>
      <c r="D118" s="870"/>
      <c r="E118" s="240"/>
      <c r="F118" s="240"/>
      <c r="G118" s="240"/>
      <c r="H118" s="240"/>
      <c r="I118" s="386" t="s">
        <v>207</v>
      </c>
      <c r="J118" s="238"/>
      <c r="K118" s="747"/>
      <c r="L118" s="747"/>
    </row>
    <row r="119" spans="1:12" x14ac:dyDescent="0.2">
      <c r="A119" s="115">
        <v>250</v>
      </c>
      <c r="B119" s="853"/>
      <c r="C119" s="853" t="s">
        <v>2039</v>
      </c>
      <c r="D119" s="871">
        <f>SUM(D31:D72)+SUM(D79:D116)</f>
        <v>1214831932.3800001</v>
      </c>
      <c r="E119" s="871">
        <f>SUM(E31:E72)+SUM(E79:E116)</f>
        <v>806354993.6714201</v>
      </c>
      <c r="F119" s="871">
        <f>SUM(F31:F72)+SUM(F79:F116)</f>
        <v>-64265.910000000149</v>
      </c>
      <c r="G119" s="871">
        <f>SUM(G31:G72)+SUM(G79:G116)</f>
        <v>249212656.31835291</v>
      </c>
      <c r="H119" s="871">
        <f>SUM(H31:H72)+SUM(H79:H116)</f>
        <v>159328548.30022696</v>
      </c>
      <c r="I119" s="258" t="str">
        <f>"Sum of Above Lines beginning on Line "&amp;A31&amp;""</f>
        <v>Sum of Above Lines beginning on Line 100</v>
      </c>
      <c r="J119" s="238"/>
      <c r="K119" s="747"/>
      <c r="L119" s="747"/>
    </row>
    <row r="120" spans="1:12" x14ac:dyDescent="0.2">
      <c r="A120" s="811"/>
      <c r="B120" s="853"/>
      <c r="C120" s="853"/>
      <c r="D120" s="872"/>
      <c r="E120" s="240"/>
      <c r="F120" s="240"/>
      <c r="G120" s="240"/>
      <c r="H120" s="240"/>
      <c r="I120" s="238"/>
      <c r="J120" s="238"/>
      <c r="K120" s="747"/>
      <c r="L120" s="747"/>
    </row>
    <row r="121" spans="1:12" x14ac:dyDescent="0.2">
      <c r="A121" s="811"/>
      <c r="B121" s="853" t="s">
        <v>2040</v>
      </c>
      <c r="C121" s="853"/>
      <c r="D121" s="872"/>
      <c r="E121" s="240"/>
      <c r="F121" s="240"/>
      <c r="G121" s="240"/>
      <c r="H121" s="240"/>
      <c r="I121" s="1056" t="s">
        <v>2553</v>
      </c>
      <c r="J121" s="238"/>
      <c r="K121" s="747"/>
      <c r="L121" s="747"/>
    </row>
    <row r="122" spans="1:12" x14ac:dyDescent="0.2">
      <c r="A122" s="811"/>
      <c r="C122" s="86" t="s">
        <v>403</v>
      </c>
      <c r="D122" s="86" t="s">
        <v>387</v>
      </c>
      <c r="E122" s="86" t="s">
        <v>388</v>
      </c>
      <c r="F122" s="86" t="s">
        <v>389</v>
      </c>
      <c r="G122" s="86" t="s">
        <v>390</v>
      </c>
      <c r="H122" s="86" t="s">
        <v>391</v>
      </c>
      <c r="I122" s="86" t="s">
        <v>392</v>
      </c>
      <c r="J122" s="238"/>
      <c r="K122" s="747"/>
      <c r="L122" s="747"/>
    </row>
    <row r="123" spans="1:12" x14ac:dyDescent="0.2">
      <c r="A123" s="194">
        <v>300</v>
      </c>
      <c r="B123" s="861">
        <v>190</v>
      </c>
      <c r="C123" s="862" t="s">
        <v>3020</v>
      </c>
      <c r="D123" s="863">
        <v>120325150.59</v>
      </c>
      <c r="E123" s="243">
        <v>120325150.59</v>
      </c>
      <c r="F123" s="243"/>
      <c r="G123" s="243"/>
      <c r="H123" s="243"/>
      <c r="I123" s="457" t="s">
        <v>3021</v>
      </c>
      <c r="J123" s="457"/>
      <c r="K123" s="747"/>
      <c r="L123" s="747"/>
    </row>
    <row r="124" spans="1:12" x14ac:dyDescent="0.2">
      <c r="A124" s="194">
        <f t="shared" si="6"/>
        <v>301</v>
      </c>
      <c r="B124" s="861">
        <v>190</v>
      </c>
      <c r="C124" s="862" t="s">
        <v>3022</v>
      </c>
      <c r="D124" s="863">
        <v>-484122754.83999997</v>
      </c>
      <c r="E124" s="243">
        <v>-484122754.83999997</v>
      </c>
      <c r="F124" s="243"/>
      <c r="G124" s="243"/>
      <c r="H124" s="243"/>
      <c r="I124" s="457" t="s">
        <v>3021</v>
      </c>
      <c r="J124" s="457"/>
      <c r="K124" s="747"/>
      <c r="L124" s="747"/>
    </row>
    <row r="125" spans="1:12" x14ac:dyDescent="0.2">
      <c r="A125" s="194">
        <f t="shared" si="6"/>
        <v>302</v>
      </c>
      <c r="B125" s="861">
        <v>190</v>
      </c>
      <c r="C125" s="862" t="s">
        <v>3023</v>
      </c>
      <c r="D125" s="863">
        <v>-453788.77</v>
      </c>
      <c r="E125" s="243">
        <v>-453788.77</v>
      </c>
      <c r="F125" s="243"/>
      <c r="G125" s="243"/>
      <c r="H125" s="243"/>
      <c r="I125" s="457" t="s">
        <v>3021</v>
      </c>
      <c r="J125" s="457"/>
      <c r="K125" s="747"/>
      <c r="L125" s="747"/>
    </row>
    <row r="126" spans="1:12" x14ac:dyDescent="0.2">
      <c r="A126" s="194">
        <f t="shared" si="6"/>
        <v>303</v>
      </c>
      <c r="B126" s="861">
        <v>190</v>
      </c>
      <c r="C126" s="862" t="s">
        <v>3024</v>
      </c>
      <c r="D126" s="863">
        <v>-12036</v>
      </c>
      <c r="E126" s="243">
        <v>-12036</v>
      </c>
      <c r="F126" s="243"/>
      <c r="G126" s="243"/>
      <c r="H126" s="243"/>
      <c r="I126" s="457" t="s">
        <v>3021</v>
      </c>
      <c r="J126" s="457"/>
      <c r="K126" s="747"/>
      <c r="L126" s="747"/>
    </row>
    <row r="127" spans="1:12" x14ac:dyDescent="0.2">
      <c r="A127" s="194">
        <f t="shared" si="6"/>
        <v>304</v>
      </c>
      <c r="B127" s="861">
        <v>190</v>
      </c>
      <c r="C127" s="862" t="s">
        <v>3025</v>
      </c>
      <c r="D127" s="863">
        <v>-5100150.62</v>
      </c>
      <c r="E127" s="243">
        <v>-5100150.62</v>
      </c>
      <c r="F127" s="243"/>
      <c r="G127" s="243"/>
      <c r="H127" s="243"/>
      <c r="I127" s="457" t="s">
        <v>3021</v>
      </c>
      <c r="J127" s="457"/>
      <c r="K127" s="747"/>
      <c r="L127" s="747"/>
    </row>
    <row r="128" spans="1:12" x14ac:dyDescent="0.2">
      <c r="A128" s="194">
        <f t="shared" si="6"/>
        <v>305</v>
      </c>
      <c r="B128" s="861">
        <v>190</v>
      </c>
      <c r="C128" s="862" t="s">
        <v>3026</v>
      </c>
      <c r="D128" s="863">
        <v>-9042</v>
      </c>
      <c r="E128" s="243">
        <v>-9042</v>
      </c>
      <c r="F128" s="243"/>
      <c r="G128" s="243"/>
      <c r="H128" s="243"/>
      <c r="I128" s="457" t="s">
        <v>3021</v>
      </c>
      <c r="J128" s="457"/>
      <c r="K128" s="747"/>
      <c r="L128" s="747"/>
    </row>
    <row r="129" spans="1:12" x14ac:dyDescent="0.2">
      <c r="A129" s="194">
        <f t="shared" si="6"/>
        <v>306</v>
      </c>
      <c r="B129" s="861">
        <v>190</v>
      </c>
      <c r="C129" s="862" t="s">
        <v>3027</v>
      </c>
      <c r="D129" s="863">
        <v>4716.84</v>
      </c>
      <c r="E129" s="243">
        <v>4716.84</v>
      </c>
      <c r="F129" s="243"/>
      <c r="G129" s="243"/>
      <c r="H129" s="243"/>
      <c r="I129" s="457" t="s">
        <v>3021</v>
      </c>
      <c r="J129" s="457"/>
      <c r="K129" s="747"/>
      <c r="L129" s="747"/>
    </row>
    <row r="130" spans="1:12" x14ac:dyDescent="0.2">
      <c r="A130" s="194">
        <f t="shared" si="6"/>
        <v>307</v>
      </c>
      <c r="B130" s="861">
        <v>190</v>
      </c>
      <c r="C130" s="862" t="s">
        <v>3028</v>
      </c>
      <c r="D130" s="863">
        <v>23554610</v>
      </c>
      <c r="E130" s="243">
        <v>23554610</v>
      </c>
      <c r="F130" s="243"/>
      <c r="G130" s="243"/>
      <c r="H130" s="243"/>
      <c r="I130" s="457" t="s">
        <v>3021</v>
      </c>
      <c r="J130" s="457"/>
      <c r="K130" s="747"/>
      <c r="L130" s="747"/>
    </row>
    <row r="131" spans="1:12" x14ac:dyDescent="0.2">
      <c r="A131" s="194">
        <f t="shared" si="6"/>
        <v>308</v>
      </c>
      <c r="B131" s="861">
        <v>190</v>
      </c>
      <c r="C131" s="862" t="s">
        <v>3029</v>
      </c>
      <c r="D131" s="863">
        <v>-1687552.87</v>
      </c>
      <c r="E131" s="243">
        <v>-1687552.87</v>
      </c>
      <c r="F131" s="243"/>
      <c r="G131" s="243"/>
      <c r="H131" s="243"/>
      <c r="I131" s="457" t="s">
        <v>3021</v>
      </c>
      <c r="J131" s="457"/>
      <c r="K131" s="747"/>
      <c r="L131" s="747"/>
    </row>
    <row r="132" spans="1:12" x14ac:dyDescent="0.2">
      <c r="A132" s="194">
        <f t="shared" si="6"/>
        <v>309</v>
      </c>
      <c r="B132" s="861">
        <v>190</v>
      </c>
      <c r="C132" s="862" t="s">
        <v>3030</v>
      </c>
      <c r="D132" s="863">
        <v>-67327155.379999995</v>
      </c>
      <c r="E132" s="243">
        <v>-67327155.379999995</v>
      </c>
      <c r="F132" s="243"/>
      <c r="G132" s="243"/>
      <c r="H132" s="243"/>
      <c r="I132" s="457" t="s">
        <v>3021</v>
      </c>
      <c r="J132" s="457"/>
      <c r="K132" s="747"/>
      <c r="L132" s="747"/>
    </row>
    <row r="133" spans="1:12" x14ac:dyDescent="0.2">
      <c r="A133" s="194">
        <f t="shared" si="6"/>
        <v>310</v>
      </c>
      <c r="B133" s="861">
        <v>190</v>
      </c>
      <c r="C133" s="862" t="s">
        <v>3031</v>
      </c>
      <c r="D133" s="863">
        <v>1.0000000000218279E-2</v>
      </c>
      <c r="E133" s="243">
        <v>1.0000000000218279E-2</v>
      </c>
      <c r="F133" s="243"/>
      <c r="G133" s="243"/>
      <c r="H133" s="243"/>
      <c r="I133" s="457" t="s">
        <v>3021</v>
      </c>
      <c r="J133" s="457"/>
      <c r="K133" s="747"/>
      <c r="L133" s="747"/>
    </row>
    <row r="134" spans="1:12" x14ac:dyDescent="0.2">
      <c r="A134" s="194">
        <f t="shared" si="6"/>
        <v>311</v>
      </c>
      <c r="B134" s="861">
        <v>190</v>
      </c>
      <c r="C134" s="862" t="s">
        <v>3032</v>
      </c>
      <c r="D134" s="863">
        <v>0.12</v>
      </c>
      <c r="E134" s="243">
        <v>0.12</v>
      </c>
      <c r="F134" s="243"/>
      <c r="G134" s="243"/>
      <c r="H134" s="243"/>
      <c r="I134" s="457" t="s">
        <v>3021</v>
      </c>
      <c r="J134" s="457"/>
      <c r="K134" s="747"/>
      <c r="L134" s="747"/>
    </row>
    <row r="135" spans="1:12" x14ac:dyDescent="0.2">
      <c r="A135" s="194">
        <f t="shared" si="6"/>
        <v>312</v>
      </c>
      <c r="B135" s="861">
        <v>190</v>
      </c>
      <c r="C135" s="862" t="s">
        <v>3033</v>
      </c>
      <c r="D135" s="863">
        <v>-20849987.039999999</v>
      </c>
      <c r="E135" s="243">
        <v>-20849987.039999999</v>
      </c>
      <c r="F135" s="243"/>
      <c r="G135" s="243"/>
      <c r="H135" s="243"/>
      <c r="I135" s="457" t="s">
        <v>3021</v>
      </c>
      <c r="J135" s="457"/>
      <c r="K135" s="747"/>
      <c r="L135" s="747"/>
    </row>
    <row r="136" spans="1:12" x14ac:dyDescent="0.2">
      <c r="A136" s="194">
        <f t="shared" si="6"/>
        <v>313</v>
      </c>
      <c r="B136" s="861">
        <v>190</v>
      </c>
      <c r="C136" s="862" t="s">
        <v>3034</v>
      </c>
      <c r="D136" s="863">
        <v>-5547383.5199999996</v>
      </c>
      <c r="E136" s="243">
        <v>-5547383.5199999996</v>
      </c>
      <c r="F136" s="243"/>
      <c r="G136" s="243"/>
      <c r="H136" s="243"/>
      <c r="I136" s="457" t="s">
        <v>3021</v>
      </c>
      <c r="J136" s="457"/>
      <c r="K136" s="747"/>
      <c r="L136" s="747"/>
    </row>
    <row r="137" spans="1:12" x14ac:dyDescent="0.2">
      <c r="A137" s="194">
        <f t="shared" si="6"/>
        <v>314</v>
      </c>
      <c r="B137" s="861">
        <v>190</v>
      </c>
      <c r="C137" s="862" t="s">
        <v>3035</v>
      </c>
      <c r="D137" s="863">
        <v>1271570341</v>
      </c>
      <c r="E137" s="243">
        <v>1271570341</v>
      </c>
      <c r="F137" s="243"/>
      <c r="G137" s="243"/>
      <c r="H137" s="243"/>
      <c r="I137" s="457" t="s">
        <v>3036</v>
      </c>
      <c r="J137" s="457"/>
      <c r="K137" s="747"/>
      <c r="L137" s="747"/>
    </row>
    <row r="138" spans="1:12" x14ac:dyDescent="0.2">
      <c r="A138" s="194">
        <f t="shared" si="6"/>
        <v>315</v>
      </c>
      <c r="B138" s="868" t="s">
        <v>574</v>
      </c>
      <c r="C138" s="862"/>
      <c r="D138" s="863"/>
      <c r="E138" s="243"/>
      <c r="F138" s="243"/>
      <c r="G138" s="243"/>
      <c r="H138" s="243"/>
      <c r="I138" s="457"/>
      <c r="J138" s="457"/>
      <c r="K138" s="747"/>
      <c r="L138" s="747"/>
    </row>
    <row r="139" spans="1:12" x14ac:dyDescent="0.2">
      <c r="A139" s="811"/>
      <c r="B139" s="869"/>
      <c r="C139" s="865"/>
      <c r="D139" s="866"/>
      <c r="E139" s="242"/>
      <c r="F139" s="242"/>
      <c r="G139" s="242"/>
      <c r="H139" s="242"/>
      <c r="I139" s="248"/>
      <c r="J139" s="248"/>
      <c r="K139" s="747"/>
      <c r="L139" s="747"/>
    </row>
    <row r="140" spans="1:12" x14ac:dyDescent="0.2">
      <c r="A140" s="811"/>
      <c r="B140" s="869"/>
      <c r="C140" s="86" t="s">
        <v>403</v>
      </c>
      <c r="D140" s="86" t="s">
        <v>387</v>
      </c>
      <c r="E140" s="86" t="s">
        <v>388</v>
      </c>
      <c r="F140" s="86" t="s">
        <v>389</v>
      </c>
      <c r="G140" s="86" t="s">
        <v>390</v>
      </c>
      <c r="H140" s="86" t="s">
        <v>391</v>
      </c>
      <c r="I140" s="386" t="s">
        <v>207</v>
      </c>
      <c r="J140" s="238"/>
    </row>
    <row r="141" spans="1:12" x14ac:dyDescent="0.2">
      <c r="A141" s="775">
        <v>350</v>
      </c>
      <c r="B141" s="853"/>
      <c r="C141" s="853" t="s">
        <v>2041</v>
      </c>
      <c r="D141" s="871">
        <f>SUM(D123:D137)</f>
        <v>830344967.51999998</v>
      </c>
      <c r="E141" s="871">
        <f>SUM(E123:E137)</f>
        <v>830344967.51999998</v>
      </c>
      <c r="F141" s="871">
        <f>SUM(F123:F137)</f>
        <v>0</v>
      </c>
      <c r="G141" s="871">
        <f>SUM(G123:G137)</f>
        <v>0</v>
      </c>
      <c r="H141" s="871">
        <f>SUM(H123:H137)</f>
        <v>0</v>
      </c>
      <c r="I141" s="258" t="str">
        <f>"Sum of Above Lines beginning on Line "&amp;A123&amp;""</f>
        <v>Sum of Above Lines beginning on Line 300</v>
      </c>
      <c r="J141" s="238"/>
    </row>
    <row r="142" spans="1:12" x14ac:dyDescent="0.2">
      <c r="A142" s="775"/>
      <c r="B142" s="853"/>
      <c r="C142" s="853"/>
      <c r="D142" s="871"/>
      <c r="E142" s="871"/>
      <c r="F142" s="871"/>
      <c r="G142" s="871"/>
      <c r="H142" s="871"/>
      <c r="I142" s="258"/>
      <c r="J142" s="238"/>
    </row>
    <row r="143" spans="1:12" x14ac:dyDescent="0.2">
      <c r="A143" s="775">
        <f t="shared" ref="A143" si="7">A141+1</f>
        <v>351</v>
      </c>
      <c r="B143" s="853"/>
      <c r="C143" s="853" t="s">
        <v>2042</v>
      </c>
      <c r="D143" s="871">
        <f>+D141+D119</f>
        <v>2045176899.9000001</v>
      </c>
      <c r="E143" s="871">
        <f>+E141+E119</f>
        <v>1636699961.1914201</v>
      </c>
      <c r="F143" s="871">
        <f>+F141+F119</f>
        <v>-64265.910000000149</v>
      </c>
      <c r="G143" s="871">
        <f>+G141+G119</f>
        <v>249212656.31835291</v>
      </c>
      <c r="H143" s="871">
        <f>+H141+H119</f>
        <v>159328548.30022696</v>
      </c>
      <c r="I143" s="753" t="str">
        <f>"Line "&amp;A119&amp;" + Line "&amp;A141&amp;""</f>
        <v>Line 250 + Line 350</v>
      </c>
      <c r="J143" s="238"/>
    </row>
    <row r="144" spans="1:12" x14ac:dyDescent="0.2">
      <c r="A144" s="775">
        <f>+A143+1</f>
        <v>352</v>
      </c>
      <c r="B144" s="853"/>
      <c r="C144" s="853" t="s">
        <v>2093</v>
      </c>
      <c r="D144" s="871"/>
      <c r="E144" s="871"/>
      <c r="F144" s="871"/>
      <c r="G144" s="873">
        <f>'27-Allocators'!$G$28</f>
        <v>9.6689189040997187E-2</v>
      </c>
      <c r="H144" s="873">
        <f>'27-Allocators'!$G$15</f>
        <v>3.9273273898169321E-2</v>
      </c>
      <c r="I144" s="1057" t="str">
        <f>"27-Allocators Lines "&amp;'27-Allocators'!A28&amp;" and "&amp;'27-Allocators'!A15&amp;" respectively."</f>
        <v>27-Allocators Lines 22 and 9 respectively.</v>
      </c>
      <c r="J144" s="238"/>
    </row>
    <row r="145" spans="1:10" x14ac:dyDescent="0.2">
      <c r="A145" s="775">
        <f>+A144+1</f>
        <v>353</v>
      </c>
      <c r="B145" s="853"/>
      <c r="C145" s="853" t="s">
        <v>2094</v>
      </c>
      <c r="D145" s="871">
        <f>SUM(F145:H145)</f>
        <v>30289257.4453668</v>
      </c>
      <c r="E145" s="871"/>
      <c r="F145" s="874">
        <f>+F143</f>
        <v>-64265.910000000149</v>
      </c>
      <c r="G145" s="874">
        <f>+G143*G144</f>
        <v>24096169.638174288</v>
      </c>
      <c r="H145" s="874">
        <f>+H143*H144</f>
        <v>6257353.7171925129</v>
      </c>
      <c r="I145" s="753" t="str">
        <f>"Line "&amp;A143&amp;" * Line "&amp;A144&amp;" for Cols 5 and 6.  Col. 4 100% ISO."</f>
        <v>Line 351 * Line 352 for Cols 5 and 6.  Col. 4 100% ISO.</v>
      </c>
      <c r="J145" s="238"/>
    </row>
    <row r="146" spans="1:10" x14ac:dyDescent="0.2">
      <c r="A146" s="775"/>
      <c r="B146" s="853"/>
      <c r="C146" s="875" t="s">
        <v>2096</v>
      </c>
      <c r="D146" s="871"/>
      <c r="E146" s="871"/>
      <c r="F146" s="871"/>
      <c r="G146" s="871"/>
      <c r="H146" s="871"/>
      <c r="I146" s="753"/>
      <c r="J146" s="238"/>
    </row>
    <row r="147" spans="1:10" x14ac:dyDescent="0.2">
      <c r="A147" s="775"/>
      <c r="B147" s="853"/>
      <c r="C147" s="853"/>
      <c r="D147" s="871"/>
      <c r="E147" s="871"/>
      <c r="F147" s="871"/>
      <c r="G147" s="871"/>
      <c r="H147" s="871"/>
      <c r="I147" s="753"/>
      <c r="J147" s="238"/>
    </row>
    <row r="148" spans="1:10" x14ac:dyDescent="0.2">
      <c r="A148" s="775">
        <f>+A145+1</f>
        <v>354</v>
      </c>
      <c r="B148" s="853"/>
      <c r="C148" s="853" t="s">
        <v>2043</v>
      </c>
      <c r="D148" s="876">
        <v>2045176900</v>
      </c>
      <c r="E148" s="877" t="str">
        <f>"Must match amount on Line "&amp;A143&amp;", Col. 2"</f>
        <v>Must match amount on Line 351, Col. 2</v>
      </c>
      <c r="G148" s="871"/>
      <c r="H148" s="871"/>
      <c r="I148" s="753" t="s">
        <v>1484</v>
      </c>
      <c r="J148" s="238"/>
    </row>
    <row r="149" spans="1:10" x14ac:dyDescent="0.2">
      <c r="A149" s="811"/>
      <c r="B149" s="853"/>
      <c r="C149" s="853"/>
      <c r="D149" s="878"/>
      <c r="E149" s="878"/>
      <c r="F149" s="878"/>
      <c r="G149" s="878"/>
      <c r="H149" s="878"/>
      <c r="I149" s="754"/>
      <c r="J149" s="238"/>
    </row>
    <row r="150" spans="1:10" x14ac:dyDescent="0.2">
      <c r="A150" s="626"/>
      <c r="B150" s="852" t="s">
        <v>2044</v>
      </c>
      <c r="C150" s="879"/>
      <c r="D150" s="878"/>
      <c r="E150" s="238"/>
      <c r="F150" s="238"/>
      <c r="G150" s="238"/>
      <c r="H150" s="238"/>
      <c r="I150" s="238"/>
      <c r="J150" s="238"/>
    </row>
    <row r="151" spans="1:10" x14ac:dyDescent="0.2">
      <c r="A151" s="626"/>
      <c r="C151" s="86" t="s">
        <v>403</v>
      </c>
      <c r="D151" s="86" t="s">
        <v>387</v>
      </c>
      <c r="E151" s="86" t="s">
        <v>388</v>
      </c>
      <c r="F151" s="86" t="s">
        <v>389</v>
      </c>
      <c r="G151" s="86" t="s">
        <v>390</v>
      </c>
      <c r="H151" s="86" t="s">
        <v>391</v>
      </c>
      <c r="I151" s="86" t="s">
        <v>392</v>
      </c>
      <c r="J151" s="238"/>
    </row>
    <row r="152" spans="1:10" x14ac:dyDescent="0.2">
      <c r="A152" s="626"/>
      <c r="B152" s="856"/>
      <c r="C152" s="856"/>
      <c r="D152" s="856" t="s">
        <v>2028</v>
      </c>
      <c r="E152" s="856" t="s">
        <v>2029</v>
      </c>
      <c r="F152" s="856"/>
      <c r="G152" s="856"/>
      <c r="H152" s="856" t="s">
        <v>1546</v>
      </c>
      <c r="I152" s="1056" t="s">
        <v>2553</v>
      </c>
      <c r="J152" s="238"/>
    </row>
    <row r="153" spans="1:10" x14ac:dyDescent="0.2">
      <c r="A153" s="626"/>
      <c r="B153" s="860" t="s">
        <v>2045</v>
      </c>
      <c r="C153" s="860" t="s">
        <v>2031</v>
      </c>
      <c r="D153" s="860" t="s">
        <v>2032</v>
      </c>
      <c r="E153" s="860" t="s">
        <v>2033</v>
      </c>
      <c r="F153" s="860" t="s">
        <v>2034</v>
      </c>
      <c r="G153" s="860" t="s">
        <v>2035</v>
      </c>
      <c r="H153" s="860" t="s">
        <v>2022</v>
      </c>
      <c r="I153" s="860" t="s">
        <v>112</v>
      </c>
      <c r="J153" s="238"/>
    </row>
    <row r="154" spans="1:10" x14ac:dyDescent="0.2">
      <c r="A154" s="194">
        <v>400</v>
      </c>
      <c r="B154" s="755">
        <v>282</v>
      </c>
      <c r="C154" s="644" t="s">
        <v>3037</v>
      </c>
      <c r="D154" s="876">
        <v>-7800249.9900000002</v>
      </c>
      <c r="E154" s="243">
        <v>-7800249.9900000002</v>
      </c>
      <c r="F154" s="243"/>
      <c r="G154" s="243"/>
      <c r="H154" s="243"/>
      <c r="I154" s="457" t="s">
        <v>3021</v>
      </c>
      <c r="J154" s="457"/>
    </row>
    <row r="155" spans="1:10" x14ac:dyDescent="0.2">
      <c r="A155" s="194">
        <f t="shared" ref="A155:A175" si="8">A154+1</f>
        <v>401</v>
      </c>
      <c r="B155" s="755">
        <v>282</v>
      </c>
      <c r="C155" s="644" t="s">
        <v>3038</v>
      </c>
      <c r="D155" s="876">
        <v>-771375</v>
      </c>
      <c r="E155" s="243">
        <v>-771375</v>
      </c>
      <c r="F155" s="243"/>
      <c r="G155" s="243"/>
      <c r="H155" s="243"/>
      <c r="I155" s="457" t="s">
        <v>3021</v>
      </c>
      <c r="J155" s="457"/>
    </row>
    <row r="156" spans="1:10" x14ac:dyDescent="0.2">
      <c r="A156" s="194">
        <f t="shared" si="8"/>
        <v>402</v>
      </c>
      <c r="B156" s="755">
        <v>282</v>
      </c>
      <c r="C156" s="644" t="s">
        <v>3039</v>
      </c>
      <c r="D156" s="876">
        <v>-2630079821.6799998</v>
      </c>
      <c r="E156" s="243">
        <v>-2630079821.6799998</v>
      </c>
      <c r="F156" s="243"/>
      <c r="G156" s="243"/>
      <c r="H156" s="243"/>
      <c r="I156" s="457" t="s">
        <v>3040</v>
      </c>
      <c r="J156" s="457"/>
    </row>
    <row r="157" spans="1:10" x14ac:dyDescent="0.2">
      <c r="A157" s="194">
        <f t="shared" si="8"/>
        <v>403</v>
      </c>
      <c r="B157" s="755">
        <v>282</v>
      </c>
      <c r="C157" s="644" t="s">
        <v>3041</v>
      </c>
      <c r="D157" s="876">
        <v>-441435401.52999991</v>
      </c>
      <c r="E157" s="243"/>
      <c r="F157" s="243">
        <v>-441435401.52999991</v>
      </c>
      <c r="G157" s="243"/>
      <c r="H157" s="243"/>
      <c r="I157" s="457" t="s">
        <v>3042</v>
      </c>
      <c r="J157" s="457"/>
    </row>
    <row r="158" spans="1:10" x14ac:dyDescent="0.2">
      <c r="A158" s="194">
        <f t="shared" si="8"/>
        <v>404</v>
      </c>
      <c r="B158" s="755">
        <v>282</v>
      </c>
      <c r="C158" s="644" t="s">
        <v>3043</v>
      </c>
      <c r="D158" s="876">
        <v>1235260</v>
      </c>
      <c r="E158" s="243">
        <v>1235260</v>
      </c>
      <c r="F158" s="243"/>
      <c r="G158" s="243"/>
      <c r="H158" s="243"/>
      <c r="I158" s="457" t="s">
        <v>3040</v>
      </c>
      <c r="J158" s="457"/>
    </row>
    <row r="159" spans="1:10" x14ac:dyDescent="0.2">
      <c r="A159" s="194">
        <f t="shared" si="8"/>
        <v>405</v>
      </c>
      <c r="B159" s="755">
        <v>282</v>
      </c>
      <c r="C159" s="644" t="s">
        <v>3044</v>
      </c>
      <c r="D159" s="876">
        <v>-16876578</v>
      </c>
      <c r="E159" s="243">
        <v>-16876578</v>
      </c>
      <c r="F159" s="243"/>
      <c r="G159" s="243"/>
      <c r="H159" s="243"/>
      <c r="I159" s="457" t="s">
        <v>3045</v>
      </c>
      <c r="J159" s="457"/>
    </row>
    <row r="160" spans="1:10" x14ac:dyDescent="0.2">
      <c r="A160" s="194">
        <f t="shared" si="8"/>
        <v>406</v>
      </c>
      <c r="B160" s="755">
        <v>282</v>
      </c>
      <c r="C160" s="644" t="s">
        <v>3046</v>
      </c>
      <c r="D160" s="876">
        <v>24711625</v>
      </c>
      <c r="E160" s="243">
        <v>24711625</v>
      </c>
      <c r="F160" s="243"/>
      <c r="G160" s="243"/>
      <c r="H160" s="243"/>
      <c r="I160" s="457" t="s">
        <v>3047</v>
      </c>
      <c r="J160" s="457"/>
    </row>
    <row r="161" spans="1:10" x14ac:dyDescent="0.2">
      <c r="A161" s="194">
        <f t="shared" si="8"/>
        <v>407</v>
      </c>
      <c r="B161" s="755">
        <v>282</v>
      </c>
      <c r="C161" s="644" t="s">
        <v>3048</v>
      </c>
      <c r="D161" s="876">
        <v>16433381</v>
      </c>
      <c r="E161" s="243">
        <v>16433381</v>
      </c>
      <c r="F161" s="243"/>
      <c r="G161" s="243"/>
      <c r="H161" s="243"/>
      <c r="I161" s="457" t="s">
        <v>3047</v>
      </c>
      <c r="J161" s="457"/>
    </row>
    <row r="162" spans="1:10" x14ac:dyDescent="0.2">
      <c r="A162" s="194">
        <f t="shared" si="8"/>
        <v>408</v>
      </c>
      <c r="B162" s="755">
        <v>282</v>
      </c>
      <c r="C162" s="644" t="s">
        <v>3049</v>
      </c>
      <c r="D162" s="876">
        <v>-186396.2</v>
      </c>
      <c r="E162" s="243">
        <v>-186396.2</v>
      </c>
      <c r="F162" s="243"/>
      <c r="G162" s="243"/>
      <c r="H162" s="243"/>
      <c r="I162" s="457" t="s">
        <v>3021</v>
      </c>
      <c r="J162" s="457"/>
    </row>
    <row r="163" spans="1:10" x14ac:dyDescent="0.2">
      <c r="A163" s="194">
        <f t="shared" si="8"/>
        <v>409</v>
      </c>
      <c r="B163" s="755">
        <v>282</v>
      </c>
      <c r="C163" s="644" t="s">
        <v>3050</v>
      </c>
      <c r="D163" s="876">
        <v>-127768669.88</v>
      </c>
      <c r="E163" s="243"/>
      <c r="F163" s="243"/>
      <c r="G163" s="243">
        <v>-127768669.88</v>
      </c>
      <c r="H163" s="243"/>
      <c r="I163" s="457" t="s">
        <v>2972</v>
      </c>
      <c r="J163" s="457"/>
    </row>
    <row r="164" spans="1:10" x14ac:dyDescent="0.2">
      <c r="A164" s="194">
        <f t="shared" si="8"/>
        <v>410</v>
      </c>
      <c r="B164" s="755">
        <v>282</v>
      </c>
      <c r="C164" s="644" t="s">
        <v>3051</v>
      </c>
      <c r="D164" s="876">
        <v>4632600</v>
      </c>
      <c r="E164" s="243">
        <v>4632600</v>
      </c>
      <c r="F164" s="243"/>
      <c r="G164" s="243"/>
      <c r="H164" s="243"/>
      <c r="I164" s="457" t="s">
        <v>3040</v>
      </c>
      <c r="J164" s="457"/>
    </row>
    <row r="165" spans="1:10" x14ac:dyDescent="0.2">
      <c r="A165" s="194">
        <f t="shared" si="8"/>
        <v>411</v>
      </c>
      <c r="B165" s="755">
        <v>282</v>
      </c>
      <c r="C165" s="759" t="s">
        <v>3052</v>
      </c>
      <c r="D165" s="876">
        <v>-11842169.619999997</v>
      </c>
      <c r="E165" s="243"/>
      <c r="F165" s="243">
        <v>-11842169.619999997</v>
      </c>
      <c r="G165" s="243"/>
      <c r="H165" s="243"/>
      <c r="I165" s="457" t="s">
        <v>3042</v>
      </c>
      <c r="J165" s="457"/>
    </row>
    <row r="166" spans="1:10" x14ac:dyDescent="0.2">
      <c r="A166" s="194">
        <f t="shared" si="8"/>
        <v>412</v>
      </c>
      <c r="B166" s="755">
        <v>282</v>
      </c>
      <c r="C166" s="644" t="s">
        <v>3053</v>
      </c>
      <c r="D166" s="876">
        <v>-81088325.310000002</v>
      </c>
      <c r="E166" s="243">
        <v>-81088325.310000002</v>
      </c>
      <c r="F166" s="243"/>
      <c r="G166" s="243"/>
      <c r="H166" s="243"/>
      <c r="I166" s="457" t="s">
        <v>3054</v>
      </c>
      <c r="J166" s="457"/>
    </row>
    <row r="167" spans="1:10" x14ac:dyDescent="0.2">
      <c r="A167" s="194">
        <f t="shared" si="8"/>
        <v>413</v>
      </c>
      <c r="B167" s="755">
        <v>282</v>
      </c>
      <c r="C167" s="644" t="s">
        <v>2989</v>
      </c>
      <c r="D167" s="876">
        <v>0</v>
      </c>
      <c r="E167" s="243">
        <v>0</v>
      </c>
      <c r="F167" s="243"/>
      <c r="G167" s="243"/>
      <c r="H167" s="243"/>
      <c r="I167" s="457" t="s">
        <v>3040</v>
      </c>
      <c r="J167" s="457"/>
    </row>
    <row r="168" spans="1:10" x14ac:dyDescent="0.2">
      <c r="A168" s="194">
        <f t="shared" si="8"/>
        <v>414</v>
      </c>
      <c r="B168" s="755">
        <v>282</v>
      </c>
      <c r="C168" s="644" t="s">
        <v>3055</v>
      </c>
      <c r="D168" s="876">
        <v>1026206.54</v>
      </c>
      <c r="E168" s="243">
        <v>1026206.54</v>
      </c>
      <c r="F168" s="243"/>
      <c r="G168" s="243"/>
      <c r="H168" s="243"/>
      <c r="I168" s="457" t="s">
        <v>3040</v>
      </c>
      <c r="J168" s="457"/>
    </row>
    <row r="169" spans="1:10" x14ac:dyDescent="0.2">
      <c r="A169" s="194">
        <f t="shared" si="8"/>
        <v>415</v>
      </c>
      <c r="B169" s="755">
        <v>282</v>
      </c>
      <c r="C169" s="644" t="s">
        <v>3055</v>
      </c>
      <c r="D169" s="876">
        <v>9000.8700000001118</v>
      </c>
      <c r="E169" s="243">
        <v>9000.8700000001118</v>
      </c>
      <c r="F169" s="243"/>
      <c r="G169" s="243"/>
      <c r="H169" s="243"/>
      <c r="I169" s="457" t="s">
        <v>3040</v>
      </c>
      <c r="J169" s="457"/>
    </row>
    <row r="170" spans="1:10" x14ac:dyDescent="0.2">
      <c r="A170" s="194">
        <f t="shared" si="8"/>
        <v>416</v>
      </c>
      <c r="B170" s="755">
        <v>282</v>
      </c>
      <c r="C170" s="644" t="s">
        <v>3056</v>
      </c>
      <c r="D170" s="876">
        <v>1545303.1300000001</v>
      </c>
      <c r="E170" s="243"/>
      <c r="F170" s="243">
        <v>1545303.1300000001</v>
      </c>
      <c r="G170" s="243"/>
      <c r="H170" s="243"/>
      <c r="I170" s="457" t="s">
        <v>3042</v>
      </c>
      <c r="J170" s="457"/>
    </row>
    <row r="171" spans="1:10" x14ac:dyDescent="0.2">
      <c r="A171" s="194">
        <f t="shared" si="8"/>
        <v>417</v>
      </c>
      <c r="B171" s="755">
        <v>282</v>
      </c>
      <c r="C171" s="644" t="s">
        <v>3057</v>
      </c>
      <c r="D171" s="876">
        <v>0</v>
      </c>
      <c r="E171" s="243">
        <v>0</v>
      </c>
      <c r="F171" s="243"/>
      <c r="G171" s="243"/>
      <c r="H171" s="243"/>
      <c r="I171" s="457" t="s">
        <v>3040</v>
      </c>
      <c r="J171" s="457"/>
    </row>
    <row r="172" spans="1:10" x14ac:dyDescent="0.2">
      <c r="A172" s="194">
        <f t="shared" si="8"/>
        <v>418</v>
      </c>
      <c r="B172" s="755">
        <v>282</v>
      </c>
      <c r="C172" s="644" t="s">
        <v>3058</v>
      </c>
      <c r="D172" s="876">
        <v>-33458027.749999993</v>
      </c>
      <c r="E172" s="243">
        <v>-33458027.749999993</v>
      </c>
      <c r="F172" s="243"/>
      <c r="G172" s="243"/>
      <c r="H172" s="243"/>
      <c r="I172" s="457" t="s">
        <v>3040</v>
      </c>
      <c r="J172" s="457"/>
    </row>
    <row r="173" spans="1:10" x14ac:dyDescent="0.2">
      <c r="A173" s="194">
        <f t="shared" si="8"/>
        <v>419</v>
      </c>
      <c r="B173" s="755">
        <v>282</v>
      </c>
      <c r="C173" s="644" t="s">
        <v>3059</v>
      </c>
      <c r="D173" s="876">
        <v>-154238672</v>
      </c>
      <c r="E173" s="243"/>
      <c r="F173" s="243"/>
      <c r="G173" s="243">
        <v>-154238672</v>
      </c>
      <c r="H173" s="243"/>
      <c r="I173" s="457" t="s">
        <v>2972</v>
      </c>
      <c r="J173" s="457"/>
    </row>
    <row r="174" spans="1:10" x14ac:dyDescent="0.2">
      <c r="A174" s="194">
        <f t="shared" si="8"/>
        <v>420</v>
      </c>
      <c r="B174" s="755">
        <v>282</v>
      </c>
      <c r="C174" s="644" t="s">
        <v>3060</v>
      </c>
      <c r="D174" s="876">
        <v>-4485056.93</v>
      </c>
      <c r="E174" s="243"/>
      <c r="F174" s="243">
        <v>-4485056.93</v>
      </c>
      <c r="G174" s="243"/>
      <c r="H174" s="243"/>
      <c r="I174" s="457" t="s">
        <v>3042</v>
      </c>
      <c r="J174" s="457"/>
    </row>
    <row r="175" spans="1:10" x14ac:dyDescent="0.2">
      <c r="A175" s="194">
        <f t="shared" si="8"/>
        <v>421</v>
      </c>
      <c r="B175" s="756" t="s">
        <v>574</v>
      </c>
      <c r="C175" s="644"/>
      <c r="D175" s="876"/>
      <c r="E175" s="243"/>
      <c r="F175" s="243"/>
      <c r="G175" s="243"/>
      <c r="H175" s="243"/>
      <c r="I175" s="457"/>
      <c r="J175" s="457"/>
    </row>
    <row r="176" spans="1:10" x14ac:dyDescent="0.2">
      <c r="A176" s="811"/>
      <c r="B176" s="757"/>
      <c r="C176" s="628"/>
      <c r="D176" s="880"/>
      <c r="E176" s="242"/>
      <c r="F176" s="242"/>
      <c r="G176" s="242"/>
      <c r="H176" s="242"/>
      <c r="I176" s="248"/>
      <c r="J176" s="248"/>
    </row>
    <row r="177" spans="1:10" x14ac:dyDescent="0.2">
      <c r="A177" s="811"/>
      <c r="B177" s="757"/>
      <c r="C177" s="86" t="s">
        <v>403</v>
      </c>
      <c r="D177" s="86" t="s">
        <v>387</v>
      </c>
      <c r="E177" s="86" t="s">
        <v>388</v>
      </c>
      <c r="F177" s="86" t="s">
        <v>389</v>
      </c>
      <c r="G177" s="86" t="s">
        <v>390</v>
      </c>
      <c r="H177" s="86" t="s">
        <v>391</v>
      </c>
      <c r="I177" s="386" t="s">
        <v>207</v>
      </c>
      <c r="J177" s="248"/>
    </row>
    <row r="178" spans="1:10" x14ac:dyDescent="0.2">
      <c r="A178" s="115">
        <v>450</v>
      </c>
      <c r="B178" s="627"/>
      <c r="C178" s="626" t="s">
        <v>2091</v>
      </c>
      <c r="D178" s="871">
        <f>SUM(D154:D175)</f>
        <v>-3460437367.349999</v>
      </c>
      <c r="E178" s="871">
        <f>SUM(E154:E175)</f>
        <v>-2722212700.5199995</v>
      </c>
      <c r="F178" s="871">
        <f>SUM(F154:F175)</f>
        <v>-456217324.94999993</v>
      </c>
      <c r="G178" s="871">
        <f>SUM(G154:G175)</f>
        <v>-282007341.88</v>
      </c>
      <c r="H178" s="871">
        <f>SUM(H154:H175)</f>
        <v>0</v>
      </c>
      <c r="I178" s="258" t="str">
        <f>"Sum of Above Lines beginning on Line "&amp;A154&amp;""</f>
        <v>Sum of Above Lines beginning on Line 400</v>
      </c>
      <c r="J178" s="238"/>
    </row>
    <row r="179" spans="1:10" x14ac:dyDescent="0.2">
      <c r="A179" s="775">
        <f>+A178+1</f>
        <v>451</v>
      </c>
      <c r="B179" s="853"/>
      <c r="C179" s="853" t="s">
        <v>2093</v>
      </c>
      <c r="D179" s="871"/>
      <c r="E179" s="871"/>
      <c r="F179" s="871"/>
      <c r="G179" s="873">
        <f>'27-Allocators'!$G$28</f>
        <v>9.6689189040997187E-2</v>
      </c>
      <c r="H179" s="873">
        <f>'27-Allocators'!$G$15</f>
        <v>3.9273273898169321E-2</v>
      </c>
      <c r="I179" s="1057" t="str">
        <f>"27-Allocators Lines "&amp;'27-Allocators'!A28&amp;" and "&amp;'27-Allocators'!A15&amp;" respectively."</f>
        <v>27-Allocators Lines 22 and 9 respectively.</v>
      </c>
      <c r="J179" s="238"/>
    </row>
    <row r="180" spans="1:10" x14ac:dyDescent="0.2">
      <c r="A180" s="775">
        <f>+A179+1</f>
        <v>452</v>
      </c>
      <c r="B180" s="853"/>
      <c r="C180" s="853" t="s">
        <v>2095</v>
      </c>
      <c r="D180" s="871">
        <f>SUM(F180:H180)</f>
        <v>-483484386.13998437</v>
      </c>
      <c r="E180" s="871"/>
      <c r="F180" s="874">
        <f>+F178</f>
        <v>-456217324.94999993</v>
      </c>
      <c r="G180" s="874">
        <f>+G178*G179</f>
        <v>-27267061.189984441</v>
      </c>
      <c r="H180" s="874">
        <f>+H178*H179</f>
        <v>0</v>
      </c>
      <c r="I180" s="753" t="str">
        <f>"Line "&amp;A178&amp;" * Line "&amp;A179&amp;" for Cols 5 and 6.  Col. 4 100% ISO."</f>
        <v>Line 450 * Line 451 for Cols 5 and 6.  Col. 4 100% ISO.</v>
      </c>
      <c r="J180" s="238"/>
    </row>
    <row r="181" spans="1:10" x14ac:dyDescent="0.2">
      <c r="A181" s="775"/>
      <c r="B181" s="853"/>
      <c r="C181" s="875" t="s">
        <v>2096</v>
      </c>
      <c r="D181" s="871"/>
      <c r="E181" s="871"/>
      <c r="F181" s="871"/>
      <c r="G181" s="871"/>
      <c r="H181" s="871"/>
      <c r="I181" s="753"/>
      <c r="J181" s="238"/>
    </row>
    <row r="182" spans="1:10" x14ac:dyDescent="0.2">
      <c r="A182" s="115"/>
      <c r="B182" s="627"/>
      <c r="C182" s="626"/>
      <c r="D182" s="871"/>
      <c r="E182" s="871"/>
      <c r="F182" s="871"/>
      <c r="G182" s="871"/>
      <c r="H182" s="871"/>
      <c r="I182" s="258"/>
      <c r="J182" s="238"/>
    </row>
    <row r="183" spans="1:10" x14ac:dyDescent="0.2">
      <c r="A183" s="115">
        <f>+A180+1</f>
        <v>453</v>
      </c>
      <c r="B183" s="627"/>
      <c r="C183" s="853" t="s">
        <v>2046</v>
      </c>
      <c r="D183" s="876">
        <v>-3460437367</v>
      </c>
      <c r="E183" s="877" t="str">
        <f>"Must match amount on Line "&amp;A178&amp;", Col. 2"</f>
        <v>Must match amount on Line 450, Col. 2</v>
      </c>
      <c r="F183" s="871"/>
      <c r="G183" s="871"/>
      <c r="H183" s="871"/>
      <c r="I183" s="258" t="s">
        <v>2047</v>
      </c>
      <c r="J183" s="238"/>
    </row>
    <row r="184" spans="1:10" x14ac:dyDescent="0.2">
      <c r="A184" s="811"/>
      <c r="B184" s="627"/>
      <c r="C184" s="626"/>
      <c r="D184" s="871"/>
      <c r="E184" s="871"/>
      <c r="F184" s="871"/>
      <c r="G184" s="871"/>
      <c r="H184" s="871"/>
      <c r="I184" s="258"/>
      <c r="J184" s="238"/>
    </row>
    <row r="185" spans="1:10" x14ac:dyDescent="0.2">
      <c r="A185" s="811"/>
      <c r="B185" s="627"/>
      <c r="C185" s="626"/>
      <c r="D185" s="871"/>
      <c r="E185" s="871"/>
      <c r="F185" s="871"/>
      <c r="G185" s="871"/>
      <c r="H185" s="871"/>
      <c r="I185" s="754"/>
      <c r="J185" s="238"/>
    </row>
    <row r="186" spans="1:10" x14ac:dyDescent="0.2">
      <c r="A186" s="626"/>
      <c r="B186" s="852" t="s">
        <v>2048</v>
      </c>
      <c r="C186" s="881"/>
      <c r="D186" s="871"/>
      <c r="E186" s="240"/>
      <c r="F186" s="240"/>
      <c r="G186" s="240"/>
      <c r="H186" s="240"/>
      <c r="I186" s="238"/>
      <c r="J186" s="238"/>
    </row>
    <row r="187" spans="1:10" x14ac:dyDescent="0.2">
      <c r="A187" s="626"/>
      <c r="B187" s="852"/>
      <c r="C187" s="86" t="s">
        <v>403</v>
      </c>
      <c r="D187" s="86" t="s">
        <v>387</v>
      </c>
      <c r="E187" s="86" t="s">
        <v>388</v>
      </c>
      <c r="F187" s="86" t="s">
        <v>389</v>
      </c>
      <c r="G187" s="86" t="s">
        <v>390</v>
      </c>
      <c r="H187" s="86" t="s">
        <v>391</v>
      </c>
      <c r="I187" s="86" t="s">
        <v>392</v>
      </c>
      <c r="J187" s="238"/>
    </row>
    <row r="188" spans="1:10" x14ac:dyDescent="0.2">
      <c r="A188" s="626"/>
      <c r="B188" s="856"/>
      <c r="C188" s="856"/>
      <c r="D188" s="882" t="s">
        <v>2028</v>
      </c>
      <c r="E188" s="882" t="s">
        <v>2029</v>
      </c>
      <c r="F188" s="882"/>
      <c r="G188" s="882"/>
      <c r="H188" s="882" t="s">
        <v>1546</v>
      </c>
      <c r="I188" s="1056" t="s">
        <v>2553</v>
      </c>
      <c r="J188" s="238"/>
    </row>
    <row r="189" spans="1:10" x14ac:dyDescent="0.2">
      <c r="A189" s="626"/>
      <c r="B189" s="860" t="s">
        <v>2049</v>
      </c>
      <c r="C189" s="860" t="s">
        <v>2031</v>
      </c>
      <c r="D189" s="883" t="s">
        <v>2032</v>
      </c>
      <c r="E189" s="883" t="s">
        <v>2033</v>
      </c>
      <c r="F189" s="883" t="s">
        <v>2034</v>
      </c>
      <c r="G189" s="883" t="s">
        <v>2035</v>
      </c>
      <c r="H189" s="883" t="s">
        <v>2022</v>
      </c>
      <c r="I189" s="860" t="s">
        <v>112</v>
      </c>
      <c r="J189" s="238"/>
    </row>
    <row r="190" spans="1:10" x14ac:dyDescent="0.2">
      <c r="A190" s="811"/>
      <c r="B190" s="853" t="s">
        <v>2037</v>
      </c>
      <c r="C190" s="238"/>
      <c r="D190" s="240"/>
      <c r="E190" s="240"/>
      <c r="F190" s="240"/>
      <c r="G190" s="240"/>
      <c r="H190" s="240"/>
      <c r="I190" s="238"/>
      <c r="J190" s="238"/>
    </row>
    <row r="191" spans="1:10" x14ac:dyDescent="0.2">
      <c r="A191" s="194">
        <v>500</v>
      </c>
      <c r="B191" s="758">
        <v>283</v>
      </c>
      <c r="C191" s="759" t="s">
        <v>3061</v>
      </c>
      <c r="D191" s="760">
        <v>-1089588.6000000001</v>
      </c>
      <c r="E191" s="243">
        <f>D191*$G$341</f>
        <v>-939.16742836321578</v>
      </c>
      <c r="F191" s="715">
        <f>D191-E191</f>
        <v>-1088649.432571637</v>
      </c>
      <c r="G191" s="243"/>
      <c r="H191" s="243"/>
      <c r="I191" s="457" t="s">
        <v>3062</v>
      </c>
      <c r="J191" s="457"/>
    </row>
    <row r="192" spans="1:10" x14ac:dyDescent="0.2">
      <c r="A192" s="194">
        <f t="shared" ref="A192:A255" si="9">A191+1</f>
        <v>501</v>
      </c>
      <c r="B192" s="758">
        <v>283</v>
      </c>
      <c r="C192" s="759" t="s">
        <v>3063</v>
      </c>
      <c r="D192" s="760">
        <v>1617885.2799999998</v>
      </c>
      <c r="E192" s="1155">
        <v>1617885.2799999998</v>
      </c>
      <c r="F192" s="243"/>
      <c r="G192" s="243"/>
      <c r="H192" s="243"/>
      <c r="I192" s="457" t="s">
        <v>2923</v>
      </c>
      <c r="J192" s="457"/>
    </row>
    <row r="193" spans="1:10" x14ac:dyDescent="0.2">
      <c r="A193" s="194">
        <f t="shared" si="9"/>
        <v>502</v>
      </c>
      <c r="B193" s="758">
        <v>283</v>
      </c>
      <c r="C193" s="759" t="s">
        <v>3064</v>
      </c>
      <c r="D193" s="760">
        <v>5171997.33</v>
      </c>
      <c r="E193" s="1155">
        <v>5171997.33</v>
      </c>
      <c r="F193" s="243"/>
      <c r="G193" s="243"/>
      <c r="H193" s="243"/>
      <c r="I193" s="457" t="s">
        <v>3065</v>
      </c>
      <c r="J193" s="457"/>
    </row>
    <row r="194" spans="1:10" x14ac:dyDescent="0.2">
      <c r="A194" s="194">
        <f t="shared" si="9"/>
        <v>503</v>
      </c>
      <c r="B194" s="758">
        <v>283</v>
      </c>
      <c r="C194" s="761" t="s">
        <v>3066</v>
      </c>
      <c r="D194" s="760">
        <v>1.0000000009313226E-2</v>
      </c>
      <c r="E194" s="1157">
        <v>1.0000000009313226E-2</v>
      </c>
      <c r="F194" s="243"/>
      <c r="G194" s="243"/>
      <c r="H194" s="243"/>
      <c r="I194" s="457" t="s">
        <v>2923</v>
      </c>
      <c r="J194" s="457"/>
    </row>
    <row r="195" spans="1:10" x14ac:dyDescent="0.2">
      <c r="A195" s="194">
        <f t="shared" si="9"/>
        <v>504</v>
      </c>
      <c r="B195" s="758">
        <v>283</v>
      </c>
      <c r="C195" s="759" t="s">
        <v>3067</v>
      </c>
      <c r="D195" s="760">
        <v>-88188888.370000005</v>
      </c>
      <c r="E195" s="1155">
        <v>-88188888.370000005</v>
      </c>
      <c r="F195" s="243"/>
      <c r="G195" s="243"/>
      <c r="H195" s="243"/>
      <c r="I195" s="457" t="s">
        <v>2923</v>
      </c>
      <c r="J195" s="457"/>
    </row>
    <row r="196" spans="1:10" x14ac:dyDescent="0.2">
      <c r="A196" s="194">
        <f t="shared" si="9"/>
        <v>505</v>
      </c>
      <c r="B196" s="758">
        <v>283</v>
      </c>
      <c r="C196" s="759" t="s">
        <v>3068</v>
      </c>
      <c r="D196" s="760">
        <v>0</v>
      </c>
      <c r="E196" s="1157">
        <v>0</v>
      </c>
      <c r="F196" s="243"/>
      <c r="G196" s="243"/>
      <c r="H196" s="243"/>
      <c r="I196" s="457" t="s">
        <v>2923</v>
      </c>
      <c r="J196" s="457"/>
    </row>
    <row r="197" spans="1:10" x14ac:dyDescent="0.2">
      <c r="A197" s="194">
        <f t="shared" si="9"/>
        <v>506</v>
      </c>
      <c r="B197" s="758">
        <v>283</v>
      </c>
      <c r="C197" s="759" t="s">
        <v>3069</v>
      </c>
      <c r="D197" s="760">
        <v>-1930348.89</v>
      </c>
      <c r="E197" s="243">
        <f>D197*$G$333</f>
        <v>-2578.9595765942518</v>
      </c>
      <c r="F197" s="243"/>
      <c r="G197" s="243"/>
      <c r="H197" s="243">
        <f t="shared" ref="H197" si="10">D197-E197</f>
        <v>-1927769.9304234057</v>
      </c>
      <c r="I197" s="457" t="s">
        <v>2930</v>
      </c>
      <c r="J197" s="457"/>
    </row>
    <row r="198" spans="1:10" x14ac:dyDescent="0.2">
      <c r="A198" s="194">
        <f t="shared" si="9"/>
        <v>507</v>
      </c>
      <c r="B198" s="758">
        <v>283</v>
      </c>
      <c r="C198" s="759" t="s">
        <v>3070</v>
      </c>
      <c r="D198" s="760">
        <v>-178093.71</v>
      </c>
      <c r="E198" s="243">
        <v>-178093.71</v>
      </c>
      <c r="F198" s="243"/>
      <c r="G198" s="243"/>
      <c r="H198" s="243"/>
      <c r="I198" s="457" t="s">
        <v>2923</v>
      </c>
      <c r="J198" s="457"/>
    </row>
    <row r="199" spans="1:10" x14ac:dyDescent="0.2">
      <c r="A199" s="194">
        <f t="shared" si="9"/>
        <v>508</v>
      </c>
      <c r="B199" s="758">
        <v>283</v>
      </c>
      <c r="C199" s="759" t="s">
        <v>3071</v>
      </c>
      <c r="D199" s="760">
        <v>-63008846.259999998</v>
      </c>
      <c r="E199" s="243"/>
      <c r="F199" s="243"/>
      <c r="G199" s="243">
        <v>-63008846.259999998</v>
      </c>
      <c r="H199" s="243"/>
      <c r="I199" s="457" t="s">
        <v>2972</v>
      </c>
      <c r="J199" s="457"/>
    </row>
    <row r="200" spans="1:10" x14ac:dyDescent="0.2">
      <c r="A200" s="194">
        <f t="shared" si="9"/>
        <v>509</v>
      </c>
      <c r="B200" s="758">
        <v>283</v>
      </c>
      <c r="C200" s="759" t="s">
        <v>3072</v>
      </c>
      <c r="D200" s="760">
        <v>0</v>
      </c>
      <c r="E200" s="243">
        <v>0</v>
      </c>
      <c r="F200" s="243"/>
      <c r="G200" s="243"/>
      <c r="H200" s="243"/>
      <c r="I200" s="457" t="s">
        <v>2923</v>
      </c>
      <c r="J200" s="457"/>
    </row>
    <row r="201" spans="1:10" x14ac:dyDescent="0.2">
      <c r="A201" s="194">
        <f t="shared" si="9"/>
        <v>510</v>
      </c>
      <c r="B201" s="758">
        <v>283</v>
      </c>
      <c r="C201" s="759" t="s">
        <v>3073</v>
      </c>
      <c r="D201" s="760">
        <v>0</v>
      </c>
      <c r="E201" s="243">
        <v>0</v>
      </c>
      <c r="F201" s="243"/>
      <c r="G201" s="243"/>
      <c r="H201" s="243"/>
      <c r="I201" s="457" t="s">
        <v>2923</v>
      </c>
      <c r="J201" s="457"/>
    </row>
    <row r="202" spans="1:10" x14ac:dyDescent="0.2">
      <c r="A202" s="194">
        <f t="shared" si="9"/>
        <v>511</v>
      </c>
      <c r="B202" s="758">
        <v>283</v>
      </c>
      <c r="C202" s="759" t="s">
        <v>3009</v>
      </c>
      <c r="D202" s="760">
        <v>-759647.74000000022</v>
      </c>
      <c r="E202" s="243">
        <v>-759647.74000000022</v>
      </c>
      <c r="F202" s="243"/>
      <c r="G202" s="243"/>
      <c r="H202" s="243"/>
      <c r="I202" s="457" t="s">
        <v>2923</v>
      </c>
      <c r="J202" s="457"/>
    </row>
    <row r="203" spans="1:10" x14ac:dyDescent="0.2">
      <c r="A203" s="194">
        <f t="shared" si="9"/>
        <v>512</v>
      </c>
      <c r="B203" s="758">
        <v>283</v>
      </c>
      <c r="C203" s="759" t="s">
        <v>3074</v>
      </c>
      <c r="D203" s="760">
        <v>-2242412.2999999998</v>
      </c>
      <c r="E203" s="243">
        <v>-2242412.2999999998</v>
      </c>
      <c r="F203" s="243"/>
      <c r="G203" s="243"/>
      <c r="H203" s="243"/>
      <c r="I203" s="457" t="s">
        <v>2923</v>
      </c>
      <c r="J203" s="457"/>
    </row>
    <row r="204" spans="1:10" x14ac:dyDescent="0.2">
      <c r="A204" s="194">
        <f t="shared" si="9"/>
        <v>513</v>
      </c>
      <c r="B204" s="758">
        <v>283</v>
      </c>
      <c r="C204" s="759" t="s">
        <v>3075</v>
      </c>
      <c r="D204" s="760">
        <v>-2215618.63</v>
      </c>
      <c r="E204" s="243">
        <v>-2215618.63</v>
      </c>
      <c r="F204" s="243"/>
      <c r="G204" s="243"/>
      <c r="H204" s="243"/>
      <c r="I204" s="457" t="s">
        <v>2940</v>
      </c>
      <c r="J204" s="457"/>
    </row>
    <row r="205" spans="1:10" x14ac:dyDescent="0.2">
      <c r="A205" s="194">
        <f t="shared" si="9"/>
        <v>514</v>
      </c>
      <c r="B205" s="758">
        <v>283</v>
      </c>
      <c r="C205" s="759" t="s">
        <v>3076</v>
      </c>
      <c r="D205" s="760">
        <v>0</v>
      </c>
      <c r="E205" s="243">
        <v>0</v>
      </c>
      <c r="F205" s="243"/>
      <c r="G205" s="243"/>
      <c r="H205" s="243"/>
      <c r="I205" s="457" t="s">
        <v>2923</v>
      </c>
      <c r="J205" s="457"/>
    </row>
    <row r="206" spans="1:10" x14ac:dyDescent="0.2">
      <c r="A206" s="194">
        <f t="shared" si="9"/>
        <v>515</v>
      </c>
      <c r="B206" s="758">
        <v>283</v>
      </c>
      <c r="C206" s="759" t="s">
        <v>3077</v>
      </c>
      <c r="D206" s="760">
        <v>-22081116.149999999</v>
      </c>
      <c r="E206" s="243">
        <v>-22081116.149999999</v>
      </c>
      <c r="F206" s="243"/>
      <c r="G206" s="243"/>
      <c r="H206" s="243"/>
      <c r="I206" s="457" t="s">
        <v>2923</v>
      </c>
      <c r="J206" s="457"/>
    </row>
    <row r="207" spans="1:10" x14ac:dyDescent="0.2">
      <c r="A207" s="194">
        <f t="shared" si="9"/>
        <v>516</v>
      </c>
      <c r="B207" s="758">
        <v>283</v>
      </c>
      <c r="C207" s="759" t="s">
        <v>3078</v>
      </c>
      <c r="D207" s="760">
        <v>-1628028.0000000002</v>
      </c>
      <c r="E207" s="243">
        <v>-1628028.0000000002</v>
      </c>
      <c r="F207" s="243"/>
      <c r="G207" s="243"/>
      <c r="H207" s="243"/>
      <c r="I207" s="457" t="s">
        <v>3079</v>
      </c>
      <c r="J207" s="457"/>
    </row>
    <row r="208" spans="1:10" x14ac:dyDescent="0.2">
      <c r="A208" s="194">
        <f t="shared" si="9"/>
        <v>517</v>
      </c>
      <c r="B208" s="758">
        <v>283</v>
      </c>
      <c r="C208" s="759" t="s">
        <v>3080</v>
      </c>
      <c r="D208" s="760">
        <v>0</v>
      </c>
      <c r="E208" s="243">
        <v>0</v>
      </c>
      <c r="F208" s="243"/>
      <c r="G208" s="243"/>
      <c r="H208" s="243"/>
      <c r="I208" s="457" t="s">
        <v>2923</v>
      </c>
      <c r="J208" s="457"/>
    </row>
    <row r="209" spans="1:10" x14ac:dyDescent="0.2">
      <c r="A209" s="194">
        <f t="shared" si="9"/>
        <v>518</v>
      </c>
      <c r="B209" s="758">
        <v>283</v>
      </c>
      <c r="C209" s="759" t="s">
        <v>3081</v>
      </c>
      <c r="D209" s="760">
        <v>0</v>
      </c>
      <c r="E209" s="243">
        <v>0</v>
      </c>
      <c r="F209" s="243"/>
      <c r="G209" s="243"/>
      <c r="H209" s="243"/>
      <c r="I209" s="457" t="s">
        <v>2923</v>
      </c>
      <c r="J209" s="457"/>
    </row>
    <row r="210" spans="1:10" x14ac:dyDescent="0.2">
      <c r="A210" s="194">
        <f t="shared" si="9"/>
        <v>519</v>
      </c>
      <c r="B210" s="758">
        <v>283</v>
      </c>
      <c r="C210" s="759" t="s">
        <v>3082</v>
      </c>
      <c r="D210" s="760">
        <v>0</v>
      </c>
      <c r="E210" s="243">
        <v>0</v>
      </c>
      <c r="F210" s="243"/>
      <c r="G210" s="243"/>
      <c r="H210" s="243"/>
      <c r="I210" s="457" t="s">
        <v>2923</v>
      </c>
      <c r="J210" s="457"/>
    </row>
    <row r="211" spans="1:10" x14ac:dyDescent="0.2">
      <c r="A211" s="194">
        <f t="shared" si="9"/>
        <v>520</v>
      </c>
      <c r="B211" s="758">
        <v>283</v>
      </c>
      <c r="C211" s="759" t="s">
        <v>3083</v>
      </c>
      <c r="D211" s="760">
        <v>0</v>
      </c>
      <c r="E211" s="243">
        <v>0</v>
      </c>
      <c r="F211" s="243"/>
      <c r="G211" s="243"/>
      <c r="H211" s="243"/>
      <c r="I211" s="457" t="s">
        <v>2923</v>
      </c>
      <c r="J211" s="457"/>
    </row>
    <row r="212" spans="1:10" x14ac:dyDescent="0.2">
      <c r="A212" s="194">
        <f t="shared" si="9"/>
        <v>521</v>
      </c>
      <c r="B212" s="758">
        <v>283</v>
      </c>
      <c r="C212" s="759" t="s">
        <v>3084</v>
      </c>
      <c r="D212" s="760">
        <v>0</v>
      </c>
      <c r="E212" s="243">
        <v>0</v>
      </c>
      <c r="F212" s="243"/>
      <c r="G212" s="243"/>
      <c r="H212" s="243"/>
      <c r="I212" s="457" t="s">
        <v>2923</v>
      </c>
      <c r="J212" s="457"/>
    </row>
    <row r="213" spans="1:10" x14ac:dyDescent="0.2">
      <c r="A213" s="194">
        <f t="shared" si="9"/>
        <v>522</v>
      </c>
      <c r="B213" s="758">
        <v>283</v>
      </c>
      <c r="C213" s="759" t="s">
        <v>3085</v>
      </c>
      <c r="D213" s="760">
        <v>0</v>
      </c>
      <c r="E213" s="243">
        <v>0</v>
      </c>
      <c r="F213" s="243"/>
      <c r="G213" s="243"/>
      <c r="H213" s="243"/>
      <c r="I213" s="457" t="s">
        <v>2923</v>
      </c>
      <c r="J213" s="457"/>
    </row>
    <row r="214" spans="1:10" x14ac:dyDescent="0.2">
      <c r="A214" s="194">
        <f t="shared" si="9"/>
        <v>523</v>
      </c>
      <c r="B214" s="758">
        <v>283</v>
      </c>
      <c r="C214" s="759" t="s">
        <v>3086</v>
      </c>
      <c r="D214" s="760">
        <v>-9416435.370000001</v>
      </c>
      <c r="E214" s="243">
        <v>-9416435.370000001</v>
      </c>
      <c r="F214" s="243"/>
      <c r="G214" s="243"/>
      <c r="H214" s="243"/>
      <c r="I214" s="457" t="s">
        <v>2923</v>
      </c>
      <c r="J214" s="457"/>
    </row>
    <row r="215" spans="1:10" x14ac:dyDescent="0.2">
      <c r="A215" s="194">
        <f t="shared" si="9"/>
        <v>524</v>
      </c>
      <c r="B215" s="758">
        <v>283</v>
      </c>
      <c r="C215" s="759" t="s">
        <v>3087</v>
      </c>
      <c r="D215" s="760">
        <v>0</v>
      </c>
      <c r="E215" s="243">
        <v>0</v>
      </c>
      <c r="F215" s="243"/>
      <c r="G215" s="243"/>
      <c r="H215" s="243"/>
      <c r="I215" s="457" t="s">
        <v>2923</v>
      </c>
      <c r="J215" s="457"/>
    </row>
    <row r="216" spans="1:10" x14ac:dyDescent="0.2">
      <c r="A216" s="194">
        <f t="shared" si="9"/>
        <v>525</v>
      </c>
      <c r="B216" s="758">
        <v>283</v>
      </c>
      <c r="C216" s="759" t="s">
        <v>3088</v>
      </c>
      <c r="D216" s="760">
        <v>-3186540.41</v>
      </c>
      <c r="E216" s="243">
        <v>-3186540.41</v>
      </c>
      <c r="F216" s="243"/>
      <c r="G216" s="243"/>
      <c r="H216" s="243"/>
      <c r="I216" s="457" t="s">
        <v>2923</v>
      </c>
      <c r="J216" s="457"/>
    </row>
    <row r="217" spans="1:10" x14ac:dyDescent="0.2">
      <c r="A217" s="194">
        <f t="shared" si="9"/>
        <v>526</v>
      </c>
      <c r="B217" s="758">
        <v>283</v>
      </c>
      <c r="C217" s="759" t="s">
        <v>3089</v>
      </c>
      <c r="D217" s="760">
        <v>236720.16999999993</v>
      </c>
      <c r="E217" s="243">
        <v>236720.16999999993</v>
      </c>
      <c r="F217" s="243"/>
      <c r="G217" s="243"/>
      <c r="H217" s="243"/>
      <c r="I217" s="457" t="s">
        <v>2923</v>
      </c>
      <c r="J217" s="457"/>
    </row>
    <row r="218" spans="1:10" x14ac:dyDescent="0.2">
      <c r="A218" s="194">
        <f t="shared" si="9"/>
        <v>527</v>
      </c>
      <c r="B218" s="758">
        <v>283</v>
      </c>
      <c r="C218" s="759" t="s">
        <v>3090</v>
      </c>
      <c r="D218" s="760">
        <v>107761.04</v>
      </c>
      <c r="E218" s="243">
        <v>107761.04</v>
      </c>
      <c r="F218" s="243"/>
      <c r="G218" s="243"/>
      <c r="H218" s="243"/>
      <c r="I218" s="457" t="s">
        <v>2923</v>
      </c>
      <c r="J218" s="457"/>
    </row>
    <row r="219" spans="1:10" x14ac:dyDescent="0.2">
      <c r="A219" s="194">
        <f t="shared" si="9"/>
        <v>528</v>
      </c>
      <c r="B219" s="758">
        <v>283</v>
      </c>
      <c r="C219" s="759" t="s">
        <v>3091</v>
      </c>
      <c r="D219" s="760">
        <v>-0.16999999992549419</v>
      </c>
      <c r="E219" s="243">
        <v>-0.16999999992549419</v>
      </c>
      <c r="F219" s="243"/>
      <c r="G219" s="243"/>
      <c r="H219" s="243"/>
      <c r="I219" s="457" t="s">
        <v>3092</v>
      </c>
      <c r="J219" s="457"/>
    </row>
    <row r="220" spans="1:10" x14ac:dyDescent="0.2">
      <c r="A220" s="194">
        <f t="shared" si="9"/>
        <v>529</v>
      </c>
      <c r="B220" s="758">
        <v>283</v>
      </c>
      <c r="C220" s="761" t="s">
        <v>3093</v>
      </c>
      <c r="D220" s="760">
        <v>-8480925.629999999</v>
      </c>
      <c r="E220" s="243">
        <v>-8480925.629999999</v>
      </c>
      <c r="F220" s="243"/>
      <c r="G220" s="243"/>
      <c r="H220" s="243"/>
      <c r="I220" s="457" t="s">
        <v>2923</v>
      </c>
      <c r="J220" s="457"/>
    </row>
    <row r="221" spans="1:10" x14ac:dyDescent="0.2">
      <c r="A221" s="194">
        <f>+A220+1</f>
        <v>530</v>
      </c>
      <c r="B221" s="758">
        <v>283</v>
      </c>
      <c r="C221" s="759" t="s">
        <v>3094</v>
      </c>
      <c r="D221" s="760">
        <v>24640579.039999999</v>
      </c>
      <c r="E221" s="243">
        <v>24640579.039999999</v>
      </c>
      <c r="F221" s="243"/>
      <c r="G221" s="243"/>
      <c r="H221" s="243"/>
      <c r="I221" s="457" t="s">
        <v>2923</v>
      </c>
      <c r="J221" s="457"/>
    </row>
    <row r="222" spans="1:10" x14ac:dyDescent="0.2">
      <c r="A222" s="194">
        <f>+A221+1</f>
        <v>531</v>
      </c>
      <c r="B222" s="758">
        <v>283</v>
      </c>
      <c r="C222" s="759" t="s">
        <v>3095</v>
      </c>
      <c r="D222" s="760">
        <v>-11554.86</v>
      </c>
      <c r="E222" s="243">
        <v>-11554.86</v>
      </c>
      <c r="F222" s="243"/>
      <c r="G222" s="243"/>
      <c r="H222" s="243"/>
      <c r="I222" s="457" t="s">
        <v>2923</v>
      </c>
      <c r="J222" s="457"/>
    </row>
    <row r="223" spans="1:10" x14ac:dyDescent="0.2">
      <c r="A223" s="194">
        <f t="shared" si="9"/>
        <v>532</v>
      </c>
      <c r="B223" s="758">
        <v>283</v>
      </c>
      <c r="C223" s="761" t="s">
        <v>3096</v>
      </c>
      <c r="D223" s="760">
        <v>-50279.86</v>
      </c>
      <c r="E223" s="243">
        <v>-50279.86</v>
      </c>
      <c r="F223" s="243"/>
      <c r="G223" s="243"/>
      <c r="H223" s="243"/>
      <c r="I223" s="457" t="s">
        <v>2923</v>
      </c>
      <c r="J223" s="457"/>
    </row>
    <row r="224" spans="1:10" x14ac:dyDescent="0.2">
      <c r="A224" s="194">
        <f>+A223+1</f>
        <v>533</v>
      </c>
      <c r="B224" s="758">
        <v>283</v>
      </c>
      <c r="C224" s="759" t="s">
        <v>3097</v>
      </c>
      <c r="D224" s="760">
        <v>383108.83999999973</v>
      </c>
      <c r="E224" s="1155">
        <f>D224*$G$341</f>
        <v>330.21944617079731</v>
      </c>
      <c r="F224" s="243"/>
      <c r="G224" s="243">
        <f>D224-E224</f>
        <v>382778.62055382895</v>
      </c>
      <c r="H224" s="243"/>
      <c r="I224" s="457" t="s">
        <v>2921</v>
      </c>
      <c r="J224" s="457"/>
    </row>
    <row r="225" spans="1:10" x14ac:dyDescent="0.2">
      <c r="A225" s="194">
        <f t="shared" si="9"/>
        <v>534</v>
      </c>
      <c r="B225" s="758">
        <v>283</v>
      </c>
      <c r="C225" s="759" t="s">
        <v>3098</v>
      </c>
      <c r="D225" s="760">
        <v>304244</v>
      </c>
      <c r="E225" s="243">
        <v>304244</v>
      </c>
      <c r="F225" s="243"/>
      <c r="G225" s="243"/>
      <c r="H225" s="243"/>
      <c r="I225" s="457" t="s">
        <v>3099</v>
      </c>
      <c r="J225" s="457"/>
    </row>
    <row r="226" spans="1:10" x14ac:dyDescent="0.2">
      <c r="A226" s="194">
        <f t="shared" si="9"/>
        <v>535</v>
      </c>
      <c r="B226" s="758">
        <v>283</v>
      </c>
      <c r="C226" s="759" t="s">
        <v>3100</v>
      </c>
      <c r="D226" s="760">
        <v>2282910.88</v>
      </c>
      <c r="E226" s="243">
        <v>2282910.88</v>
      </c>
      <c r="F226" s="243"/>
      <c r="G226" s="243"/>
      <c r="H226" s="243"/>
      <c r="I226" s="457" t="s">
        <v>2966</v>
      </c>
      <c r="J226" s="457"/>
    </row>
    <row r="227" spans="1:10" x14ac:dyDescent="0.2">
      <c r="A227" s="194">
        <f t="shared" si="9"/>
        <v>536</v>
      </c>
      <c r="B227" s="758">
        <v>283</v>
      </c>
      <c r="C227" s="759" t="s">
        <v>3101</v>
      </c>
      <c r="D227" s="760">
        <v>-1482207.9</v>
      </c>
      <c r="E227" s="243">
        <v>-1482207.9</v>
      </c>
      <c r="F227" s="243"/>
      <c r="G227" s="243"/>
      <c r="H227" s="243"/>
      <c r="I227" s="457" t="s">
        <v>2966</v>
      </c>
      <c r="J227" s="457"/>
    </row>
    <row r="228" spans="1:10" x14ac:dyDescent="0.2">
      <c r="A228" s="194">
        <f t="shared" si="9"/>
        <v>537</v>
      </c>
      <c r="B228" s="758">
        <v>283</v>
      </c>
      <c r="C228" s="762" t="s">
        <v>3102</v>
      </c>
      <c r="D228" s="760">
        <v>28888962.230000012</v>
      </c>
      <c r="E228" s="243">
        <v>28888962.230000012</v>
      </c>
      <c r="F228" s="243"/>
      <c r="G228" s="243"/>
      <c r="H228" s="243"/>
      <c r="I228" s="644" t="s">
        <v>3017</v>
      </c>
      <c r="J228" s="457"/>
    </row>
    <row r="229" spans="1:10" x14ac:dyDescent="0.2">
      <c r="A229" s="194">
        <f t="shared" si="9"/>
        <v>538</v>
      </c>
      <c r="B229" s="758">
        <v>283</v>
      </c>
      <c r="C229" s="759" t="s">
        <v>3103</v>
      </c>
      <c r="D229" s="760">
        <v>-381354707.16000003</v>
      </c>
      <c r="E229" s="243">
        <v>-381354707.16000003</v>
      </c>
      <c r="F229" s="243"/>
      <c r="G229" s="243"/>
      <c r="H229" s="243"/>
      <c r="I229" s="644" t="s">
        <v>3017</v>
      </c>
      <c r="J229" s="457"/>
    </row>
    <row r="230" spans="1:10" x14ac:dyDescent="0.2">
      <c r="A230" s="194">
        <f t="shared" si="9"/>
        <v>539</v>
      </c>
      <c r="B230" s="758">
        <v>283</v>
      </c>
      <c r="C230" s="759" t="s">
        <v>3104</v>
      </c>
      <c r="D230" s="760">
        <v>62945949.650000006</v>
      </c>
      <c r="E230" s="243">
        <v>62945949.650000006</v>
      </c>
      <c r="F230" s="243"/>
      <c r="G230" s="243"/>
      <c r="H230" s="243"/>
      <c r="I230" s="457" t="s">
        <v>3105</v>
      </c>
      <c r="J230" s="457"/>
    </row>
    <row r="231" spans="1:10" x14ac:dyDescent="0.2">
      <c r="A231" s="115"/>
      <c r="B231" s="763"/>
      <c r="C231" s="764"/>
      <c r="D231" s="765"/>
      <c r="E231" s="242"/>
      <c r="F231" s="242"/>
      <c r="G231" s="242"/>
      <c r="H231" s="242"/>
      <c r="I231" s="248"/>
      <c r="J231" s="248"/>
    </row>
    <row r="232" spans="1:10" x14ac:dyDescent="0.2">
      <c r="A232" s="115"/>
      <c r="B232" s="852" t="s">
        <v>2050</v>
      </c>
      <c r="C232" s="881"/>
      <c r="D232" s="871"/>
      <c r="E232" s="240"/>
      <c r="F232" s="240"/>
      <c r="G232" s="240"/>
      <c r="H232" s="240"/>
      <c r="I232" s="238"/>
      <c r="J232" s="248"/>
    </row>
    <row r="233" spans="1:10" x14ac:dyDescent="0.2">
      <c r="A233" s="115"/>
      <c r="B233" s="852"/>
      <c r="C233" s="86" t="s">
        <v>403</v>
      </c>
      <c r="D233" s="86" t="s">
        <v>387</v>
      </c>
      <c r="E233" s="86" t="s">
        <v>388</v>
      </c>
      <c r="F233" s="86" t="s">
        <v>389</v>
      </c>
      <c r="G233" s="86" t="s">
        <v>390</v>
      </c>
      <c r="H233" s="86" t="s">
        <v>391</v>
      </c>
      <c r="I233" s="86" t="s">
        <v>392</v>
      </c>
      <c r="J233" s="248"/>
    </row>
    <row r="234" spans="1:10" x14ac:dyDescent="0.2">
      <c r="A234" s="115"/>
      <c r="B234" s="856"/>
      <c r="C234" s="856"/>
      <c r="D234" s="882" t="s">
        <v>2028</v>
      </c>
      <c r="E234" s="882" t="s">
        <v>2029</v>
      </c>
      <c r="F234" s="882"/>
      <c r="G234" s="882"/>
      <c r="H234" s="882" t="s">
        <v>1546</v>
      </c>
      <c r="I234" s="1056" t="s">
        <v>2553</v>
      </c>
      <c r="J234" s="248"/>
    </row>
    <row r="235" spans="1:10" x14ac:dyDescent="0.2">
      <c r="A235" s="115"/>
      <c r="B235" s="860" t="s">
        <v>2049</v>
      </c>
      <c r="C235" s="860" t="s">
        <v>2031</v>
      </c>
      <c r="D235" s="883" t="s">
        <v>2032</v>
      </c>
      <c r="E235" s="883" t="s">
        <v>2033</v>
      </c>
      <c r="F235" s="883" t="s">
        <v>2034</v>
      </c>
      <c r="G235" s="883" t="s">
        <v>2035</v>
      </c>
      <c r="H235" s="883" t="s">
        <v>2022</v>
      </c>
      <c r="I235" s="860" t="s">
        <v>112</v>
      </c>
      <c r="J235" s="248"/>
    </row>
    <row r="236" spans="1:10" x14ac:dyDescent="0.2">
      <c r="A236" s="115"/>
      <c r="B236" s="853" t="s">
        <v>2051</v>
      </c>
      <c r="C236" s="856"/>
      <c r="D236" s="882"/>
      <c r="E236" s="882"/>
      <c r="F236" s="882"/>
      <c r="G236" s="882"/>
      <c r="H236" s="882"/>
      <c r="I236" s="856"/>
      <c r="J236" s="248"/>
    </row>
    <row r="237" spans="1:10" x14ac:dyDescent="0.2">
      <c r="A237" s="194">
        <f>A230+1</f>
        <v>540</v>
      </c>
      <c r="B237" s="758">
        <v>283</v>
      </c>
      <c r="C237" s="759" t="s">
        <v>3106</v>
      </c>
      <c r="D237" s="760">
        <v>-916463952</v>
      </c>
      <c r="E237" s="715">
        <v>-916463952</v>
      </c>
      <c r="F237" s="715"/>
      <c r="G237" s="715"/>
      <c r="H237" s="715"/>
      <c r="I237" s="644" t="s">
        <v>3107</v>
      </c>
      <c r="J237" s="644"/>
    </row>
    <row r="238" spans="1:10" x14ac:dyDescent="0.2">
      <c r="A238" s="194">
        <f t="shared" si="9"/>
        <v>541</v>
      </c>
      <c r="B238" s="758">
        <v>283</v>
      </c>
      <c r="C238" s="759" t="s">
        <v>3108</v>
      </c>
      <c r="D238" s="760">
        <v>-325533677.01999998</v>
      </c>
      <c r="E238" s="715">
        <v>-325533677.01999998</v>
      </c>
      <c r="F238" s="715"/>
      <c r="G238" s="715"/>
      <c r="H238" s="715"/>
      <c r="I238" s="644" t="s">
        <v>3109</v>
      </c>
      <c r="J238" s="644"/>
    </row>
    <row r="239" spans="1:10" x14ac:dyDescent="0.2">
      <c r="A239" s="194">
        <f t="shared" si="9"/>
        <v>542</v>
      </c>
      <c r="B239" s="758">
        <v>283</v>
      </c>
      <c r="C239" s="759" t="s">
        <v>3110</v>
      </c>
      <c r="D239" s="760">
        <v>-208179120.02999997</v>
      </c>
      <c r="E239" s="715">
        <v>-208179120.02999997</v>
      </c>
      <c r="F239" s="715"/>
      <c r="G239" s="715"/>
      <c r="H239" s="715"/>
      <c r="I239" s="644" t="s">
        <v>3111</v>
      </c>
      <c r="J239" s="644"/>
    </row>
    <row r="240" spans="1:10" x14ac:dyDescent="0.2">
      <c r="A240" s="194">
        <f t="shared" si="9"/>
        <v>543</v>
      </c>
      <c r="B240" s="758">
        <v>283</v>
      </c>
      <c r="C240" s="759" t="s">
        <v>3112</v>
      </c>
      <c r="D240" s="760">
        <v>-3973892.9999999995</v>
      </c>
      <c r="E240" s="715">
        <v>-3973892.9999999995</v>
      </c>
      <c r="F240" s="715"/>
      <c r="G240" s="715"/>
      <c r="H240" s="715"/>
      <c r="I240" s="644" t="s">
        <v>3113</v>
      </c>
      <c r="J240" s="644"/>
    </row>
    <row r="241" spans="1:10" x14ac:dyDescent="0.2">
      <c r="A241" s="194">
        <f t="shared" si="9"/>
        <v>544</v>
      </c>
      <c r="B241" s="758">
        <v>283</v>
      </c>
      <c r="C241" s="759" t="s">
        <v>3114</v>
      </c>
      <c r="D241" s="760">
        <v>-373530112.66999996</v>
      </c>
      <c r="E241" s="715">
        <v>-373530112.66999996</v>
      </c>
      <c r="F241" s="715"/>
      <c r="G241" s="715"/>
      <c r="H241" s="715"/>
      <c r="I241" s="644" t="s">
        <v>3115</v>
      </c>
      <c r="J241" s="644"/>
    </row>
    <row r="242" spans="1:10" x14ac:dyDescent="0.2">
      <c r="A242" s="194">
        <f t="shared" si="9"/>
        <v>545</v>
      </c>
      <c r="B242" s="758">
        <v>283</v>
      </c>
      <c r="C242" s="759" t="s">
        <v>3116</v>
      </c>
      <c r="D242" s="760">
        <v>-178532797.72000003</v>
      </c>
      <c r="E242" s="715">
        <v>-178532797.72000003</v>
      </c>
      <c r="F242" s="715"/>
      <c r="G242" s="715"/>
      <c r="H242" s="715"/>
      <c r="I242" s="644" t="s">
        <v>3117</v>
      </c>
      <c r="J242" s="644"/>
    </row>
    <row r="243" spans="1:10" x14ac:dyDescent="0.2">
      <c r="A243" s="194">
        <f t="shared" si="9"/>
        <v>546</v>
      </c>
      <c r="B243" s="758">
        <v>283</v>
      </c>
      <c r="C243" s="759" t="s">
        <v>3118</v>
      </c>
      <c r="D243" s="760">
        <v>-3971309</v>
      </c>
      <c r="E243" s="715">
        <v>-3971309</v>
      </c>
      <c r="F243" s="715"/>
      <c r="G243" s="715"/>
      <c r="H243" s="715"/>
      <c r="I243" s="644" t="s">
        <v>3117</v>
      </c>
      <c r="J243" s="644"/>
    </row>
    <row r="244" spans="1:10" x14ac:dyDescent="0.2">
      <c r="A244" s="194">
        <f t="shared" si="9"/>
        <v>547</v>
      </c>
      <c r="B244" s="758">
        <v>283</v>
      </c>
      <c r="C244" s="759" t="s">
        <v>3119</v>
      </c>
      <c r="D244" s="760">
        <v>-100152677</v>
      </c>
      <c r="E244" s="715">
        <v>-100152677</v>
      </c>
      <c r="F244" s="715"/>
      <c r="G244" s="715"/>
      <c r="H244" s="715"/>
      <c r="I244" s="644" t="s">
        <v>3117</v>
      </c>
      <c r="J244" s="644"/>
    </row>
    <row r="245" spans="1:10" x14ac:dyDescent="0.2">
      <c r="A245" s="194">
        <f t="shared" si="9"/>
        <v>548</v>
      </c>
      <c r="B245" s="758">
        <v>283</v>
      </c>
      <c r="C245" s="759" t="s">
        <v>3120</v>
      </c>
      <c r="D245" s="760">
        <v>-422034427.71000004</v>
      </c>
      <c r="E245" s="715">
        <v>-422034427.71000004</v>
      </c>
      <c r="F245" s="715"/>
      <c r="G245" s="715"/>
      <c r="H245" s="715"/>
      <c r="I245" s="644" t="s">
        <v>3121</v>
      </c>
      <c r="J245" s="644"/>
    </row>
    <row r="246" spans="1:10" x14ac:dyDescent="0.2">
      <c r="A246" s="194">
        <f t="shared" si="9"/>
        <v>549</v>
      </c>
      <c r="B246" s="758">
        <v>283</v>
      </c>
      <c r="C246" s="759" t="s">
        <v>3122</v>
      </c>
      <c r="D246" s="760">
        <v>161385759.15000001</v>
      </c>
      <c r="E246" s="715">
        <v>161385759.15000001</v>
      </c>
      <c r="F246" s="715"/>
      <c r="G246" s="715"/>
      <c r="H246" s="715"/>
      <c r="I246" s="644" t="s">
        <v>3121</v>
      </c>
      <c r="J246" s="644"/>
    </row>
    <row r="247" spans="1:10" x14ac:dyDescent="0.2">
      <c r="A247" s="194">
        <f t="shared" si="9"/>
        <v>550</v>
      </c>
      <c r="B247" s="758">
        <v>283</v>
      </c>
      <c r="C247" s="759" t="s">
        <v>3123</v>
      </c>
      <c r="D247" s="760">
        <v>-35718904.350000001</v>
      </c>
      <c r="E247" s="715">
        <v>-35718904.350000001</v>
      </c>
      <c r="F247" s="715"/>
      <c r="G247" s="715"/>
      <c r="H247" s="715"/>
      <c r="I247" s="644" t="s">
        <v>3117</v>
      </c>
      <c r="J247" s="644"/>
    </row>
    <row r="248" spans="1:10" x14ac:dyDescent="0.2">
      <c r="A248" s="194">
        <f t="shared" si="9"/>
        <v>551</v>
      </c>
      <c r="B248" s="758">
        <v>283</v>
      </c>
      <c r="C248" s="759" t="s">
        <v>3124</v>
      </c>
      <c r="D248" s="760">
        <v>-125259</v>
      </c>
      <c r="E248" s="715">
        <v>-125259</v>
      </c>
      <c r="F248" s="715"/>
      <c r="G248" s="715"/>
      <c r="H248" s="715"/>
      <c r="I248" s="644" t="s">
        <v>3117</v>
      </c>
      <c r="J248" s="644"/>
    </row>
    <row r="249" spans="1:10" x14ac:dyDescent="0.2">
      <c r="A249" s="194">
        <f t="shared" si="9"/>
        <v>552</v>
      </c>
      <c r="B249" s="758">
        <v>283</v>
      </c>
      <c r="C249" s="759" t="s">
        <v>3063</v>
      </c>
      <c r="D249" s="760">
        <v>-1617885.2799999998</v>
      </c>
      <c r="E249" s="715">
        <v>-1617885.2799999998</v>
      </c>
      <c r="F249" s="715"/>
      <c r="G249" s="715"/>
      <c r="H249" s="715"/>
      <c r="I249" s="644" t="s">
        <v>2923</v>
      </c>
      <c r="J249" s="644"/>
    </row>
    <row r="250" spans="1:10" x14ac:dyDescent="0.2">
      <c r="A250" s="194">
        <f t="shared" si="9"/>
        <v>553</v>
      </c>
      <c r="B250" s="758">
        <v>283</v>
      </c>
      <c r="C250" s="759" t="s">
        <v>3125</v>
      </c>
      <c r="D250" s="760">
        <v>-1021260.95</v>
      </c>
      <c r="E250" s="715">
        <v>-1021260.95</v>
      </c>
      <c r="F250" s="715"/>
      <c r="G250" s="715"/>
      <c r="H250" s="715"/>
      <c r="I250" s="644" t="s">
        <v>3115</v>
      </c>
      <c r="J250" s="644"/>
    </row>
    <row r="251" spans="1:10" x14ac:dyDescent="0.2">
      <c r="A251" s="194">
        <f t="shared" si="9"/>
        <v>554</v>
      </c>
      <c r="B251" s="758">
        <v>283</v>
      </c>
      <c r="C251" s="759" t="s">
        <v>3126</v>
      </c>
      <c r="D251" s="760">
        <v>10930906.810000001</v>
      </c>
      <c r="E251" s="715">
        <v>10930906.810000001</v>
      </c>
      <c r="F251" s="715"/>
      <c r="G251" s="715"/>
      <c r="H251" s="715"/>
      <c r="I251" s="644" t="s">
        <v>2955</v>
      </c>
      <c r="J251" s="644"/>
    </row>
    <row r="252" spans="1:10" x14ac:dyDescent="0.2">
      <c r="A252" s="194">
        <f t="shared" si="9"/>
        <v>555</v>
      </c>
      <c r="B252" s="758">
        <v>283</v>
      </c>
      <c r="C252" s="759" t="s">
        <v>3127</v>
      </c>
      <c r="D252" s="760">
        <v>-6135889.1399999997</v>
      </c>
      <c r="E252" s="715">
        <v>-5520342</v>
      </c>
      <c r="F252" s="715"/>
      <c r="G252" s="715"/>
      <c r="H252" s="715"/>
      <c r="I252" s="644" t="s">
        <v>3128</v>
      </c>
      <c r="J252" s="644"/>
    </row>
    <row r="253" spans="1:10" x14ac:dyDescent="0.2">
      <c r="A253" s="194">
        <f t="shared" si="9"/>
        <v>556</v>
      </c>
      <c r="B253" s="758">
        <v>283</v>
      </c>
      <c r="C253" s="759" t="s">
        <v>3129</v>
      </c>
      <c r="D253" s="760">
        <v>-38691656.879999995</v>
      </c>
      <c r="E253" s="715">
        <v>-38691656.879999995</v>
      </c>
      <c r="F253" s="715"/>
      <c r="G253" s="715"/>
      <c r="H253" s="715"/>
      <c r="I253" s="644" t="s">
        <v>3115</v>
      </c>
      <c r="J253" s="644"/>
    </row>
    <row r="254" spans="1:10" x14ac:dyDescent="0.2">
      <c r="A254" s="194">
        <f t="shared" si="9"/>
        <v>557</v>
      </c>
      <c r="B254" s="758">
        <v>283</v>
      </c>
      <c r="C254" s="759" t="s">
        <v>3130</v>
      </c>
      <c r="D254" s="760">
        <v>-2198395.9</v>
      </c>
      <c r="E254" s="715">
        <v>-2198395.9</v>
      </c>
      <c r="F254" s="715"/>
      <c r="G254" s="715"/>
      <c r="H254" s="715"/>
      <c r="I254" s="644" t="s">
        <v>2966</v>
      </c>
      <c r="J254" s="644"/>
    </row>
    <row r="255" spans="1:10" x14ac:dyDescent="0.2">
      <c r="A255" s="194">
        <f t="shared" si="9"/>
        <v>558</v>
      </c>
      <c r="B255" s="758">
        <v>283</v>
      </c>
      <c r="C255" s="759" t="s">
        <v>3131</v>
      </c>
      <c r="D255" s="760">
        <v>-115892045</v>
      </c>
      <c r="E255" s="715">
        <v>-115892045</v>
      </c>
      <c r="F255" s="715"/>
      <c r="G255" s="715"/>
      <c r="H255" s="715"/>
      <c r="I255" s="644" t="s">
        <v>3132</v>
      </c>
      <c r="J255" s="644"/>
    </row>
    <row r="256" spans="1:10" x14ac:dyDescent="0.2">
      <c r="A256" s="194">
        <f t="shared" ref="A256:A290" si="11">A255+1</f>
        <v>559</v>
      </c>
      <c r="B256" s="758">
        <v>283</v>
      </c>
      <c r="C256" s="759" t="s">
        <v>3133</v>
      </c>
      <c r="D256" s="760">
        <v>-18701733.670000002</v>
      </c>
      <c r="E256" s="715">
        <v>-18701733.670000002</v>
      </c>
      <c r="F256" s="715"/>
      <c r="G256" s="715"/>
      <c r="H256" s="715"/>
      <c r="I256" s="644" t="s">
        <v>2940</v>
      </c>
      <c r="J256" s="644"/>
    </row>
    <row r="257" spans="1:10" x14ac:dyDescent="0.2">
      <c r="A257" s="194">
        <f t="shared" si="11"/>
        <v>560</v>
      </c>
      <c r="B257" s="758">
        <v>283</v>
      </c>
      <c r="C257" s="759" t="s">
        <v>3134</v>
      </c>
      <c r="D257" s="760">
        <v>7797552.5600000005</v>
      </c>
      <c r="E257" s="715">
        <v>7797552.5600000005</v>
      </c>
      <c r="F257" s="715"/>
      <c r="G257" s="715"/>
      <c r="H257" s="715"/>
      <c r="I257" s="644" t="s">
        <v>3135</v>
      </c>
      <c r="J257" s="644"/>
    </row>
    <row r="258" spans="1:10" x14ac:dyDescent="0.2">
      <c r="A258" s="194">
        <f t="shared" si="11"/>
        <v>561</v>
      </c>
      <c r="B258" s="758">
        <v>283</v>
      </c>
      <c r="C258" s="759" t="s">
        <v>3133</v>
      </c>
      <c r="D258" s="760">
        <v>-3355098</v>
      </c>
      <c r="E258" s="715">
        <v>-3355098</v>
      </c>
      <c r="F258" s="715"/>
      <c r="G258" s="715"/>
      <c r="H258" s="715"/>
      <c r="I258" s="644" t="s">
        <v>2940</v>
      </c>
      <c r="J258" s="644"/>
    </row>
    <row r="259" spans="1:10" x14ac:dyDescent="0.2">
      <c r="A259" s="194">
        <f t="shared" si="11"/>
        <v>562</v>
      </c>
      <c r="B259" s="758">
        <v>283</v>
      </c>
      <c r="C259" s="759" t="s">
        <v>3136</v>
      </c>
      <c r="D259" s="760">
        <v>-22369177.23</v>
      </c>
      <c r="E259" s="715">
        <v>-22369177.23</v>
      </c>
      <c r="F259" s="715"/>
      <c r="G259" s="715"/>
      <c r="H259" s="715"/>
      <c r="I259" s="644" t="s">
        <v>3137</v>
      </c>
      <c r="J259" s="644"/>
    </row>
    <row r="260" spans="1:10" x14ac:dyDescent="0.2">
      <c r="A260" s="194">
        <f t="shared" si="11"/>
        <v>563</v>
      </c>
      <c r="B260" s="758">
        <v>283</v>
      </c>
      <c r="C260" s="759" t="s">
        <v>3090</v>
      </c>
      <c r="D260" s="760">
        <v>-284177.45</v>
      </c>
      <c r="E260" s="715">
        <v>-284177.45</v>
      </c>
      <c r="F260" s="715"/>
      <c r="G260" s="715"/>
      <c r="H260" s="715"/>
      <c r="I260" s="644" t="s">
        <v>2966</v>
      </c>
      <c r="J260" s="644"/>
    </row>
    <row r="261" spans="1:10" x14ac:dyDescent="0.2">
      <c r="A261" s="194">
        <f t="shared" si="11"/>
        <v>564</v>
      </c>
      <c r="B261" s="758">
        <v>283</v>
      </c>
      <c r="C261" s="759" t="s">
        <v>3138</v>
      </c>
      <c r="D261" s="760">
        <v>-649967.31999999995</v>
      </c>
      <c r="E261" s="715">
        <v>-649967.31999999995</v>
      </c>
      <c r="F261" s="715"/>
      <c r="G261" s="715"/>
      <c r="H261" s="715"/>
      <c r="I261" s="644" t="s">
        <v>3047</v>
      </c>
      <c r="J261" s="644"/>
    </row>
    <row r="262" spans="1:10" x14ac:dyDescent="0.2">
      <c r="A262" s="194">
        <f t="shared" si="11"/>
        <v>565</v>
      </c>
      <c r="B262" s="758">
        <v>283</v>
      </c>
      <c r="C262" s="759" t="s">
        <v>3139</v>
      </c>
      <c r="D262" s="760">
        <v>-11363166.17</v>
      </c>
      <c r="E262" s="715">
        <v>-11363166.17</v>
      </c>
      <c r="F262" s="715"/>
      <c r="G262" s="715"/>
      <c r="H262" s="715"/>
      <c r="I262" s="644" t="s">
        <v>2923</v>
      </c>
      <c r="J262" s="644"/>
    </row>
    <row r="263" spans="1:10" x14ac:dyDescent="0.2">
      <c r="A263" s="194">
        <f t="shared" si="11"/>
        <v>566</v>
      </c>
      <c r="B263" s="758">
        <v>283</v>
      </c>
      <c r="C263" s="759" t="s">
        <v>3140</v>
      </c>
      <c r="D263" s="760">
        <v>-86726628.579999998</v>
      </c>
      <c r="E263" s="715">
        <f>D263*$G$341</f>
        <v>-74753.741672857403</v>
      </c>
      <c r="F263" s="715"/>
      <c r="G263" s="715">
        <f>D263-E263</f>
        <v>-86651874.83832714</v>
      </c>
      <c r="H263" s="715"/>
      <c r="I263" s="644" t="s">
        <v>3141</v>
      </c>
      <c r="J263" s="644"/>
    </row>
    <row r="264" spans="1:10" x14ac:dyDescent="0.2">
      <c r="A264" s="194">
        <f t="shared" si="11"/>
        <v>567</v>
      </c>
      <c r="B264" s="758">
        <v>283</v>
      </c>
      <c r="C264" s="759" t="s">
        <v>3142</v>
      </c>
      <c r="D264" s="760">
        <v>-526686</v>
      </c>
      <c r="E264" s="715">
        <v>-526686</v>
      </c>
      <c r="F264" s="715"/>
      <c r="G264" s="715"/>
      <c r="H264" s="715"/>
      <c r="I264" s="644" t="s">
        <v>3143</v>
      </c>
      <c r="J264" s="644"/>
    </row>
    <row r="265" spans="1:10" x14ac:dyDescent="0.2">
      <c r="A265" s="194">
        <f t="shared" si="11"/>
        <v>568</v>
      </c>
      <c r="B265" s="758">
        <v>283</v>
      </c>
      <c r="C265" s="759" t="s">
        <v>3142</v>
      </c>
      <c r="D265" s="760">
        <v>-762828</v>
      </c>
      <c r="E265" s="715">
        <v>-762828</v>
      </c>
      <c r="F265" s="715"/>
      <c r="G265" s="715"/>
      <c r="H265" s="715"/>
      <c r="I265" s="644" t="s">
        <v>3143</v>
      </c>
      <c r="J265" s="644"/>
    </row>
    <row r="266" spans="1:10" x14ac:dyDescent="0.2">
      <c r="A266" s="194">
        <f t="shared" si="11"/>
        <v>569</v>
      </c>
      <c r="B266" s="758">
        <v>283</v>
      </c>
      <c r="C266" s="759" t="s">
        <v>3144</v>
      </c>
      <c r="D266" s="760">
        <v>-1063138.3400000001</v>
      </c>
      <c r="E266" s="715">
        <v>-1063138.3400000001</v>
      </c>
      <c r="F266" s="715"/>
      <c r="G266" s="715"/>
      <c r="H266" s="715"/>
      <c r="I266" s="644" t="s">
        <v>2940</v>
      </c>
      <c r="J266" s="644"/>
    </row>
    <row r="267" spans="1:10" x14ac:dyDescent="0.2">
      <c r="A267" s="194">
        <f t="shared" si="11"/>
        <v>570</v>
      </c>
      <c r="B267" s="758">
        <v>283</v>
      </c>
      <c r="C267" s="759" t="s">
        <v>3145</v>
      </c>
      <c r="D267" s="760">
        <v>-2334461.6500000004</v>
      </c>
      <c r="E267" s="715">
        <v>-2334461.6500000004</v>
      </c>
      <c r="F267" s="715"/>
      <c r="G267" s="715"/>
      <c r="H267" s="715"/>
      <c r="I267" s="644" t="s">
        <v>2923</v>
      </c>
      <c r="J267" s="644"/>
    </row>
    <row r="268" spans="1:10" x14ac:dyDescent="0.2">
      <c r="A268" s="194">
        <f t="shared" si="11"/>
        <v>571</v>
      </c>
      <c r="B268" s="758">
        <v>283</v>
      </c>
      <c r="C268" s="759" t="s">
        <v>3146</v>
      </c>
      <c r="D268" s="760">
        <v>-5294782.51</v>
      </c>
      <c r="E268" s="715">
        <v>-5294782.51</v>
      </c>
      <c r="F268" s="715"/>
      <c r="G268" s="715"/>
      <c r="H268" s="715"/>
      <c r="I268" s="644" t="s">
        <v>3017</v>
      </c>
      <c r="J268" s="644"/>
    </row>
    <row r="269" spans="1:10" x14ac:dyDescent="0.2">
      <c r="A269" s="194">
        <f t="shared" si="11"/>
        <v>572</v>
      </c>
      <c r="B269" s="758">
        <v>283</v>
      </c>
      <c r="C269" s="759" t="s">
        <v>3147</v>
      </c>
      <c r="D269" s="760">
        <v>-1075881.6000000001</v>
      </c>
      <c r="E269" s="715">
        <v>-1075881.6000000001</v>
      </c>
      <c r="F269" s="715"/>
      <c r="G269" s="715"/>
      <c r="H269" s="715"/>
      <c r="I269" s="644" t="s">
        <v>2923</v>
      </c>
      <c r="J269" s="644"/>
    </row>
    <row r="270" spans="1:10" x14ac:dyDescent="0.2">
      <c r="A270" s="194">
        <f t="shared" si="11"/>
        <v>573</v>
      </c>
      <c r="B270" s="758">
        <v>283</v>
      </c>
      <c r="C270" s="759" t="s">
        <v>3019</v>
      </c>
      <c r="D270" s="760">
        <v>-22756</v>
      </c>
      <c r="E270" s="715">
        <f>D270*$G$341</f>
        <v>-19.614461825163492</v>
      </c>
      <c r="F270" s="715"/>
      <c r="G270" s="715">
        <f>D270-E270</f>
        <v>-22736.385538174836</v>
      </c>
      <c r="H270" s="715"/>
      <c r="I270" s="644" t="s">
        <v>2921</v>
      </c>
      <c r="J270" s="644"/>
    </row>
    <row r="271" spans="1:10" x14ac:dyDescent="0.2">
      <c r="A271" s="194">
        <f t="shared" si="11"/>
        <v>574</v>
      </c>
      <c r="B271" s="766" t="s">
        <v>574</v>
      </c>
      <c r="C271" s="761"/>
      <c r="D271" s="767"/>
      <c r="E271" s="243"/>
      <c r="F271" s="243"/>
      <c r="G271" s="243"/>
      <c r="H271" s="243"/>
      <c r="I271" s="457"/>
      <c r="J271" s="457"/>
    </row>
    <row r="272" spans="1:10" x14ac:dyDescent="0.2">
      <c r="A272" s="115"/>
      <c r="B272" s="768"/>
      <c r="C272" s="769"/>
      <c r="D272" s="629"/>
      <c r="E272" s="242"/>
      <c r="F272" s="242"/>
      <c r="G272" s="242"/>
      <c r="H272" s="242"/>
      <c r="I272" s="248"/>
      <c r="J272" s="248"/>
    </row>
    <row r="273" spans="1:10" x14ac:dyDescent="0.2">
      <c r="A273" s="115">
        <v>650</v>
      </c>
      <c r="B273" s="769"/>
      <c r="C273" s="769" t="s">
        <v>2052</v>
      </c>
      <c r="D273" s="629">
        <f>SUM(D191:D230)+SUM(D237:D270)</f>
        <v>-3168914648.1900001</v>
      </c>
      <c r="E273" s="629">
        <f>SUM(E191:E230)+SUM(E237:E270)</f>
        <v>-3015982002.8236942</v>
      </c>
      <c r="F273" s="629">
        <f>SUM(F191:F230)+SUM(F237:F270)</f>
        <v>-1088649.432571637</v>
      </c>
      <c r="G273" s="629">
        <f>SUM(G191:G230)+SUM(G237:G270)</f>
        <v>-149300678.86331147</v>
      </c>
      <c r="H273" s="629">
        <f>SUM(H191:H230)+SUM(H237:H270)</f>
        <v>-1927769.9304234057</v>
      </c>
      <c r="I273" s="258" t="str">
        <f>"Sum of Above Lines beginning on Line "&amp;A191&amp;""</f>
        <v>Sum of Above Lines beginning on Line 500</v>
      </c>
      <c r="J273" s="238"/>
    </row>
    <row r="274" spans="1:10" x14ac:dyDescent="0.2">
      <c r="A274" s="115"/>
      <c r="B274" s="769"/>
      <c r="C274" s="769"/>
      <c r="D274" s="629"/>
      <c r="E274" s="629"/>
      <c r="F274" s="629"/>
      <c r="G274" s="629"/>
      <c r="H274" s="629"/>
      <c r="I274" s="754"/>
      <c r="J274" s="238"/>
    </row>
    <row r="275" spans="1:10" x14ac:dyDescent="0.2">
      <c r="A275" s="811"/>
      <c r="B275" s="865" t="s">
        <v>2225</v>
      </c>
      <c r="C275" s="769"/>
      <c r="D275" s="629"/>
      <c r="E275" s="240"/>
      <c r="F275" s="240"/>
      <c r="G275" s="240"/>
      <c r="H275" s="240"/>
      <c r="I275" s="1056" t="s">
        <v>2553</v>
      </c>
      <c r="J275" s="238"/>
    </row>
    <row r="276" spans="1:10" x14ac:dyDescent="0.2">
      <c r="A276" s="811"/>
      <c r="C276" s="86" t="s">
        <v>403</v>
      </c>
      <c r="D276" s="86" t="s">
        <v>387</v>
      </c>
      <c r="E276" s="86" t="s">
        <v>388</v>
      </c>
      <c r="F276" s="86" t="s">
        <v>389</v>
      </c>
      <c r="G276" s="86" t="s">
        <v>390</v>
      </c>
      <c r="H276" s="86" t="s">
        <v>391</v>
      </c>
      <c r="I276" s="86" t="s">
        <v>392</v>
      </c>
      <c r="J276" s="238"/>
    </row>
    <row r="277" spans="1:10" x14ac:dyDescent="0.2">
      <c r="A277" s="194">
        <v>700</v>
      </c>
      <c r="B277" s="758">
        <v>283</v>
      </c>
      <c r="C277" s="759" t="s">
        <v>3148</v>
      </c>
      <c r="D277" s="760">
        <v>-12112.17</v>
      </c>
      <c r="E277" s="243">
        <v>-12112.17</v>
      </c>
      <c r="F277" s="243"/>
      <c r="G277" s="243"/>
      <c r="H277" s="243"/>
      <c r="I277" s="457" t="s">
        <v>3021</v>
      </c>
      <c r="J277" s="457"/>
    </row>
    <row r="278" spans="1:10" x14ac:dyDescent="0.2">
      <c r="A278" s="194">
        <f t="shared" si="11"/>
        <v>701</v>
      </c>
      <c r="B278" s="758">
        <v>283</v>
      </c>
      <c r="C278" s="759" t="s">
        <v>3149</v>
      </c>
      <c r="D278" s="760">
        <v>-527599.2699999999</v>
      </c>
      <c r="E278" s="243">
        <v>-527599.2699999999</v>
      </c>
      <c r="F278" s="243"/>
      <c r="G278" s="243"/>
      <c r="H278" s="243"/>
      <c r="I278" s="457" t="s">
        <v>3021</v>
      </c>
      <c r="J278" s="457"/>
    </row>
    <row r="279" spans="1:10" x14ac:dyDescent="0.2">
      <c r="A279" s="194">
        <f t="shared" si="11"/>
        <v>702</v>
      </c>
      <c r="B279" s="758">
        <v>283</v>
      </c>
      <c r="C279" s="759" t="s">
        <v>3150</v>
      </c>
      <c r="D279" s="760">
        <v>-45243.100000000006</v>
      </c>
      <c r="E279" s="243">
        <v>-45243.100000000006</v>
      </c>
      <c r="F279" s="243"/>
      <c r="G279" s="243"/>
      <c r="H279" s="243"/>
      <c r="I279" s="457" t="s">
        <v>3021</v>
      </c>
      <c r="J279" s="457"/>
    </row>
    <row r="280" spans="1:10" x14ac:dyDescent="0.2">
      <c r="A280" s="194">
        <f t="shared" si="11"/>
        <v>703</v>
      </c>
      <c r="B280" s="758">
        <v>283</v>
      </c>
      <c r="C280" s="759" t="s">
        <v>3151</v>
      </c>
      <c r="D280" s="760">
        <v>-69938.76999999999</v>
      </c>
      <c r="E280" s="243">
        <v>-69938.76999999999</v>
      </c>
      <c r="F280" s="243"/>
      <c r="G280" s="243"/>
      <c r="H280" s="243"/>
      <c r="I280" s="457" t="s">
        <v>3021</v>
      </c>
      <c r="J280" s="457"/>
    </row>
    <row r="281" spans="1:10" x14ac:dyDescent="0.2">
      <c r="A281" s="194">
        <f t="shared" si="11"/>
        <v>704</v>
      </c>
      <c r="B281" s="758">
        <v>283</v>
      </c>
      <c r="C281" s="759" t="s">
        <v>3152</v>
      </c>
      <c r="D281" s="760">
        <v>9.9999999802093953E-3</v>
      </c>
      <c r="E281" s="243">
        <v>9.9999999802093953E-3</v>
      </c>
      <c r="F281" s="243"/>
      <c r="G281" s="243"/>
      <c r="H281" s="243"/>
      <c r="I281" s="457" t="s">
        <v>3021</v>
      </c>
      <c r="J281" s="457"/>
    </row>
    <row r="282" spans="1:10" x14ac:dyDescent="0.2">
      <c r="A282" s="194">
        <f t="shared" si="11"/>
        <v>705</v>
      </c>
      <c r="B282" s="758">
        <v>283</v>
      </c>
      <c r="C282" s="759" t="s">
        <v>3153</v>
      </c>
      <c r="D282" s="760">
        <v>-2.21</v>
      </c>
      <c r="E282" s="243">
        <v>-2.21</v>
      </c>
      <c r="F282" s="243"/>
      <c r="G282" s="243"/>
      <c r="H282" s="243"/>
      <c r="I282" s="457" t="s">
        <v>3021</v>
      </c>
      <c r="J282" s="457"/>
    </row>
    <row r="283" spans="1:10" x14ac:dyDescent="0.2">
      <c r="A283" s="194">
        <f t="shared" si="11"/>
        <v>706</v>
      </c>
      <c r="B283" s="758">
        <v>283</v>
      </c>
      <c r="C283" s="759" t="s">
        <v>3154</v>
      </c>
      <c r="D283" s="760">
        <v>-166335089</v>
      </c>
      <c r="E283" s="243">
        <v>-166335089</v>
      </c>
      <c r="F283" s="243"/>
      <c r="G283" s="243"/>
      <c r="H283" s="243"/>
      <c r="I283" s="457" t="s">
        <v>3021</v>
      </c>
      <c r="J283" s="457"/>
    </row>
    <row r="284" spans="1:10" x14ac:dyDescent="0.2">
      <c r="A284" s="194">
        <f t="shared" si="11"/>
        <v>707</v>
      </c>
      <c r="B284" s="758">
        <v>283</v>
      </c>
      <c r="C284" s="759" t="s">
        <v>3155</v>
      </c>
      <c r="D284" s="760">
        <v>1298220.17</v>
      </c>
      <c r="E284" s="243">
        <v>1298220.17</v>
      </c>
      <c r="F284" s="243"/>
      <c r="G284" s="243"/>
      <c r="H284" s="243"/>
      <c r="I284" s="457" t="s">
        <v>3021</v>
      </c>
      <c r="J284" s="457"/>
    </row>
    <row r="285" spans="1:10" x14ac:dyDescent="0.2">
      <c r="A285" s="194">
        <f t="shared" si="11"/>
        <v>708</v>
      </c>
      <c r="B285" s="758">
        <v>283</v>
      </c>
      <c r="C285" s="759" t="s">
        <v>3156</v>
      </c>
      <c r="D285" s="760">
        <v>-1139355.95</v>
      </c>
      <c r="E285" s="243">
        <v>-1139355.95</v>
      </c>
      <c r="F285" s="243"/>
      <c r="G285" s="243"/>
      <c r="H285" s="243"/>
      <c r="I285" s="457" t="s">
        <v>3021</v>
      </c>
      <c r="J285" s="457"/>
    </row>
    <row r="286" spans="1:10" x14ac:dyDescent="0.2">
      <c r="A286" s="194">
        <f t="shared" si="11"/>
        <v>709</v>
      </c>
      <c r="B286" s="758">
        <v>283</v>
      </c>
      <c r="C286" s="759" t="s">
        <v>3157</v>
      </c>
      <c r="D286" s="760">
        <v>4057792</v>
      </c>
      <c r="E286" s="243">
        <v>4057792</v>
      </c>
      <c r="F286" s="243"/>
      <c r="G286" s="243"/>
      <c r="H286" s="243"/>
      <c r="I286" s="457" t="s">
        <v>3021</v>
      </c>
      <c r="J286" s="457"/>
    </row>
    <row r="287" spans="1:10" x14ac:dyDescent="0.2">
      <c r="A287" s="194">
        <f t="shared" si="11"/>
        <v>710</v>
      </c>
      <c r="B287" s="758">
        <v>283</v>
      </c>
      <c r="C287" s="759" t="s">
        <v>3158</v>
      </c>
      <c r="D287" s="760">
        <v>-3461343.9799999995</v>
      </c>
      <c r="E287" s="243">
        <v>-3461343.9799999995</v>
      </c>
      <c r="F287" s="243"/>
      <c r="G287" s="243"/>
      <c r="H287" s="243"/>
      <c r="I287" s="457" t="s">
        <v>3021</v>
      </c>
      <c r="J287" s="457"/>
    </row>
    <row r="288" spans="1:10" x14ac:dyDescent="0.2">
      <c r="A288" s="194">
        <f t="shared" si="11"/>
        <v>711</v>
      </c>
      <c r="B288" s="758">
        <v>283</v>
      </c>
      <c r="C288" s="759" t="s">
        <v>3158</v>
      </c>
      <c r="D288" s="760">
        <v>177407</v>
      </c>
      <c r="E288" s="243">
        <v>177407</v>
      </c>
      <c r="F288" s="243"/>
      <c r="G288" s="243"/>
      <c r="H288" s="243"/>
      <c r="I288" s="457" t="s">
        <v>3021</v>
      </c>
      <c r="J288" s="457"/>
    </row>
    <row r="289" spans="1:10" x14ac:dyDescent="0.2">
      <c r="A289" s="194">
        <f t="shared" si="11"/>
        <v>712</v>
      </c>
      <c r="B289" s="758">
        <v>283</v>
      </c>
      <c r="C289" s="759" t="s">
        <v>3159</v>
      </c>
      <c r="D289" s="760">
        <v>7066.82</v>
      </c>
      <c r="E289" s="243">
        <v>7066.82</v>
      </c>
      <c r="F289" s="243"/>
      <c r="G289" s="243"/>
      <c r="H289" s="243"/>
      <c r="I289" s="457" t="s">
        <v>3021</v>
      </c>
      <c r="J289" s="457"/>
    </row>
    <row r="290" spans="1:10" x14ac:dyDescent="0.2">
      <c r="A290" s="194">
        <f t="shared" si="11"/>
        <v>713</v>
      </c>
      <c r="B290" s="770">
        <v>283</v>
      </c>
      <c r="C290" s="759" t="s">
        <v>3035</v>
      </c>
      <c r="D290" s="760">
        <v>-1271570332</v>
      </c>
      <c r="E290" s="243">
        <v>-1271570332</v>
      </c>
      <c r="F290" s="243"/>
      <c r="G290" s="243"/>
      <c r="H290" s="243"/>
      <c r="I290" s="457" t="s">
        <v>3036</v>
      </c>
      <c r="J290" s="457"/>
    </row>
    <row r="291" spans="1:10" x14ac:dyDescent="0.2">
      <c r="A291" s="115"/>
      <c r="B291" s="763"/>
      <c r="C291" s="764"/>
      <c r="D291" s="765"/>
      <c r="E291" s="242"/>
      <c r="F291" s="242"/>
      <c r="G291" s="242"/>
      <c r="H291" s="242"/>
      <c r="I291" s="248"/>
      <c r="J291" s="248"/>
    </row>
    <row r="292" spans="1:10" x14ac:dyDescent="0.2">
      <c r="A292" s="115"/>
      <c r="B292" s="769"/>
      <c r="C292" s="86" t="s">
        <v>403</v>
      </c>
      <c r="D292" s="86" t="s">
        <v>387</v>
      </c>
      <c r="E292" s="86" t="s">
        <v>388</v>
      </c>
      <c r="F292" s="86" t="s">
        <v>389</v>
      </c>
      <c r="G292" s="86" t="s">
        <v>390</v>
      </c>
      <c r="H292" s="86" t="s">
        <v>391</v>
      </c>
      <c r="I292" s="386" t="s">
        <v>207</v>
      </c>
      <c r="J292" s="238"/>
    </row>
    <row r="293" spans="1:10" x14ac:dyDescent="0.2">
      <c r="A293" s="115">
        <v>800</v>
      </c>
      <c r="B293" s="238"/>
      <c r="C293" s="628" t="s">
        <v>2053</v>
      </c>
      <c r="D293" s="629">
        <f>SUM(D277:D290)</f>
        <v>-1437620530.45</v>
      </c>
      <c r="E293" s="629">
        <f>SUM(E277:E290)</f>
        <v>-1437620530.45</v>
      </c>
      <c r="F293" s="629">
        <f>SUM(F277:F290)</f>
        <v>0</v>
      </c>
      <c r="G293" s="629">
        <f>SUM(G277:G290)</f>
        <v>0</v>
      </c>
      <c r="H293" s="629">
        <f>SUM(H277:H290)</f>
        <v>0</v>
      </c>
      <c r="I293" s="599" t="str">
        <f>"Sum of Above Lines beginning on Line "&amp;A277&amp;""</f>
        <v>Sum of Above Lines beginning on Line 700</v>
      </c>
      <c r="J293" s="238"/>
    </row>
    <row r="294" spans="1:10" x14ac:dyDescent="0.2">
      <c r="A294" s="115"/>
      <c r="B294" s="238"/>
      <c r="C294" s="628"/>
      <c r="D294" s="629"/>
      <c r="E294" s="629"/>
      <c r="F294" s="629"/>
      <c r="G294" s="629"/>
      <c r="H294" s="629"/>
      <c r="I294" s="599"/>
      <c r="J294" s="238"/>
    </row>
    <row r="295" spans="1:10" x14ac:dyDescent="0.2">
      <c r="A295" s="115">
        <f>A293+1</f>
        <v>801</v>
      </c>
      <c r="B295" s="238"/>
      <c r="C295" s="628" t="s">
        <v>2054</v>
      </c>
      <c r="D295" s="629">
        <f>D273+D293</f>
        <v>-4606535178.6400003</v>
      </c>
      <c r="E295" s="629">
        <f t="shared" ref="E295:G295" si="12">E273+E293</f>
        <v>-4453602533.273694</v>
      </c>
      <c r="F295" s="629">
        <f t="shared" si="12"/>
        <v>-1088649.432571637</v>
      </c>
      <c r="G295" s="629">
        <f t="shared" si="12"/>
        <v>-149300678.86331147</v>
      </c>
      <c r="H295" s="629">
        <f>H273+H293</f>
        <v>-1927769.9304234057</v>
      </c>
      <c r="I295" s="1058" t="str">
        <f>"Line "&amp;A273&amp;" + Line "&amp;A293&amp;""</f>
        <v>Line 650 + Line 800</v>
      </c>
      <c r="J295" s="238"/>
    </row>
    <row r="296" spans="1:10" x14ac:dyDescent="0.2">
      <c r="A296" s="775">
        <f>+A295+1</f>
        <v>802</v>
      </c>
      <c r="B296" s="853"/>
      <c r="C296" s="853" t="s">
        <v>2093</v>
      </c>
      <c r="D296" s="1191"/>
      <c r="E296" s="1191"/>
      <c r="F296" s="880"/>
      <c r="G296" s="1059">
        <f>'27-Allocators'!$G$28</f>
        <v>9.6689189040997187E-2</v>
      </c>
      <c r="H296" s="1059">
        <f>'27-Allocators'!$G$15</f>
        <v>3.9273273898169321E-2</v>
      </c>
      <c r="I296" s="1057" t="str">
        <f>"27-Allocators Lines "&amp;'27-Allocators'!A28&amp;" and "&amp;'27-Allocators'!A15&amp;" respectively."</f>
        <v>27-Allocators Lines 22 and 9 respectively.</v>
      </c>
      <c r="J296" s="238"/>
    </row>
    <row r="297" spans="1:10" x14ac:dyDescent="0.2">
      <c r="A297" s="775">
        <f>+A296+1</f>
        <v>803</v>
      </c>
      <c r="B297" s="853"/>
      <c r="C297" s="853" t="s">
        <v>2097</v>
      </c>
      <c r="D297" s="871">
        <f>SUM(F297:H297)</f>
        <v>-15600120.831625745</v>
      </c>
      <c r="E297" s="871"/>
      <c r="F297" s="874">
        <f>+F295</f>
        <v>-1088649.432571637</v>
      </c>
      <c r="G297" s="874">
        <f>+G295*G296</f>
        <v>-14435761.562563935</v>
      </c>
      <c r="H297" s="874">
        <f>+H295*H296</f>
        <v>-75709.836490173228</v>
      </c>
      <c r="I297" s="753" t="str">
        <f>"Line "&amp;A295&amp;" * Line "&amp;A296&amp;" for Cols 5 and 6.  Col. 4 100% ISO."</f>
        <v>Line 801 * Line 802 for Cols 5 and 6.  Col. 4 100% ISO.</v>
      </c>
      <c r="J297" s="238"/>
    </row>
    <row r="298" spans="1:10" x14ac:dyDescent="0.2">
      <c r="A298" s="115"/>
      <c r="B298" s="238"/>
      <c r="C298" s="875" t="s">
        <v>2096</v>
      </c>
      <c r="D298" s="629"/>
      <c r="E298" s="629"/>
      <c r="F298" s="629"/>
      <c r="G298" s="629"/>
      <c r="H298" s="629"/>
      <c r="I298" s="753"/>
      <c r="J298" s="240"/>
    </row>
    <row r="299" spans="1:10" x14ac:dyDescent="0.2">
      <c r="A299" s="115"/>
      <c r="B299" s="238"/>
      <c r="C299" s="628"/>
      <c r="D299" s="629"/>
      <c r="E299" s="629"/>
      <c r="F299" s="629"/>
      <c r="G299" s="629"/>
      <c r="H299" s="629"/>
      <c r="I299" s="753"/>
      <c r="J299" s="238"/>
    </row>
    <row r="300" spans="1:10" x14ac:dyDescent="0.2">
      <c r="A300" s="115">
        <f>A297+1</f>
        <v>804</v>
      </c>
      <c r="C300" s="853" t="s">
        <v>2080</v>
      </c>
      <c r="D300" s="876">
        <v>-4606535179</v>
      </c>
      <c r="E300" s="877" t="str">
        <f>"Must match amount on Line "&amp;A295&amp;", Col. 2"</f>
        <v>Must match amount on Line 801, Col. 2</v>
      </c>
      <c r="F300" s="871"/>
      <c r="G300" s="871"/>
      <c r="H300" s="871"/>
      <c r="I300" s="258" t="s">
        <v>1480</v>
      </c>
    </row>
    <row r="301" spans="1:10" x14ac:dyDescent="0.2">
      <c r="A301" s="626"/>
      <c r="B301" s="778"/>
      <c r="C301" s="778"/>
      <c r="D301" s="778"/>
      <c r="E301" s="778"/>
      <c r="F301" s="778"/>
      <c r="G301" s="778"/>
      <c r="H301" s="778"/>
      <c r="I301" s="630"/>
      <c r="J301" s="778"/>
    </row>
    <row r="302" spans="1:10" x14ac:dyDescent="0.2">
      <c r="A302" s="626"/>
      <c r="B302" s="852" t="s">
        <v>2128</v>
      </c>
      <c r="C302" s="778"/>
      <c r="D302" s="778"/>
      <c r="E302" s="778"/>
      <c r="F302" s="778"/>
      <c r="G302" s="778"/>
      <c r="H302" s="778"/>
      <c r="I302" s="778"/>
      <c r="J302" s="778"/>
    </row>
    <row r="303" spans="1:10" x14ac:dyDescent="0.2">
      <c r="A303" s="626"/>
      <c r="B303" s="852"/>
      <c r="C303" s="778"/>
      <c r="D303" s="778"/>
      <c r="E303" s="778"/>
      <c r="F303" s="778"/>
      <c r="G303" s="778"/>
      <c r="H303" s="778"/>
      <c r="I303" s="778"/>
      <c r="J303" s="778"/>
    </row>
    <row r="304" spans="1:10" x14ac:dyDescent="0.2">
      <c r="A304" s="115"/>
      <c r="B304" s="852"/>
      <c r="C304" s="86" t="s">
        <v>403</v>
      </c>
      <c r="D304" s="86" t="s">
        <v>387</v>
      </c>
      <c r="E304" s="86" t="s">
        <v>388</v>
      </c>
      <c r="F304" s="86" t="s">
        <v>389</v>
      </c>
      <c r="G304" s="86" t="s">
        <v>390</v>
      </c>
      <c r="H304" s="86" t="s">
        <v>391</v>
      </c>
      <c r="I304" s="86" t="s">
        <v>392</v>
      </c>
      <c r="J304" s="778"/>
    </row>
    <row r="305" spans="1:10" x14ac:dyDescent="0.2">
      <c r="A305" s="115"/>
      <c r="B305" s="856"/>
      <c r="C305" s="856"/>
      <c r="D305" s="882" t="s">
        <v>2028</v>
      </c>
      <c r="E305" s="882" t="s">
        <v>2029</v>
      </c>
      <c r="F305" s="882"/>
      <c r="G305" s="882"/>
      <c r="H305" s="882" t="s">
        <v>1546</v>
      </c>
      <c r="I305" s="238"/>
      <c r="J305" s="778"/>
    </row>
    <row r="306" spans="1:10" x14ac:dyDescent="0.2">
      <c r="A306" s="115"/>
      <c r="B306" s="860" t="s">
        <v>642</v>
      </c>
      <c r="C306" s="806" t="s">
        <v>2173</v>
      </c>
      <c r="D306" s="883" t="s">
        <v>2032</v>
      </c>
      <c r="E306" s="883" t="s">
        <v>2033</v>
      </c>
      <c r="F306" s="883" t="s">
        <v>2034</v>
      </c>
      <c r="G306" s="883" t="s">
        <v>2035</v>
      </c>
      <c r="H306" s="883" t="s">
        <v>2022</v>
      </c>
      <c r="I306" s="860" t="s">
        <v>112</v>
      </c>
      <c r="J306" s="778"/>
    </row>
    <row r="307" spans="1:10" x14ac:dyDescent="0.2">
      <c r="A307" s="626"/>
      <c r="B307" s="778"/>
      <c r="C307" s="778"/>
      <c r="D307" s="778"/>
      <c r="E307" s="778"/>
      <c r="F307" s="778"/>
      <c r="G307" s="778"/>
      <c r="H307" s="778"/>
      <c r="I307" s="778"/>
      <c r="J307" s="778"/>
    </row>
    <row r="308" spans="1:10" x14ac:dyDescent="0.2">
      <c r="A308" s="115">
        <f>A300+1</f>
        <v>805</v>
      </c>
      <c r="B308" s="786">
        <v>236</v>
      </c>
      <c r="C308" s="628" t="s">
        <v>2092</v>
      </c>
      <c r="D308" s="715">
        <v>-239018349</v>
      </c>
      <c r="E308" s="715"/>
      <c r="F308" s="715"/>
      <c r="G308" s="715"/>
      <c r="H308" s="644"/>
      <c r="I308" s="625" t="s">
        <v>2125</v>
      </c>
      <c r="J308" s="628"/>
    </row>
    <row r="309" spans="1:10" x14ac:dyDescent="0.2">
      <c r="A309" s="115">
        <f>A308+1</f>
        <v>806</v>
      </c>
      <c r="B309" s="786"/>
      <c r="C309" s="628" t="s">
        <v>2124</v>
      </c>
      <c r="D309" s="715">
        <v>-1890303</v>
      </c>
      <c r="E309" s="715"/>
      <c r="F309" s="715"/>
      <c r="G309" s="715"/>
      <c r="H309" s="644"/>
      <c r="I309" s="625" t="s">
        <v>244</v>
      </c>
      <c r="J309" s="628"/>
    </row>
    <row r="310" spans="1:10" x14ac:dyDescent="0.2">
      <c r="A310" s="115">
        <f t="shared" ref="A310:A311" si="13">A309+1</f>
        <v>807</v>
      </c>
      <c r="B310" s="786"/>
      <c r="C310" s="628" t="s">
        <v>2127</v>
      </c>
      <c r="D310" s="687">
        <f>D308+D309</f>
        <v>-240908652</v>
      </c>
      <c r="G310" s="687"/>
      <c r="H310" s="628"/>
      <c r="I310" s="753" t="str">
        <f>"Line "&amp;A308&amp;" + Line "&amp;A309&amp;""</f>
        <v>Line 805 + Line 806</v>
      </c>
      <c r="J310" s="628"/>
    </row>
    <row r="311" spans="1:10" x14ac:dyDescent="0.2">
      <c r="A311" s="115">
        <f t="shared" si="13"/>
        <v>808</v>
      </c>
      <c r="B311" s="778"/>
      <c r="C311" s="853" t="s">
        <v>2181</v>
      </c>
      <c r="D311" s="809"/>
      <c r="E311" s="687"/>
      <c r="F311" s="687"/>
      <c r="G311" s="873">
        <f>'27-Allocators'!$G$28</f>
        <v>9.6689189040997187E-2</v>
      </c>
      <c r="H311" s="787"/>
      <c r="I311" s="630" t="s">
        <v>320</v>
      </c>
      <c r="J311" s="626"/>
    </row>
    <row r="312" spans="1:10" x14ac:dyDescent="0.2">
      <c r="A312" s="115">
        <f>+A311+1</f>
        <v>809</v>
      </c>
      <c r="B312" s="627"/>
      <c r="C312" s="626" t="s">
        <v>2173</v>
      </c>
      <c r="D312" s="871">
        <f>E312+G312</f>
        <v>240908652</v>
      </c>
      <c r="E312" s="874">
        <f>-(D310+G312)</f>
        <v>217615389.80516019</v>
      </c>
      <c r="F312" s="874"/>
      <c r="G312" s="874">
        <f>-(D310*G311)</f>
        <v>23293262.194839805</v>
      </c>
      <c r="H312" s="874"/>
      <c r="I312" s="753" t="str">
        <f>"- Line "&amp;A310&amp;" * Line "&amp;A311&amp;""</f>
        <v>- Line 807 * Line 808</v>
      </c>
      <c r="J312" s="626"/>
    </row>
    <row r="313" spans="1:10" x14ac:dyDescent="0.2">
      <c r="A313" s="775"/>
      <c r="B313" s="853"/>
      <c r="C313" s="884" t="s">
        <v>2183</v>
      </c>
      <c r="D313" s="871"/>
      <c r="E313" s="871"/>
      <c r="F313" s="871"/>
      <c r="G313" s="885"/>
      <c r="H313" s="885"/>
      <c r="I313" s="777" t="s">
        <v>2182</v>
      </c>
      <c r="J313" s="778"/>
    </row>
    <row r="314" spans="1:10" x14ac:dyDescent="0.2">
      <c r="A314" s="115"/>
      <c r="B314" s="627"/>
      <c r="C314" s="875"/>
      <c r="D314" s="871"/>
      <c r="E314" s="871"/>
      <c r="F314" s="871"/>
      <c r="G314" s="871"/>
      <c r="H314" s="871"/>
      <c r="I314" s="778"/>
      <c r="J314" s="778"/>
    </row>
    <row r="315" spans="1:10" x14ac:dyDescent="0.2">
      <c r="A315" s="626"/>
      <c r="B315" s="778"/>
      <c r="C315" s="788" t="s">
        <v>2129</v>
      </c>
      <c r="D315" s="778"/>
      <c r="E315" s="778"/>
      <c r="F315" s="778"/>
      <c r="G315" s="778"/>
      <c r="H315" s="778"/>
      <c r="I315" s="778"/>
      <c r="J315" s="778"/>
    </row>
    <row r="316" spans="1:10" x14ac:dyDescent="0.2">
      <c r="B316"/>
      <c r="C316" s="1039" t="s">
        <v>2854</v>
      </c>
      <c r="D316" s="890"/>
      <c r="E316" s="890"/>
      <c r="F316" s="890"/>
      <c r="G316" s="890"/>
      <c r="H316"/>
      <c r="I316"/>
      <c r="J316"/>
    </row>
    <row r="317" spans="1:10" x14ac:dyDescent="0.2">
      <c r="B317"/>
      <c r="C317" s="1039" t="s">
        <v>2847</v>
      </c>
      <c r="D317" s="890"/>
      <c r="E317" s="890"/>
      <c r="F317" s="890"/>
      <c r="G317" s="890"/>
      <c r="H317"/>
      <c r="I317"/>
      <c r="J317"/>
    </row>
    <row r="318" spans="1:10" x14ac:dyDescent="0.2">
      <c r="B318"/>
      <c r="C318" s="1039" t="s">
        <v>2848</v>
      </c>
      <c r="D318" s="890"/>
      <c r="E318" s="890"/>
      <c r="F318" s="890"/>
      <c r="G318" s="890"/>
      <c r="H318"/>
      <c r="I318"/>
      <c r="J318"/>
    </row>
    <row r="319" spans="1:10" x14ac:dyDescent="0.2">
      <c r="B319"/>
      <c r="C319" s="248" t="str">
        <f>"Note 3:  Allocate 'Remaining Amount of FIT Payable' based on Transmission Plant Allocation Factor (27-Allocators, Line "&amp;'27-Allocators'!A28&amp;")"</f>
        <v>Note 3:  Allocate 'Remaining Amount of FIT Payable' based on Transmission Plant Allocation Factor (27-Allocators, Line 22)</v>
      </c>
      <c r="D319" s="890"/>
      <c r="E319" s="890"/>
      <c r="F319" s="890"/>
      <c r="G319" s="890"/>
      <c r="H319"/>
      <c r="I319"/>
      <c r="J319"/>
    </row>
    <row r="320" spans="1:10" x14ac:dyDescent="0.2">
      <c r="B320"/>
      <c r="C320" s="238" t="s">
        <v>2126</v>
      </c>
      <c r="H320"/>
      <c r="I320"/>
      <c r="J320"/>
    </row>
    <row r="321" spans="2:10" x14ac:dyDescent="0.2">
      <c r="B321"/>
      <c r="C321" s="248" t="s">
        <v>2554</v>
      </c>
      <c r="D321" s="248"/>
      <c r="E321" s="248"/>
      <c r="F321" s="248"/>
      <c r="G321" s="248"/>
      <c r="J321"/>
    </row>
    <row r="322" spans="2:10" x14ac:dyDescent="0.2">
      <c r="B322"/>
      <c r="C322" s="248" t="s">
        <v>2555</v>
      </c>
      <c r="D322" s="248"/>
      <c r="E322" s="248"/>
      <c r="F322" s="248"/>
      <c r="G322" s="248"/>
      <c r="J322"/>
    </row>
    <row r="323" spans="2:10" x14ac:dyDescent="0.2">
      <c r="B323"/>
      <c r="C323" s="248"/>
      <c r="D323" s="248"/>
      <c r="E323" s="248"/>
      <c r="F323" s="248"/>
      <c r="G323" s="248"/>
      <c r="J323"/>
    </row>
    <row r="324" spans="2:10" x14ac:dyDescent="0.2">
      <c r="B324"/>
      <c r="C324" s="248" t="s">
        <v>2556</v>
      </c>
      <c r="D324" s="248"/>
      <c r="E324" s="248"/>
      <c r="F324" s="248"/>
      <c r="G324" s="248"/>
      <c r="J324"/>
    </row>
    <row r="325" spans="2:10" x14ac:dyDescent="0.2">
      <c r="B325"/>
      <c r="C325" s="248" t="s">
        <v>2557</v>
      </c>
      <c r="D325" s="248"/>
      <c r="E325" s="248"/>
      <c r="F325" s="248"/>
      <c r="G325" s="248"/>
      <c r="J325"/>
    </row>
    <row r="326" spans="2:10" x14ac:dyDescent="0.2">
      <c r="B326"/>
      <c r="C326" s="248" t="s">
        <v>2558</v>
      </c>
      <c r="D326" s="248"/>
      <c r="E326" s="248"/>
      <c r="F326" s="248"/>
      <c r="G326" s="248"/>
      <c r="J326"/>
    </row>
    <row r="327" spans="2:10" x14ac:dyDescent="0.2">
      <c r="B327"/>
      <c r="C327" s="14"/>
      <c r="D327" s="14"/>
      <c r="E327" s="115" t="s">
        <v>197</v>
      </c>
      <c r="F327" s="14"/>
      <c r="G327" s="1040" t="s">
        <v>73</v>
      </c>
      <c r="J327"/>
    </row>
    <row r="328" spans="2:10" x14ac:dyDescent="0.2">
      <c r="B328"/>
      <c r="C328" s="14"/>
      <c r="D328" s="14"/>
      <c r="E328" s="129" t="s">
        <v>198</v>
      </c>
      <c r="F328" s="14"/>
      <c r="G328" s="129" t="s">
        <v>199</v>
      </c>
      <c r="J328"/>
    </row>
    <row r="329" spans="2:10" ht="15" x14ac:dyDescent="0.25">
      <c r="B329"/>
      <c r="C329" s="1061" t="s">
        <v>2559</v>
      </c>
      <c r="D329" s="1062"/>
      <c r="E329" s="628" t="s">
        <v>322</v>
      </c>
      <c r="F329" s="1062"/>
      <c r="G329" s="886">
        <v>1135485499</v>
      </c>
      <c r="I329" s="887"/>
      <c r="J329"/>
    </row>
    <row r="330" spans="2:10" ht="15" x14ac:dyDescent="0.25">
      <c r="B330"/>
      <c r="C330" s="1063" t="s">
        <v>2560</v>
      </c>
      <c r="D330" s="1062"/>
      <c r="E330" s="628" t="s">
        <v>2561</v>
      </c>
      <c r="F330" s="1062"/>
      <c r="G330" s="888">
        <v>541067</v>
      </c>
      <c r="I330" s="887"/>
      <c r="J330"/>
    </row>
    <row r="331" spans="2:10" ht="15" x14ac:dyDescent="0.25">
      <c r="B331"/>
      <c r="C331" s="1063" t="s">
        <v>2562</v>
      </c>
      <c r="D331" s="1062"/>
      <c r="E331" s="628" t="s">
        <v>2563</v>
      </c>
      <c r="F331" s="1062"/>
      <c r="G331" s="889">
        <v>977979</v>
      </c>
      <c r="I331" s="887"/>
      <c r="J331"/>
    </row>
    <row r="332" spans="2:10" ht="15" x14ac:dyDescent="0.25">
      <c r="B332"/>
      <c r="C332" s="1061" t="s">
        <v>2564</v>
      </c>
      <c r="D332" s="1062"/>
      <c r="E332" s="628" t="s">
        <v>2565</v>
      </c>
      <c r="F332" s="1062"/>
      <c r="G332" s="1060">
        <f>SUM(G329:G331)</f>
        <v>1137004545</v>
      </c>
      <c r="J332"/>
    </row>
    <row r="333" spans="2:10" x14ac:dyDescent="0.2">
      <c r="B333"/>
      <c r="C333" s="118" t="s">
        <v>2566</v>
      </c>
      <c r="D333" s="14"/>
      <c r="E333" s="838" t="s">
        <v>2567</v>
      </c>
      <c r="F333" s="14"/>
      <c r="G333" s="69">
        <f>(G330+G331)/G332</f>
        <v>1.3360069726018554E-3</v>
      </c>
      <c r="J333"/>
    </row>
    <row r="334" spans="2:10" x14ac:dyDescent="0.2">
      <c r="B334"/>
      <c r="C334" s="1035" t="s">
        <v>2568</v>
      </c>
      <c r="D334" s="890"/>
      <c r="E334" s="890"/>
      <c r="F334" s="890"/>
      <c r="G334" s="890"/>
      <c r="J334"/>
    </row>
    <row r="335" spans="2:10" x14ac:dyDescent="0.2">
      <c r="B335"/>
      <c r="C335" s="14"/>
      <c r="D335" s="14"/>
      <c r="E335" s="115" t="s">
        <v>197</v>
      </c>
      <c r="F335" s="14"/>
      <c r="G335" s="1040" t="s">
        <v>73</v>
      </c>
      <c r="J335"/>
    </row>
    <row r="336" spans="2:10" x14ac:dyDescent="0.2">
      <c r="B336"/>
      <c r="C336" s="14"/>
      <c r="D336" s="14"/>
      <c r="E336" s="129" t="s">
        <v>198</v>
      </c>
      <c r="F336" s="14"/>
      <c r="G336" s="129" t="s">
        <v>199</v>
      </c>
      <c r="J336"/>
    </row>
    <row r="337" spans="2:10" ht="15" x14ac:dyDescent="0.25">
      <c r="B337"/>
      <c r="C337" s="625" t="s">
        <v>2569</v>
      </c>
      <c r="D337" s="1062"/>
      <c r="E337" s="1062" t="s">
        <v>34</v>
      </c>
      <c r="F337" s="1062"/>
      <c r="G337" s="886">
        <v>35724211772</v>
      </c>
      <c r="I337" s="887"/>
      <c r="J337"/>
    </row>
    <row r="338" spans="2:10" ht="15" x14ac:dyDescent="0.25">
      <c r="B338"/>
      <c r="C338" s="1063" t="s">
        <v>2570</v>
      </c>
      <c r="D338" s="1062"/>
      <c r="E338" s="1062" t="s">
        <v>2571</v>
      </c>
      <c r="F338" s="1062"/>
      <c r="G338" s="888">
        <v>4101394</v>
      </c>
      <c r="J338"/>
    </row>
    <row r="339" spans="2:10" ht="15" x14ac:dyDescent="0.25">
      <c r="B339"/>
      <c r="C339" s="1063" t="s">
        <v>2572</v>
      </c>
      <c r="D339" s="1062"/>
      <c r="E339" s="1062" t="s">
        <v>2573</v>
      </c>
      <c r="F339" s="1062"/>
      <c r="G339" s="888">
        <v>26717541</v>
      </c>
      <c r="I339" s="887"/>
      <c r="J339"/>
    </row>
    <row r="340" spans="2:10" ht="15" x14ac:dyDescent="0.25">
      <c r="B340"/>
      <c r="C340" s="625" t="s">
        <v>2574</v>
      </c>
      <c r="D340" s="1062"/>
      <c r="E340" s="628" t="s">
        <v>2575</v>
      </c>
      <c r="F340" s="1062"/>
      <c r="G340" s="1060">
        <f>SUM(G337:G339)</f>
        <v>35755030707</v>
      </c>
      <c r="J340"/>
    </row>
    <row r="341" spans="2:10" x14ac:dyDescent="0.2">
      <c r="B341"/>
      <c r="C341" s="118" t="s">
        <v>2576</v>
      </c>
      <c r="D341" s="14"/>
      <c r="E341" s="838" t="s">
        <v>2577</v>
      </c>
      <c r="F341" s="14"/>
      <c r="G341" s="69">
        <f>(G338+G339)/G340</f>
        <v>8.6194681952731118E-4</v>
      </c>
      <c r="J341"/>
    </row>
    <row r="342" spans="2:10" x14ac:dyDescent="0.2">
      <c r="B342"/>
      <c r="C342" s="248" t="s">
        <v>2856</v>
      </c>
      <c r="D342" s="890"/>
      <c r="E342" s="890"/>
      <c r="F342" s="890"/>
      <c r="G342" s="890"/>
      <c r="H342" s="890"/>
      <c r="I342" s="890"/>
      <c r="J342" s="14"/>
    </row>
    <row r="343" spans="2:10" x14ac:dyDescent="0.2">
      <c r="B343"/>
      <c r="C343" s="248" t="s">
        <v>2751</v>
      </c>
      <c r="D343" s="890"/>
      <c r="E343" s="890"/>
      <c r="F343" s="890"/>
      <c r="G343" s="890"/>
      <c r="H343" s="890"/>
      <c r="I343" s="890"/>
      <c r="J343" s="14"/>
    </row>
    <row r="344" spans="2:10" x14ac:dyDescent="0.2">
      <c r="B344"/>
      <c r="C344" s="248" t="s">
        <v>2752</v>
      </c>
      <c r="D344" s="890"/>
      <c r="E344" s="890"/>
      <c r="F344" s="890"/>
      <c r="G344" s="890"/>
      <c r="H344" s="890"/>
      <c r="I344" s="890"/>
      <c r="J344" s="14"/>
    </row>
    <row r="345" spans="2:10" x14ac:dyDescent="0.2">
      <c r="B345"/>
      <c r="C345" s="248" t="s">
        <v>2857</v>
      </c>
      <c r="D345" s="890"/>
      <c r="E345" s="890"/>
      <c r="F345" s="890"/>
      <c r="G345" s="890"/>
      <c r="H345" s="890"/>
      <c r="I345" s="890"/>
      <c r="J345" s="14"/>
    </row>
    <row r="346" spans="2:10" x14ac:dyDescent="0.2">
      <c r="C346" s="628" t="s">
        <v>2858</v>
      </c>
      <c r="D346" s="1064"/>
      <c r="E346" s="1064"/>
      <c r="F346" s="1064"/>
      <c r="G346" s="1064"/>
      <c r="H346" s="1064"/>
      <c r="I346" s="1064"/>
      <c r="J346" s="890"/>
    </row>
    <row r="349" spans="2:10" ht="15.75" x14ac:dyDescent="0.25">
      <c r="C349" s="845"/>
    </row>
  </sheetData>
  <protectedRanges>
    <protectedRange password="F1C4" sqref="D20:E30 F25:F30 B7:C12 F20 E15:E19 D14:D15 D17:D18 B14:C30 B13" name="AAReport1_23_1_1_2"/>
    <protectedRange password="F1C4" sqref="D19" name="AAReport1_23_1_1_1_2"/>
    <protectedRange password="F1C4" sqref="J32:J35" name="AAReport1_23_1_1_2_1"/>
    <protectedRange password="F1C4" sqref="H32:I32 F32:F34 B45:E46 F45 B43 B47:D47 B58:E59 F58 D65 B32:E32 B31:D31 H34:I34 H33 H35 I49 I59 I39:I40 I35:I37 I43:I45 I52 I63:I64 I71 B34:E35 B33:D33 F38 F42 H42 F50 H50 F55:F56 F61 F65:F66 F69 H69" name="AAReport1_23_1_1_3"/>
    <protectedRange password="F1C4" sqref="F92 H92 F112 H112 F116 H116" name="AAReport1_23_1_1_3_1_1"/>
    <protectedRange password="F1C4" sqref="I94" name="AAReport1_23_1_1_1"/>
    <protectedRange password="F1C4" sqref="B89 I79:I90 I95:I111 I113:I115" name="AAReport1_23_1_1_4_1"/>
    <protectedRange password="F1C4" sqref="I166 I160:I161" name="AAReport1_23_1_1_2_1_1"/>
    <protectedRange password="F1C4" sqref="F197" name="AAReport1_23_1_1_3_2"/>
    <protectedRange password="F1C4" sqref="I192 I194:I196 I198 I200:I218 I226:I227 I230 I220:I223" name="AAReport1_23_1_1_1_3"/>
    <protectedRange password="F1C4" sqref="F270 H270" name="AAReport1_23_1_1_3_3"/>
    <protectedRange password="F1C4" sqref="I237:I244 I247:I250 I252:I262" name="AAReport1_23_1_1_5"/>
  </protectedRanges>
  <phoneticPr fontId="11" type="noConversion"/>
  <conditionalFormatting sqref="B291 D291 B231 D231">
    <cfRule type="expression" dxfId="20" priority="17" stopIfTrue="1">
      <formula>Formulas</formula>
    </cfRule>
  </conditionalFormatting>
  <conditionalFormatting sqref="C291 C231">
    <cfRule type="expression" dxfId="19" priority="15" stopIfTrue="1">
      <formula>#REF!&lt;&gt;""</formula>
    </cfRule>
  </conditionalFormatting>
  <conditionalFormatting sqref="C165">
    <cfRule type="expression" dxfId="18" priority="12" stopIfTrue="1">
      <formula>#REF!&lt;&gt;""</formula>
    </cfRule>
  </conditionalFormatting>
  <conditionalFormatting sqref="B217">
    <cfRule type="expression" dxfId="17" priority="10" stopIfTrue="1">
      <formula>Formulas</formula>
    </cfRule>
  </conditionalFormatting>
  <conditionalFormatting sqref="B191:B216 B218:B230 D191:D230">
    <cfRule type="expression" dxfId="16" priority="11" stopIfTrue="1">
      <formula>Formulas</formula>
    </cfRule>
  </conditionalFormatting>
  <conditionalFormatting sqref="C191:C216 C218:C230">
    <cfRule type="expression" dxfId="15" priority="9" stopIfTrue="1">
      <formula>#REF!&lt;&gt;""</formula>
    </cfRule>
  </conditionalFormatting>
  <conditionalFormatting sqref="C217">
    <cfRule type="expression" dxfId="14" priority="8" stopIfTrue="1">
      <formula>#REF!&lt;&gt;""</formula>
    </cfRule>
  </conditionalFormatting>
  <conditionalFormatting sqref="D237:D263 B237:B270">
    <cfRule type="expression" dxfId="13" priority="7" stopIfTrue="1">
      <formula>Formulas</formula>
    </cfRule>
  </conditionalFormatting>
  <conditionalFormatting sqref="C263">
    <cfRule type="expression" dxfId="12" priority="6" stopIfTrue="1">
      <formula>#REF!&lt;&gt;""</formula>
    </cfRule>
  </conditionalFormatting>
  <conditionalFormatting sqref="D264:D270">
    <cfRule type="expression" dxfId="11" priority="3" stopIfTrue="1">
      <formula>Formulas</formula>
    </cfRule>
  </conditionalFormatting>
  <conditionalFormatting sqref="C237:C262">
    <cfRule type="expression" dxfId="10" priority="5" stopIfTrue="1">
      <formula>#REF!&lt;&gt;""</formula>
    </cfRule>
  </conditionalFormatting>
  <conditionalFormatting sqref="C264:C270">
    <cfRule type="expression" dxfId="9" priority="4" stopIfTrue="1">
      <formula>#REF!&lt;&gt;""</formula>
    </cfRule>
  </conditionalFormatting>
  <conditionalFormatting sqref="D277:D290 B277:B290">
    <cfRule type="expression" dxfId="8" priority="2" stopIfTrue="1">
      <formula>Formulas</formula>
    </cfRule>
  </conditionalFormatting>
  <conditionalFormatting sqref="C277:C290">
    <cfRule type="expression" dxfId="7" priority="1" stopIfTrue="1">
      <formula>#REF!&lt;&gt;""</formula>
    </cfRule>
  </conditionalFormatting>
  <pageMargins left="0.75" right="0.75" top="1" bottom="1" header="0.5" footer="0.5"/>
  <pageSetup scale="60" orientation="landscape" cellComments="asDisplayed" r:id="rId1"/>
  <headerFooter alignWithMargins="0">
    <oddHeader>&amp;CSchedule 9
ADIT
&amp;"Arial,Bold"Exhibit G-2</oddHeader>
    <oddFooter>&amp;R&amp;A</oddFooter>
  </headerFooter>
  <rowBreaks count="6" manualBreakCount="6">
    <brk id="24" max="16383" man="1"/>
    <brk id="73" max="16383" man="1"/>
    <brk id="120" max="16383" man="1"/>
    <brk id="176" max="16383" man="1"/>
    <brk id="231" max="16383" man="1"/>
    <brk id="291" max="16383" man="1"/>
  </rowBreaks>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1"/>
  <sheetViews>
    <sheetView zoomScale="90" zoomScaleNormal="90" workbookViewId="0"/>
  </sheetViews>
  <sheetFormatPr defaultRowHeight="12.75" x14ac:dyDescent="0.2"/>
  <cols>
    <col min="1" max="1" width="4.7109375" customWidth="1"/>
    <col min="2" max="2" width="12.7109375" customWidth="1"/>
    <col min="3" max="3" width="8.7109375" customWidth="1"/>
    <col min="4" max="4" width="13.7109375" bestFit="1" customWidth="1"/>
    <col min="5" max="5" width="18.7109375" customWidth="1"/>
    <col min="6" max="6" width="16.140625" customWidth="1"/>
    <col min="7" max="7" width="13.42578125" customWidth="1"/>
    <col min="8" max="8" width="13.5703125" bestFit="1" customWidth="1"/>
    <col min="9" max="9" width="17.140625" customWidth="1"/>
    <col min="10" max="10" width="15.42578125" customWidth="1"/>
    <col min="11" max="11" width="17.28515625" customWidth="1"/>
    <col min="12" max="12" width="14.7109375" bestFit="1" customWidth="1"/>
    <col min="13" max="13" width="13.140625" bestFit="1" customWidth="1"/>
  </cols>
  <sheetData>
    <row r="1" spans="1:12" x14ac:dyDescent="0.2">
      <c r="A1" s="1" t="s">
        <v>605</v>
      </c>
      <c r="K1" s="1"/>
    </row>
    <row r="2" spans="1:12" x14ac:dyDescent="0.2">
      <c r="A2" s="1"/>
      <c r="K2" s="1"/>
    </row>
    <row r="3" spans="1:12" x14ac:dyDescent="0.2">
      <c r="A3" s="1"/>
      <c r="B3" s="626" t="s">
        <v>1054</v>
      </c>
      <c r="K3" s="1"/>
    </row>
    <row r="4" spans="1:12" x14ac:dyDescent="0.2">
      <c r="B4" s="626" t="s">
        <v>609</v>
      </c>
      <c r="K4" s="1"/>
      <c r="L4" s="626"/>
    </row>
    <row r="5" spans="1:12" x14ac:dyDescent="0.2">
      <c r="B5" s="626"/>
      <c r="K5" s="1"/>
    </row>
    <row r="6" spans="1:12" x14ac:dyDescent="0.2">
      <c r="A6" s="626"/>
      <c r="B6" s="1" t="s">
        <v>1493</v>
      </c>
      <c r="K6" s="1"/>
    </row>
    <row r="7" spans="1:12" x14ac:dyDescent="0.2">
      <c r="A7" s="626"/>
      <c r="B7" s="1"/>
      <c r="D7" s="86" t="s">
        <v>403</v>
      </c>
      <c r="E7" s="86" t="s">
        <v>387</v>
      </c>
      <c r="F7" s="86" t="s">
        <v>388</v>
      </c>
      <c r="G7" s="86" t="s">
        <v>389</v>
      </c>
      <c r="H7" s="86" t="s">
        <v>390</v>
      </c>
      <c r="I7" s="86" t="s">
        <v>391</v>
      </c>
      <c r="J7" s="376"/>
      <c r="K7" s="1"/>
      <c r="L7" s="86"/>
    </row>
    <row r="8" spans="1:12" x14ac:dyDescent="0.2">
      <c r="D8" s="627" t="s">
        <v>1090</v>
      </c>
      <c r="J8" s="14"/>
      <c r="K8" s="14"/>
    </row>
    <row r="9" spans="1:12" x14ac:dyDescent="0.2">
      <c r="D9" s="700" t="s">
        <v>613</v>
      </c>
      <c r="J9" s="14"/>
      <c r="K9" s="14"/>
    </row>
    <row r="10" spans="1:12" x14ac:dyDescent="0.2">
      <c r="B10" s="811"/>
      <c r="J10" s="14"/>
      <c r="K10" s="14"/>
    </row>
    <row r="11" spans="1:12" x14ac:dyDescent="0.2">
      <c r="B11" s="811"/>
      <c r="D11" s="811" t="s">
        <v>19</v>
      </c>
      <c r="F11" s="811" t="s">
        <v>383</v>
      </c>
      <c r="G11" s="811" t="s">
        <v>386</v>
      </c>
      <c r="H11" s="811"/>
      <c r="I11" s="811"/>
      <c r="J11" s="115"/>
      <c r="K11" s="626"/>
    </row>
    <row r="12" spans="1:12" x14ac:dyDescent="0.2">
      <c r="A12" s="53" t="s">
        <v>369</v>
      </c>
      <c r="B12" s="891" t="s">
        <v>220</v>
      </c>
      <c r="C12" s="891" t="s">
        <v>221</v>
      </c>
      <c r="D12" s="3" t="s">
        <v>607</v>
      </c>
      <c r="E12" s="3" t="s">
        <v>258</v>
      </c>
      <c r="F12" s="3" t="s">
        <v>384</v>
      </c>
      <c r="G12" s="3" t="s">
        <v>385</v>
      </c>
      <c r="H12" s="3" t="s">
        <v>610</v>
      </c>
      <c r="I12" s="3" t="s">
        <v>611</v>
      </c>
      <c r="J12" s="129"/>
      <c r="K12" s="626"/>
    </row>
    <row r="13" spans="1:12" x14ac:dyDescent="0.2">
      <c r="A13" s="811">
        <v>1</v>
      </c>
      <c r="B13" s="892" t="s">
        <v>208</v>
      </c>
      <c r="C13" s="893">
        <v>2010</v>
      </c>
      <c r="D13" s="7">
        <f>SUM(E13:I13)+SUM(D33:G33)</f>
        <v>614995912.086061</v>
      </c>
      <c r="E13" s="742">
        <v>558943044.73818398</v>
      </c>
      <c r="F13" s="111">
        <v>46143765.195197389</v>
      </c>
      <c r="G13" s="111">
        <v>9532329.573838979</v>
      </c>
      <c r="H13" s="111">
        <v>-143873.56427341345</v>
      </c>
      <c r="I13" s="111">
        <v>520646.14311405981</v>
      </c>
      <c r="J13" s="894"/>
    </row>
    <row r="14" spans="1:12" x14ac:dyDescent="0.2">
      <c r="A14" s="811">
        <f>A13+1</f>
        <v>2</v>
      </c>
      <c r="B14" s="892" t="s">
        <v>209</v>
      </c>
      <c r="C14" s="893">
        <v>2011</v>
      </c>
      <c r="D14" s="7">
        <f t="shared" ref="D14:D25" si="0">SUM(E14:I14)+SUM(D34:G34)</f>
        <v>643199950.30790687</v>
      </c>
      <c r="E14" s="742">
        <v>585367563.91116679</v>
      </c>
      <c r="F14" s="111">
        <v>47472972.03707958</v>
      </c>
      <c r="G14" s="111">
        <v>9766683.9766456876</v>
      </c>
      <c r="H14" s="111">
        <v>-50412.749896529203</v>
      </c>
      <c r="I14" s="111">
        <v>643143.13291127677</v>
      </c>
      <c r="J14" s="894"/>
    </row>
    <row r="15" spans="1:12" x14ac:dyDescent="0.2">
      <c r="A15" s="811">
        <f t="shared" ref="A15:A26" si="1">A14+1</f>
        <v>3</v>
      </c>
      <c r="B15" s="895" t="s">
        <v>210</v>
      </c>
      <c r="C15" s="893">
        <v>2011</v>
      </c>
      <c r="D15" s="7">
        <f t="shared" si="0"/>
        <v>690949205.61791718</v>
      </c>
      <c r="E15" s="742">
        <v>630397467.68332553</v>
      </c>
      <c r="F15" s="111">
        <v>49340184.799928531</v>
      </c>
      <c r="G15" s="111">
        <v>10409831.450677607</v>
      </c>
      <c r="H15" s="111">
        <v>-4754.7521693463041</v>
      </c>
      <c r="I15" s="111">
        <v>806476.43615488487</v>
      </c>
      <c r="J15" s="894"/>
    </row>
    <row r="16" spans="1:12" x14ac:dyDescent="0.2">
      <c r="A16" s="811">
        <f t="shared" si="1"/>
        <v>4</v>
      </c>
      <c r="B16" s="895" t="s">
        <v>223</v>
      </c>
      <c r="C16" s="893">
        <v>2011</v>
      </c>
      <c r="D16" s="7">
        <f t="shared" si="0"/>
        <v>750119212.92808723</v>
      </c>
      <c r="E16" s="742">
        <v>682761915.65658712</v>
      </c>
      <c r="F16" s="111">
        <v>52380328.971520707</v>
      </c>
      <c r="G16" s="111">
        <v>11169440.489837108</v>
      </c>
      <c r="H16" s="111">
        <v>77648.167198314201</v>
      </c>
      <c r="I16" s="111">
        <v>1197745.3554922757</v>
      </c>
      <c r="J16" s="894"/>
    </row>
    <row r="17" spans="1:11" x14ac:dyDescent="0.2">
      <c r="A17" s="811">
        <f t="shared" si="1"/>
        <v>5</v>
      </c>
      <c r="B17" s="892" t="s">
        <v>211</v>
      </c>
      <c r="C17" s="893">
        <v>2011</v>
      </c>
      <c r="D17" s="7">
        <f t="shared" si="0"/>
        <v>799393755.42018354</v>
      </c>
      <c r="E17" s="742">
        <v>727006419.68942559</v>
      </c>
      <c r="F17" s="111">
        <v>54124626.706614621</v>
      </c>
      <c r="G17" s="111">
        <v>12913843.704283714</v>
      </c>
      <c r="H17" s="111">
        <v>-186847.45439956849</v>
      </c>
      <c r="I17" s="111">
        <v>1635915.6208108983</v>
      </c>
      <c r="J17" s="894"/>
    </row>
    <row r="18" spans="1:11" x14ac:dyDescent="0.2">
      <c r="A18" s="811">
        <f t="shared" si="1"/>
        <v>6</v>
      </c>
      <c r="B18" s="895" t="s">
        <v>212</v>
      </c>
      <c r="C18" s="893">
        <v>2011</v>
      </c>
      <c r="D18" s="7">
        <f t="shared" si="0"/>
        <v>853883046.86532819</v>
      </c>
      <c r="E18" s="742">
        <v>776547285.16519976</v>
      </c>
      <c r="F18" s="111">
        <v>56948569.763000548</v>
      </c>
      <c r="G18" s="111">
        <v>13628197.696638534</v>
      </c>
      <c r="H18" s="111">
        <v>-166922.71451135818</v>
      </c>
      <c r="I18" s="111">
        <v>2543101.3626575447</v>
      </c>
      <c r="J18" s="894"/>
    </row>
    <row r="19" spans="1:11" x14ac:dyDescent="0.2">
      <c r="A19" s="811">
        <f t="shared" si="1"/>
        <v>7</v>
      </c>
      <c r="B19" s="895" t="s">
        <v>213</v>
      </c>
      <c r="C19" s="893">
        <v>2011</v>
      </c>
      <c r="D19" s="7">
        <f t="shared" si="0"/>
        <v>877307159.35909951</v>
      </c>
      <c r="E19" s="742">
        <v>791891827.50600958</v>
      </c>
      <c r="F19" s="111">
        <v>62493329.895541288</v>
      </c>
      <c r="G19" s="111">
        <v>14641606.440592131</v>
      </c>
      <c r="H19" s="111">
        <v>118849.37457234735</v>
      </c>
      <c r="I19" s="111">
        <v>3144669.580818498</v>
      </c>
      <c r="J19" s="894"/>
    </row>
    <row r="20" spans="1:11" x14ac:dyDescent="0.2">
      <c r="A20" s="811">
        <f t="shared" si="1"/>
        <v>8</v>
      </c>
      <c r="B20" s="892" t="s">
        <v>214</v>
      </c>
      <c r="C20" s="893">
        <v>2011</v>
      </c>
      <c r="D20" s="7">
        <f t="shared" si="0"/>
        <v>920268069.86960542</v>
      </c>
      <c r="E20" s="742">
        <v>827413765.93332338</v>
      </c>
      <c r="F20" s="111">
        <v>66974514.93619407</v>
      </c>
      <c r="G20" s="111">
        <v>15658431.607991114</v>
      </c>
      <c r="H20" s="111">
        <v>18445.098876789227</v>
      </c>
      <c r="I20" s="111">
        <v>4713458.5114487913</v>
      </c>
      <c r="J20" s="894"/>
    </row>
    <row r="21" spans="1:11" x14ac:dyDescent="0.2">
      <c r="A21" s="811">
        <f t="shared" si="1"/>
        <v>9</v>
      </c>
      <c r="B21" s="895" t="s">
        <v>215</v>
      </c>
      <c r="C21" s="893">
        <v>2011</v>
      </c>
      <c r="D21" s="7">
        <f t="shared" si="0"/>
        <v>964107865.10851383</v>
      </c>
      <c r="E21" s="742">
        <v>861355314.6477108</v>
      </c>
      <c r="F21" s="111">
        <v>73613130.682783782</v>
      </c>
      <c r="G21" s="111">
        <v>17199068.398929138</v>
      </c>
      <c r="H21" s="111">
        <v>60164.14888496093</v>
      </c>
      <c r="I21" s="111">
        <v>5636264.1663120557</v>
      </c>
      <c r="J21" s="894"/>
    </row>
    <row r="22" spans="1:11" x14ac:dyDescent="0.2">
      <c r="A22" s="811">
        <f t="shared" si="1"/>
        <v>10</v>
      </c>
      <c r="B22" s="895" t="s">
        <v>216</v>
      </c>
      <c r="C22" s="893">
        <v>2011</v>
      </c>
      <c r="D22" s="7">
        <f t="shared" si="0"/>
        <v>1031449263.0801479</v>
      </c>
      <c r="E22" s="742">
        <v>912787886.24413764</v>
      </c>
      <c r="F22" s="111">
        <v>86555253.706718147</v>
      </c>
      <c r="G22" s="111">
        <v>18686379.689363196</v>
      </c>
      <c r="H22" s="111">
        <v>-199811.67692950211</v>
      </c>
      <c r="I22" s="111">
        <v>6292318.2781457398</v>
      </c>
      <c r="J22" s="894"/>
    </row>
    <row r="23" spans="1:11" x14ac:dyDescent="0.2">
      <c r="A23" s="811">
        <f t="shared" si="1"/>
        <v>11</v>
      </c>
      <c r="B23" s="892" t="s">
        <v>217</v>
      </c>
      <c r="C23" s="893">
        <v>2011</v>
      </c>
      <c r="D23" s="7">
        <f t="shared" si="0"/>
        <v>1098153935.3353102</v>
      </c>
      <c r="E23" s="742">
        <v>951944102.98588276</v>
      </c>
      <c r="F23" s="111">
        <v>102306727.20082127</v>
      </c>
      <c r="G23" s="111">
        <v>24053354.090783481</v>
      </c>
      <c r="H23" s="111">
        <v>-187001.43838779535</v>
      </c>
      <c r="I23" s="111">
        <v>7820458.5060275402</v>
      </c>
      <c r="J23" s="894"/>
    </row>
    <row r="24" spans="1:11" x14ac:dyDescent="0.2">
      <c r="A24" s="811">
        <f t="shared" si="1"/>
        <v>12</v>
      </c>
      <c r="B24" s="892" t="s">
        <v>218</v>
      </c>
      <c r="C24" s="893">
        <v>2011</v>
      </c>
      <c r="D24" s="7">
        <f t="shared" si="0"/>
        <v>1177544894.1586545</v>
      </c>
      <c r="E24" s="742">
        <v>1004195644.9476329</v>
      </c>
      <c r="F24" s="111">
        <v>125869186.19784772</v>
      </c>
      <c r="G24" s="111">
        <v>21195395.981781188</v>
      </c>
      <c r="H24" s="111">
        <v>-107602.54725506996</v>
      </c>
      <c r="I24" s="111">
        <v>9090812.5282974616</v>
      </c>
      <c r="J24" s="894"/>
    </row>
    <row r="25" spans="1:11" x14ac:dyDescent="0.2">
      <c r="A25" s="811">
        <f t="shared" si="1"/>
        <v>13</v>
      </c>
      <c r="B25" s="892" t="s">
        <v>208</v>
      </c>
      <c r="C25" s="893">
        <v>2011</v>
      </c>
      <c r="D25" s="93">
        <f t="shared" si="0"/>
        <v>1277500411.2933507</v>
      </c>
      <c r="E25" s="475">
        <v>1059868753.2391434</v>
      </c>
      <c r="F25" s="121">
        <v>151361046.07106277</v>
      </c>
      <c r="G25" s="121">
        <v>30843632.021137841</v>
      </c>
      <c r="H25" s="121">
        <v>-73287.943056206728</v>
      </c>
      <c r="I25" s="121">
        <v>14678203.401025498</v>
      </c>
      <c r="J25" s="894"/>
    </row>
    <row r="26" spans="1:11" x14ac:dyDescent="0.2">
      <c r="A26" s="811">
        <f t="shared" si="1"/>
        <v>14</v>
      </c>
      <c r="B26" s="892"/>
      <c r="C26" s="896" t="s">
        <v>608</v>
      </c>
      <c r="D26" s="740">
        <f t="shared" ref="D26:I26" si="2">SUM(D13:D25)/13</f>
        <v>899913283.1869359</v>
      </c>
      <c r="E26" s="740">
        <f>SUM(E13:E25)/13</f>
        <v>797729307.10367155</v>
      </c>
      <c r="F26" s="740">
        <f t="shared" si="2"/>
        <v>75044895.089562342</v>
      </c>
      <c r="G26" s="740">
        <f t="shared" si="2"/>
        <v>16130630.394038439</v>
      </c>
      <c r="H26" s="740">
        <f t="shared" si="2"/>
        <v>-65031.388565105997</v>
      </c>
      <c r="I26" s="740">
        <f t="shared" si="2"/>
        <v>4517170.2325551175</v>
      </c>
      <c r="J26" s="894"/>
      <c r="K26" s="894"/>
    </row>
    <row r="27" spans="1:11" x14ac:dyDescent="0.2">
      <c r="A27" s="811"/>
      <c r="B27" s="892"/>
      <c r="C27" s="896"/>
      <c r="D27" s="740"/>
      <c r="E27" s="740"/>
      <c r="F27" s="740"/>
      <c r="G27" s="740"/>
      <c r="H27" s="740"/>
      <c r="I27" s="894"/>
      <c r="J27" s="630"/>
      <c r="K27" s="894"/>
    </row>
    <row r="28" spans="1:11" x14ac:dyDescent="0.2">
      <c r="A28" s="811"/>
      <c r="B28" s="892"/>
      <c r="C28" s="896"/>
      <c r="D28" s="86" t="s">
        <v>392</v>
      </c>
      <c r="E28" s="86" t="s">
        <v>606</v>
      </c>
      <c r="F28" s="86" t="s">
        <v>1055</v>
      </c>
      <c r="G28" s="86" t="s">
        <v>1072</v>
      </c>
      <c r="H28" s="86" t="s">
        <v>1075</v>
      </c>
      <c r="I28" s="86" t="s">
        <v>1093</v>
      </c>
      <c r="J28" s="630"/>
      <c r="K28" s="894"/>
    </row>
    <row r="29" spans="1:11" x14ac:dyDescent="0.2">
      <c r="A29" s="811"/>
      <c r="B29" s="892"/>
      <c r="C29" s="896"/>
      <c r="E29" s="377" t="s">
        <v>1094</v>
      </c>
      <c r="F29" s="377"/>
      <c r="G29" s="377"/>
      <c r="H29" s="740"/>
      <c r="I29" s="894"/>
      <c r="J29" s="630"/>
      <c r="K29" s="894"/>
    </row>
    <row r="30" spans="1:11" x14ac:dyDescent="0.2">
      <c r="B30" s="811"/>
      <c r="D30" s="811" t="s">
        <v>1091</v>
      </c>
      <c r="E30" s="811" t="s">
        <v>1095</v>
      </c>
      <c r="F30" s="377"/>
      <c r="G30" s="377"/>
      <c r="H30" s="740"/>
      <c r="I30" s="894"/>
      <c r="J30" s="630"/>
      <c r="K30" s="894"/>
    </row>
    <row r="31" spans="1:11" x14ac:dyDescent="0.2">
      <c r="B31" s="811"/>
      <c r="D31" s="811" t="s">
        <v>482</v>
      </c>
      <c r="E31" s="811" t="s">
        <v>482</v>
      </c>
      <c r="F31" s="377" t="s">
        <v>1097</v>
      </c>
      <c r="G31" s="377" t="s">
        <v>1098</v>
      </c>
      <c r="H31" s="740"/>
      <c r="I31" s="894"/>
      <c r="J31" s="894"/>
      <c r="K31" s="894"/>
    </row>
    <row r="32" spans="1:11" x14ac:dyDescent="0.2">
      <c r="A32" s="53" t="s">
        <v>369</v>
      </c>
      <c r="B32" s="891" t="s">
        <v>220</v>
      </c>
      <c r="C32" s="891" t="s">
        <v>221</v>
      </c>
      <c r="D32" s="3" t="s">
        <v>1092</v>
      </c>
      <c r="E32" s="3" t="s">
        <v>1092</v>
      </c>
      <c r="F32" s="378" t="s">
        <v>1096</v>
      </c>
      <c r="G32" s="378" t="s">
        <v>1099</v>
      </c>
      <c r="H32" s="379"/>
      <c r="I32" s="379"/>
      <c r="J32" s="894"/>
      <c r="K32" s="894"/>
    </row>
    <row r="33" spans="1:11" x14ac:dyDescent="0.2">
      <c r="A33" s="811">
        <f>+A26+1</f>
        <v>15</v>
      </c>
      <c r="B33" s="892" t="s">
        <v>208</v>
      </c>
      <c r="C33" s="893">
        <v>2010</v>
      </c>
      <c r="D33" s="111">
        <v>0</v>
      </c>
      <c r="E33" s="111">
        <v>0</v>
      </c>
      <c r="F33" s="111">
        <v>0</v>
      </c>
      <c r="G33" s="111">
        <v>0</v>
      </c>
      <c r="H33" s="897" t="s">
        <v>86</v>
      </c>
      <c r="I33" s="897" t="s">
        <v>86</v>
      </c>
      <c r="J33" s="894"/>
      <c r="K33" s="894"/>
    </row>
    <row r="34" spans="1:11" x14ac:dyDescent="0.2">
      <c r="A34" s="811">
        <f>A33+1</f>
        <v>16</v>
      </c>
      <c r="B34" s="892" t="s">
        <v>209</v>
      </c>
      <c r="C34" s="893">
        <v>2011</v>
      </c>
      <c r="D34" s="111">
        <v>0</v>
      </c>
      <c r="E34" s="111">
        <v>0</v>
      </c>
      <c r="F34" s="111">
        <v>0</v>
      </c>
      <c r="G34" s="111">
        <v>0</v>
      </c>
      <c r="H34" s="897" t="s">
        <v>86</v>
      </c>
      <c r="I34" s="897" t="s">
        <v>86</v>
      </c>
      <c r="J34" s="894"/>
      <c r="K34" s="894"/>
    </row>
    <row r="35" spans="1:11" x14ac:dyDescent="0.2">
      <c r="A35" s="811">
        <f t="shared" ref="A35:A46" si="3">A34+1</f>
        <v>17</v>
      </c>
      <c r="B35" s="895" t="s">
        <v>210</v>
      </c>
      <c r="C35" s="893">
        <v>2011</v>
      </c>
      <c r="D35" s="111">
        <v>0</v>
      </c>
      <c r="E35" s="111">
        <v>0</v>
      </c>
      <c r="F35" s="111">
        <v>0</v>
      </c>
      <c r="G35" s="111">
        <v>0</v>
      </c>
      <c r="H35" s="897" t="s">
        <v>86</v>
      </c>
      <c r="I35" s="897" t="s">
        <v>86</v>
      </c>
      <c r="J35" s="894"/>
      <c r="K35" s="894"/>
    </row>
    <row r="36" spans="1:11" x14ac:dyDescent="0.2">
      <c r="A36" s="811">
        <f t="shared" si="3"/>
        <v>18</v>
      </c>
      <c r="B36" s="895" t="s">
        <v>223</v>
      </c>
      <c r="C36" s="893">
        <v>2011</v>
      </c>
      <c r="D36" s="111">
        <v>26164.134442093338</v>
      </c>
      <c r="E36" s="111">
        <v>307047.64461338252</v>
      </c>
      <c r="F36" s="111">
        <v>266770.69</v>
      </c>
      <c r="G36" s="111">
        <v>1932151.818396376</v>
      </c>
      <c r="H36" s="897" t="s">
        <v>86</v>
      </c>
      <c r="I36" s="897" t="s">
        <v>86</v>
      </c>
      <c r="J36" s="894"/>
      <c r="K36" s="894"/>
    </row>
    <row r="37" spans="1:11" x14ac:dyDescent="0.2">
      <c r="A37" s="811">
        <f t="shared" si="3"/>
        <v>19</v>
      </c>
      <c r="B37" s="892" t="s">
        <v>211</v>
      </c>
      <c r="C37" s="893">
        <v>2011</v>
      </c>
      <c r="D37" s="111">
        <v>40848.018733648838</v>
      </c>
      <c r="E37" s="111">
        <v>1478650.0211544724</v>
      </c>
      <c r="F37" s="111">
        <v>348485.26</v>
      </c>
      <c r="G37" s="111">
        <v>2031813.8535601965</v>
      </c>
      <c r="H37" s="897" t="s">
        <v>86</v>
      </c>
      <c r="I37" s="897" t="s">
        <v>86</v>
      </c>
      <c r="J37" s="894"/>
      <c r="K37" s="894"/>
    </row>
    <row r="38" spans="1:11" x14ac:dyDescent="0.2">
      <c r="A38" s="811">
        <f t="shared" si="3"/>
        <v>20</v>
      </c>
      <c r="B38" s="895" t="s">
        <v>212</v>
      </c>
      <c r="C38" s="893">
        <v>2011</v>
      </c>
      <c r="D38" s="111">
        <v>119803.74370766809</v>
      </c>
      <c r="E38" s="111">
        <v>1680636.6717371647</v>
      </c>
      <c r="F38" s="111">
        <v>443062.07</v>
      </c>
      <c r="G38" s="111">
        <v>2139313.1068983413</v>
      </c>
      <c r="H38" s="897" t="s">
        <v>86</v>
      </c>
      <c r="I38" s="897" t="s">
        <v>86</v>
      </c>
      <c r="J38" s="894"/>
      <c r="K38" s="894"/>
    </row>
    <row r="39" spans="1:11" x14ac:dyDescent="0.2">
      <c r="A39" s="811">
        <f t="shared" si="3"/>
        <v>21</v>
      </c>
      <c r="B39" s="895" t="s">
        <v>213</v>
      </c>
      <c r="C39" s="893">
        <v>2011</v>
      </c>
      <c r="D39" s="111">
        <v>217914.34024786146</v>
      </c>
      <c r="E39" s="111">
        <v>1924100.5419207793</v>
      </c>
      <c r="F39" s="111">
        <v>580562.37</v>
      </c>
      <c r="G39" s="111">
        <v>2294299.3093968919</v>
      </c>
      <c r="H39" s="897" t="s">
        <v>86</v>
      </c>
      <c r="I39" s="897" t="s">
        <v>86</v>
      </c>
      <c r="J39" s="894"/>
      <c r="K39" s="894"/>
    </row>
    <row r="40" spans="1:11" x14ac:dyDescent="0.2">
      <c r="A40" s="811">
        <f t="shared" si="3"/>
        <v>22</v>
      </c>
      <c r="B40" s="892" t="s">
        <v>214</v>
      </c>
      <c r="C40" s="893">
        <v>2011</v>
      </c>
      <c r="D40" s="111">
        <v>236258.1430599069</v>
      </c>
      <c r="E40" s="111">
        <v>2012634.1199236633</v>
      </c>
      <c r="F40" s="111">
        <v>717959.77</v>
      </c>
      <c r="G40" s="111">
        <v>2522601.7487877272</v>
      </c>
      <c r="H40" s="897" t="s">
        <v>86</v>
      </c>
      <c r="I40" s="897" t="s">
        <v>86</v>
      </c>
      <c r="J40" s="894"/>
      <c r="K40" s="894"/>
    </row>
    <row r="41" spans="1:11" x14ac:dyDescent="0.2">
      <c r="A41" s="811">
        <f t="shared" si="3"/>
        <v>23</v>
      </c>
      <c r="B41" s="895" t="s">
        <v>215</v>
      </c>
      <c r="C41" s="893">
        <v>2011</v>
      </c>
      <c r="D41" s="111">
        <v>371264.34098214796</v>
      </c>
      <c r="E41" s="111">
        <v>2084280.1088184938</v>
      </c>
      <c r="F41" s="111">
        <v>953822.84000000008</v>
      </c>
      <c r="G41" s="111">
        <v>2834555.7740922836</v>
      </c>
      <c r="H41" s="897" t="s">
        <v>86</v>
      </c>
      <c r="I41" s="897" t="s">
        <v>86</v>
      </c>
      <c r="J41" s="894"/>
      <c r="K41" s="894"/>
    </row>
    <row r="42" spans="1:11" x14ac:dyDescent="0.2">
      <c r="A42" s="811">
        <f t="shared" si="3"/>
        <v>24</v>
      </c>
      <c r="B42" s="895" t="s">
        <v>216</v>
      </c>
      <c r="C42" s="893">
        <v>2011</v>
      </c>
      <c r="D42" s="111">
        <v>629591.62861713313</v>
      </c>
      <c r="E42" s="111">
        <v>2243372.8776484164</v>
      </c>
      <c r="F42" s="111">
        <v>1247347.74</v>
      </c>
      <c r="G42" s="111">
        <v>3206924.5924470746</v>
      </c>
      <c r="H42" s="897" t="s">
        <v>86</v>
      </c>
      <c r="I42" s="897" t="s">
        <v>86</v>
      </c>
      <c r="J42" s="894"/>
      <c r="K42" s="894"/>
    </row>
    <row r="43" spans="1:11" x14ac:dyDescent="0.2">
      <c r="A43" s="811">
        <f t="shared" si="3"/>
        <v>25</v>
      </c>
      <c r="B43" s="892" t="s">
        <v>217</v>
      </c>
      <c r="C43" s="893">
        <v>2011</v>
      </c>
      <c r="D43" s="111">
        <v>1602950.4766332607</v>
      </c>
      <c r="E43" s="111">
        <v>5527352.7105469741</v>
      </c>
      <c r="F43" s="111">
        <v>1533960.72</v>
      </c>
      <c r="G43" s="111">
        <v>3552030.0830029016</v>
      </c>
      <c r="H43" s="897" t="s">
        <v>86</v>
      </c>
      <c r="I43" s="897" t="s">
        <v>86</v>
      </c>
      <c r="J43" s="894"/>
      <c r="K43" s="894"/>
    </row>
    <row r="44" spans="1:11" x14ac:dyDescent="0.2">
      <c r="A44" s="811">
        <f t="shared" si="3"/>
        <v>26</v>
      </c>
      <c r="B44" s="892" t="s">
        <v>218</v>
      </c>
      <c r="C44" s="893">
        <v>2011</v>
      </c>
      <c r="D44" s="111">
        <v>2617402.7423561062</v>
      </c>
      <c r="E44" s="111">
        <v>8950716.492037395</v>
      </c>
      <c r="F44" s="111">
        <v>1798197.72</v>
      </c>
      <c r="G44" s="111">
        <v>3935140.0959566762</v>
      </c>
      <c r="H44" s="897" t="s">
        <v>86</v>
      </c>
      <c r="I44" s="897" t="s">
        <v>86</v>
      </c>
      <c r="J44" s="894"/>
      <c r="K44" s="894"/>
    </row>
    <row r="45" spans="1:11" x14ac:dyDescent="0.2">
      <c r="A45" s="811">
        <f t="shared" si="3"/>
        <v>27</v>
      </c>
      <c r="B45" s="892" t="s">
        <v>208</v>
      </c>
      <c r="C45" s="893">
        <v>2011</v>
      </c>
      <c r="D45" s="121">
        <v>2893212.161289352</v>
      </c>
      <c r="E45" s="121">
        <v>10959973.88545125</v>
      </c>
      <c r="F45" s="121">
        <v>2144420.4</v>
      </c>
      <c r="G45" s="121">
        <v>4824458.0572965704</v>
      </c>
      <c r="H45" s="897" t="s">
        <v>86</v>
      </c>
      <c r="I45" s="897" t="s">
        <v>86</v>
      </c>
      <c r="J45" s="894"/>
      <c r="K45" s="894"/>
    </row>
    <row r="46" spans="1:11" x14ac:dyDescent="0.2">
      <c r="A46" s="811">
        <f t="shared" si="3"/>
        <v>28</v>
      </c>
      <c r="B46" s="892"/>
      <c r="C46" s="896" t="s">
        <v>608</v>
      </c>
      <c r="D46" s="740">
        <f>SUM(D33:D45)/13</f>
        <v>673493.05615916767</v>
      </c>
      <c r="E46" s="740">
        <f>SUM(E33:E45)/13</f>
        <v>2859135.7749116919</v>
      </c>
      <c r="F46" s="740">
        <f>SUM(F33:F45)/13</f>
        <v>771891.50615384616</v>
      </c>
      <c r="G46" s="740">
        <f>SUM(G33:G45)/13</f>
        <v>2251791.4184488496</v>
      </c>
      <c r="H46" s="898" t="s">
        <v>86</v>
      </c>
      <c r="I46" s="898" t="s">
        <v>86</v>
      </c>
      <c r="J46" s="894"/>
      <c r="K46" s="894"/>
    </row>
    <row r="48" spans="1:11" x14ac:dyDescent="0.2">
      <c r="B48" s="899" t="s">
        <v>2595</v>
      </c>
    </row>
    <row r="49" spans="1:11" x14ac:dyDescent="0.2">
      <c r="B49" s="899"/>
      <c r="D49" s="927" t="s">
        <v>403</v>
      </c>
      <c r="E49" s="927" t="s">
        <v>387</v>
      </c>
      <c r="F49" s="927" t="s">
        <v>388</v>
      </c>
      <c r="G49" s="927" t="s">
        <v>389</v>
      </c>
      <c r="H49" s="927" t="s">
        <v>390</v>
      </c>
      <c r="I49" s="927" t="s">
        <v>391</v>
      </c>
      <c r="J49" s="927" t="s">
        <v>392</v>
      </c>
      <c r="K49" s="927" t="s">
        <v>606</v>
      </c>
    </row>
    <row r="50" spans="1:11" s="928" customFormat="1" x14ac:dyDescent="0.2">
      <c r="D50" s="627" t="s">
        <v>244</v>
      </c>
      <c r="E50" s="627" t="s">
        <v>244</v>
      </c>
      <c r="F50" s="627" t="s">
        <v>244</v>
      </c>
      <c r="G50" s="627" t="s">
        <v>244</v>
      </c>
      <c r="H50" s="627" t="s">
        <v>244</v>
      </c>
      <c r="I50" s="627" t="s">
        <v>244</v>
      </c>
      <c r="J50" s="627" t="s">
        <v>244</v>
      </c>
      <c r="K50" s="627" t="s">
        <v>244</v>
      </c>
    </row>
    <row r="51" spans="1:11" x14ac:dyDescent="0.2">
      <c r="G51" s="811" t="s">
        <v>2596</v>
      </c>
      <c r="K51" s="929"/>
    </row>
    <row r="52" spans="1:11" x14ac:dyDescent="0.2">
      <c r="A52" s="929"/>
      <c r="B52" s="929"/>
      <c r="C52" s="929"/>
      <c r="D52" s="929" t="s">
        <v>226</v>
      </c>
      <c r="E52" s="929" t="s">
        <v>2579</v>
      </c>
      <c r="F52" s="929" t="s">
        <v>2597</v>
      </c>
      <c r="G52" s="929" t="s">
        <v>224</v>
      </c>
      <c r="H52" s="929" t="s">
        <v>2598</v>
      </c>
      <c r="I52" s="930" t="s">
        <v>2599</v>
      </c>
      <c r="J52" s="929" t="s">
        <v>226</v>
      </c>
      <c r="K52" s="929" t="s">
        <v>18</v>
      </c>
    </row>
    <row r="53" spans="1:11" x14ac:dyDescent="0.2">
      <c r="A53" s="53" t="s">
        <v>369</v>
      </c>
      <c r="B53" s="891" t="s">
        <v>220</v>
      </c>
      <c r="C53" s="891" t="s">
        <v>221</v>
      </c>
      <c r="D53" s="927" t="s">
        <v>2600</v>
      </c>
      <c r="E53" s="927" t="s">
        <v>2580</v>
      </c>
      <c r="F53" s="927" t="s">
        <v>2601</v>
      </c>
      <c r="G53" s="927" t="s">
        <v>2602</v>
      </c>
      <c r="H53" s="927" t="s">
        <v>2603</v>
      </c>
      <c r="I53" s="927" t="s">
        <v>2604</v>
      </c>
      <c r="J53" s="927" t="s">
        <v>2605</v>
      </c>
      <c r="K53" s="3" t="s">
        <v>2606</v>
      </c>
    </row>
    <row r="54" spans="1:11" x14ac:dyDescent="0.2">
      <c r="A54" s="811">
        <f>A46+1</f>
        <v>29</v>
      </c>
      <c r="B54" s="892" t="s">
        <v>208</v>
      </c>
      <c r="C54" s="893">
        <v>2012</v>
      </c>
      <c r="D54" s="936" t="s">
        <v>86</v>
      </c>
      <c r="E54" s="936" t="s">
        <v>86</v>
      </c>
      <c r="F54" s="936" t="s">
        <v>86</v>
      </c>
      <c r="G54" s="936" t="s">
        <v>86</v>
      </c>
      <c r="H54" s="936" t="s">
        <v>86</v>
      </c>
      <c r="I54" s="936" t="s">
        <v>86</v>
      </c>
      <c r="J54" s="7">
        <f>D25</f>
        <v>1277500411.2933507</v>
      </c>
      <c r="K54" s="936" t="s">
        <v>86</v>
      </c>
    </row>
    <row r="55" spans="1:11" x14ac:dyDescent="0.2">
      <c r="A55" s="811">
        <f>A54+1</f>
        <v>30</v>
      </c>
      <c r="B55" s="892" t="s">
        <v>209</v>
      </c>
      <c r="C55" s="893">
        <f>C54+1</f>
        <v>2013</v>
      </c>
      <c r="D55" s="7">
        <f t="shared" ref="D55:K70" si="4">D86+D114+D142+D172+D200+D228+D258+D286+D314+D344</f>
        <v>37178906.489999995</v>
      </c>
      <c r="E55" s="7">
        <f t="shared" si="4"/>
        <v>2788417.9867500002</v>
      </c>
      <c r="F55" s="7">
        <f t="shared" si="4"/>
        <v>39967324.476749994</v>
      </c>
      <c r="G55" s="7">
        <f t="shared" si="4"/>
        <v>-212294</v>
      </c>
      <c r="H55" s="7">
        <f t="shared" si="4"/>
        <v>-212294</v>
      </c>
      <c r="I55" s="7">
        <f t="shared" si="4"/>
        <v>0</v>
      </c>
      <c r="J55" s="7">
        <f t="shared" si="4"/>
        <v>1317680029.7701008</v>
      </c>
      <c r="K55" s="7">
        <f t="shared" si="4"/>
        <v>40179618.476750039</v>
      </c>
    </row>
    <row r="56" spans="1:11" x14ac:dyDescent="0.2">
      <c r="A56" s="811">
        <f t="shared" ref="A56:A75" si="5">A55+1</f>
        <v>31</v>
      </c>
      <c r="B56" s="895" t="s">
        <v>210</v>
      </c>
      <c r="C56" s="893">
        <f>C55</f>
        <v>2013</v>
      </c>
      <c r="D56" s="7">
        <f t="shared" si="4"/>
        <v>65200473.599999987</v>
      </c>
      <c r="E56" s="7">
        <f t="shared" si="4"/>
        <v>4890035.5200000005</v>
      </c>
      <c r="F56" s="7">
        <f t="shared" si="4"/>
        <v>70090509.11999999</v>
      </c>
      <c r="G56" s="7">
        <f t="shared" si="4"/>
        <v>151780257.04958385</v>
      </c>
      <c r="H56" s="7">
        <f t="shared" si="4"/>
        <v>147668210.1895839</v>
      </c>
      <c r="I56" s="7">
        <f t="shared" si="4"/>
        <v>308403.51449999661</v>
      </c>
      <c r="J56" s="7">
        <f t="shared" si="4"/>
        <v>1235681878.3260169</v>
      </c>
      <c r="K56" s="7">
        <f t="shared" si="4"/>
        <v>-5878537.403934041</v>
      </c>
    </row>
    <row r="57" spans="1:11" x14ac:dyDescent="0.2">
      <c r="A57" s="811">
        <f t="shared" si="5"/>
        <v>32</v>
      </c>
      <c r="B57" s="895" t="s">
        <v>223</v>
      </c>
      <c r="C57" s="893">
        <f t="shared" ref="C57:C66" si="6">C56</f>
        <v>2013</v>
      </c>
      <c r="D57" s="7">
        <f t="shared" si="4"/>
        <v>77333491.34300001</v>
      </c>
      <c r="E57" s="7">
        <f t="shared" si="4"/>
        <v>5800011.8507250017</v>
      </c>
      <c r="F57" s="7">
        <f t="shared" si="4"/>
        <v>83133503.193725005</v>
      </c>
      <c r="G57" s="7">
        <f t="shared" si="4"/>
        <v>1157049.9799999997</v>
      </c>
      <c r="H57" s="7">
        <f t="shared" si="4"/>
        <v>664200.40999999992</v>
      </c>
      <c r="I57" s="7">
        <f t="shared" si="4"/>
        <v>36963.717749999989</v>
      </c>
      <c r="J57" s="7">
        <f t="shared" si="4"/>
        <v>1317621367.8219917</v>
      </c>
      <c r="K57" s="7">
        <f t="shared" si="4"/>
        <v>40120956.52864109</v>
      </c>
    </row>
    <row r="58" spans="1:11" x14ac:dyDescent="0.2">
      <c r="A58" s="811">
        <f t="shared" si="5"/>
        <v>33</v>
      </c>
      <c r="B58" s="892" t="s">
        <v>211</v>
      </c>
      <c r="C58" s="893">
        <f t="shared" si="6"/>
        <v>2013</v>
      </c>
      <c r="D58" s="7">
        <f t="shared" si="4"/>
        <v>62792534.364609428</v>
      </c>
      <c r="E58" s="7">
        <f t="shared" si="4"/>
        <v>4709440.0773457075</v>
      </c>
      <c r="F58" s="7">
        <f t="shared" si="4"/>
        <v>67501974.441955149</v>
      </c>
      <c r="G58" s="7">
        <f t="shared" si="4"/>
        <v>116908713.23415448</v>
      </c>
      <c r="H58" s="7">
        <f t="shared" si="4"/>
        <v>102746484.21665448</v>
      </c>
      <c r="I58" s="7">
        <f t="shared" si="4"/>
        <v>1062167.1763124999</v>
      </c>
      <c r="J58" s="7">
        <f t="shared" si="4"/>
        <v>1267152461.8534801</v>
      </c>
      <c r="K58" s="7">
        <f t="shared" si="4"/>
        <v>-10347949.439870676</v>
      </c>
    </row>
    <row r="59" spans="1:11" x14ac:dyDescent="0.2">
      <c r="A59" s="811">
        <f t="shared" si="5"/>
        <v>34</v>
      </c>
      <c r="B59" s="895" t="s">
        <v>212</v>
      </c>
      <c r="C59" s="893">
        <f t="shared" si="6"/>
        <v>2013</v>
      </c>
      <c r="D59" s="7">
        <f t="shared" si="4"/>
        <v>106920841.57076563</v>
      </c>
      <c r="E59" s="7">
        <f t="shared" si="4"/>
        <v>8019063.1178074218</v>
      </c>
      <c r="F59" s="7">
        <f t="shared" si="4"/>
        <v>114939904.68857306</v>
      </c>
      <c r="G59" s="7">
        <f t="shared" si="4"/>
        <v>198673814.46350354</v>
      </c>
      <c r="H59" s="7">
        <f t="shared" si="4"/>
        <v>182030802.59410354</v>
      </c>
      <c r="I59" s="7">
        <f t="shared" si="4"/>
        <v>1248225.8902049996</v>
      </c>
      <c r="J59" s="7">
        <f t="shared" si="4"/>
        <v>1182170326.1883445</v>
      </c>
      <c r="K59" s="7">
        <f t="shared" si="4"/>
        <v>-95330085.105006114</v>
      </c>
    </row>
    <row r="60" spans="1:11" x14ac:dyDescent="0.2">
      <c r="A60" s="811">
        <f t="shared" si="5"/>
        <v>35</v>
      </c>
      <c r="B60" s="895" t="s">
        <v>1877</v>
      </c>
      <c r="C60" s="893">
        <f t="shared" si="6"/>
        <v>2013</v>
      </c>
      <c r="D60" s="7">
        <f t="shared" si="4"/>
        <v>90238168.060830548</v>
      </c>
      <c r="E60" s="7">
        <f t="shared" si="4"/>
        <v>6767862.6045622909</v>
      </c>
      <c r="F60" s="7">
        <f t="shared" si="4"/>
        <v>97006030.665392846</v>
      </c>
      <c r="G60" s="7">
        <f t="shared" si="4"/>
        <v>15725704.263709486</v>
      </c>
      <c r="H60" s="7">
        <f t="shared" si="4"/>
        <v>6086977.9345594849</v>
      </c>
      <c r="I60" s="7">
        <f t="shared" si="4"/>
        <v>722904.47468624997</v>
      </c>
      <c r="J60" s="7">
        <f t="shared" si="4"/>
        <v>1262727748.1153417</v>
      </c>
      <c r="K60" s="7">
        <f t="shared" si="4"/>
        <v>-14772663.178009085</v>
      </c>
    </row>
    <row r="61" spans="1:11" x14ac:dyDescent="0.2">
      <c r="A61" s="811">
        <f t="shared" si="5"/>
        <v>36</v>
      </c>
      <c r="B61" s="892" t="s">
        <v>214</v>
      </c>
      <c r="C61" s="893">
        <f t="shared" si="6"/>
        <v>2013</v>
      </c>
      <c r="D61" s="7">
        <f t="shared" si="4"/>
        <v>69231965.115845606</v>
      </c>
      <c r="E61" s="7">
        <f t="shared" si="4"/>
        <v>5192397.3836884191</v>
      </c>
      <c r="F61" s="7">
        <f t="shared" si="4"/>
        <v>74424362.499534011</v>
      </c>
      <c r="G61" s="7">
        <f t="shared" si="4"/>
        <v>101704688.12021133</v>
      </c>
      <c r="H61" s="7">
        <f t="shared" si="4"/>
        <v>94420734.610311329</v>
      </c>
      <c r="I61" s="7">
        <f t="shared" si="4"/>
        <v>546296.51324250025</v>
      </c>
      <c r="J61" s="7">
        <f t="shared" si="4"/>
        <v>1234901125.9814217</v>
      </c>
      <c r="K61" s="7">
        <f t="shared" si="4"/>
        <v>-42599285.311928943</v>
      </c>
    </row>
    <row r="62" spans="1:11" x14ac:dyDescent="0.2">
      <c r="A62" s="811">
        <f t="shared" si="5"/>
        <v>37</v>
      </c>
      <c r="B62" s="895" t="s">
        <v>215</v>
      </c>
      <c r="C62" s="893">
        <f t="shared" si="6"/>
        <v>2013</v>
      </c>
      <c r="D62" s="7">
        <f t="shared" si="4"/>
        <v>93782039.85235545</v>
      </c>
      <c r="E62" s="7">
        <f t="shared" si="4"/>
        <v>7033652.9889266593</v>
      </c>
      <c r="F62" s="7">
        <f t="shared" si="4"/>
        <v>100815692.84128211</v>
      </c>
      <c r="G62" s="7">
        <f t="shared" si="4"/>
        <v>2855490.9535499997</v>
      </c>
      <c r="H62" s="7">
        <f t="shared" si="4"/>
        <v>0</v>
      </c>
      <c r="I62" s="7">
        <f t="shared" si="4"/>
        <v>214161.82151624997</v>
      </c>
      <c r="J62" s="7">
        <f t="shared" si="4"/>
        <v>1332647166.0476375</v>
      </c>
      <c r="K62" s="7">
        <f t="shared" si="4"/>
        <v>55146754.754286885</v>
      </c>
    </row>
    <row r="63" spans="1:11" x14ac:dyDescent="0.2">
      <c r="A63" s="811">
        <f t="shared" si="5"/>
        <v>38</v>
      </c>
      <c r="B63" s="895" t="s">
        <v>216</v>
      </c>
      <c r="C63" s="893">
        <f t="shared" si="6"/>
        <v>2013</v>
      </c>
      <c r="D63" s="7">
        <f t="shared" si="4"/>
        <v>105220106.25512037</v>
      </c>
      <c r="E63" s="7">
        <f t="shared" si="4"/>
        <v>7891507.9691340262</v>
      </c>
      <c r="F63" s="7">
        <f t="shared" si="4"/>
        <v>113111614.22425438</v>
      </c>
      <c r="G63" s="7">
        <f t="shared" si="4"/>
        <v>14077551.020465389</v>
      </c>
      <c r="H63" s="7">
        <f t="shared" si="4"/>
        <v>2895448.0307653872</v>
      </c>
      <c r="I63" s="7">
        <f t="shared" si="4"/>
        <v>838657.72422750015</v>
      </c>
      <c r="J63" s="7">
        <f t="shared" si="4"/>
        <v>1430842571.527199</v>
      </c>
      <c r="K63" s="7">
        <f t="shared" si="4"/>
        <v>153342160.23384839</v>
      </c>
    </row>
    <row r="64" spans="1:11" x14ac:dyDescent="0.2">
      <c r="A64" s="811">
        <f t="shared" si="5"/>
        <v>39</v>
      </c>
      <c r="B64" s="892" t="s">
        <v>219</v>
      </c>
      <c r="C64" s="893">
        <f t="shared" si="6"/>
        <v>2013</v>
      </c>
      <c r="D64" s="7">
        <f t="shared" si="4"/>
        <v>103541394.1671676</v>
      </c>
      <c r="E64" s="7">
        <f t="shared" si="4"/>
        <v>7765604.5625375696</v>
      </c>
      <c r="F64" s="7">
        <f t="shared" si="4"/>
        <v>111306998.72970517</v>
      </c>
      <c r="G64" s="7">
        <f t="shared" si="4"/>
        <v>3390869.65</v>
      </c>
      <c r="H64" s="7">
        <f t="shared" si="4"/>
        <v>0</v>
      </c>
      <c r="I64" s="7">
        <f t="shared" si="4"/>
        <v>254315.22374999998</v>
      </c>
      <c r="J64" s="7">
        <f t="shared" si="4"/>
        <v>1538504385.3831542</v>
      </c>
      <c r="K64" s="7">
        <f t="shared" si="4"/>
        <v>261003974.08980367</v>
      </c>
    </row>
    <row r="65" spans="1:11" x14ac:dyDescent="0.2">
      <c r="A65" s="811">
        <f t="shared" si="5"/>
        <v>40</v>
      </c>
      <c r="B65" s="892" t="s">
        <v>218</v>
      </c>
      <c r="C65" s="893">
        <f t="shared" si="6"/>
        <v>2013</v>
      </c>
      <c r="D65" s="7">
        <f t="shared" si="4"/>
        <v>106873529.2601978</v>
      </c>
      <c r="E65" s="7">
        <f t="shared" si="4"/>
        <v>8015514.6945148353</v>
      </c>
      <c r="F65" s="7">
        <f t="shared" si="4"/>
        <v>114889043.95471264</v>
      </c>
      <c r="G65" s="7">
        <f t="shared" si="4"/>
        <v>123331050.76177707</v>
      </c>
      <c r="H65" s="7">
        <f t="shared" si="4"/>
        <v>75601230.459277093</v>
      </c>
      <c r="I65" s="7">
        <f t="shared" si="4"/>
        <v>3579736.5226874985</v>
      </c>
      <c r="J65" s="7">
        <f t="shared" si="4"/>
        <v>1526482642.0534022</v>
      </c>
      <c r="K65" s="7">
        <f t="shared" si="4"/>
        <v>248982230.76005164</v>
      </c>
    </row>
    <row r="66" spans="1:11" x14ac:dyDescent="0.2">
      <c r="A66" s="811">
        <f t="shared" si="5"/>
        <v>41</v>
      </c>
      <c r="B66" s="892" t="s">
        <v>208</v>
      </c>
      <c r="C66" s="893">
        <f t="shared" si="6"/>
        <v>2013</v>
      </c>
      <c r="D66" s="7">
        <f t="shared" si="4"/>
        <v>107190979.19280596</v>
      </c>
      <c r="E66" s="7">
        <f t="shared" si="4"/>
        <v>8039323.4394604461</v>
      </c>
      <c r="F66" s="7">
        <f t="shared" si="4"/>
        <v>115230302.6322664</v>
      </c>
      <c r="G66" s="7">
        <f t="shared" si="4"/>
        <v>126878105.33211704</v>
      </c>
      <c r="H66" s="7">
        <f t="shared" si="4"/>
        <v>58370100.448687054</v>
      </c>
      <c r="I66" s="7">
        <f t="shared" si="4"/>
        <v>5138100.3662572475</v>
      </c>
      <c r="J66" s="7">
        <f t="shared" si="4"/>
        <v>1509696738.9872944</v>
      </c>
      <c r="K66" s="7">
        <f t="shared" si="4"/>
        <v>232196327.69394377</v>
      </c>
    </row>
    <row r="67" spans="1:11" x14ac:dyDescent="0.2">
      <c r="A67" s="811">
        <f t="shared" si="5"/>
        <v>42</v>
      </c>
      <c r="B67" s="892" t="s">
        <v>209</v>
      </c>
      <c r="C67" s="893">
        <f>C66+1</f>
        <v>2014</v>
      </c>
      <c r="D67" s="7">
        <f t="shared" si="4"/>
        <v>99924425.375697523</v>
      </c>
      <c r="E67" s="7">
        <f t="shared" si="4"/>
        <v>7494331.9031773144</v>
      </c>
      <c r="F67" s="7">
        <f t="shared" si="4"/>
        <v>107418757.27887484</v>
      </c>
      <c r="G67" s="7">
        <f t="shared" si="4"/>
        <v>6999838.8812143458</v>
      </c>
      <c r="H67" s="7">
        <f t="shared" si="4"/>
        <v>2226960.3212143453</v>
      </c>
      <c r="I67" s="7">
        <f t="shared" si="4"/>
        <v>357965.89200000005</v>
      </c>
      <c r="J67" s="7">
        <f t="shared" si="4"/>
        <v>1609757691.4929547</v>
      </c>
      <c r="K67" s="7">
        <f t="shared" si="4"/>
        <v>332257280.19960427</v>
      </c>
    </row>
    <row r="68" spans="1:11" x14ac:dyDescent="0.2">
      <c r="A68" s="811">
        <f t="shared" si="5"/>
        <v>43</v>
      </c>
      <c r="B68" s="895" t="s">
        <v>210</v>
      </c>
      <c r="C68" s="893">
        <f>C67</f>
        <v>2014</v>
      </c>
      <c r="D68" s="7">
        <f t="shared" si="4"/>
        <v>86442859.92068024</v>
      </c>
      <c r="E68" s="7">
        <f t="shared" si="4"/>
        <v>6483214.4940510187</v>
      </c>
      <c r="F68" s="7">
        <f t="shared" si="4"/>
        <v>92926074.414731249</v>
      </c>
      <c r="G68" s="7">
        <f t="shared" si="4"/>
        <v>4594240</v>
      </c>
      <c r="H68" s="7">
        <f t="shared" si="4"/>
        <v>0</v>
      </c>
      <c r="I68" s="7">
        <f t="shared" si="4"/>
        <v>344568</v>
      </c>
      <c r="J68" s="7">
        <f t="shared" si="4"/>
        <v>1697744957.907686</v>
      </c>
      <c r="K68" s="7">
        <f t="shared" si="4"/>
        <v>420244546.61433542</v>
      </c>
    </row>
    <row r="69" spans="1:11" x14ac:dyDescent="0.2">
      <c r="A69" s="811">
        <f t="shared" si="5"/>
        <v>44</v>
      </c>
      <c r="B69" s="895" t="s">
        <v>223</v>
      </c>
      <c r="C69" s="893">
        <f t="shared" ref="C69:C75" si="7">C68</f>
        <v>2014</v>
      </c>
      <c r="D69" s="7">
        <f t="shared" si="4"/>
        <v>85123507.201623127</v>
      </c>
      <c r="E69" s="7">
        <f t="shared" si="4"/>
        <v>6384263.0401217351</v>
      </c>
      <c r="F69" s="7">
        <f t="shared" si="4"/>
        <v>91507770.241744861</v>
      </c>
      <c r="G69" s="7">
        <f t="shared" si="4"/>
        <v>3448959.9999999995</v>
      </c>
      <c r="H69" s="7">
        <f t="shared" si="4"/>
        <v>0</v>
      </c>
      <c r="I69" s="7">
        <f t="shared" si="4"/>
        <v>258671.99999999994</v>
      </c>
      <c r="J69" s="7">
        <f t="shared" si="4"/>
        <v>1785545096.1494308</v>
      </c>
      <c r="K69" s="7">
        <f t="shared" si="4"/>
        <v>508044684.85608041</v>
      </c>
    </row>
    <row r="70" spans="1:11" x14ac:dyDescent="0.2">
      <c r="A70" s="811">
        <f t="shared" si="5"/>
        <v>45</v>
      </c>
      <c r="B70" s="892" t="s">
        <v>211</v>
      </c>
      <c r="C70" s="893">
        <f t="shared" si="7"/>
        <v>2014</v>
      </c>
      <c r="D70" s="7">
        <f t="shared" si="4"/>
        <v>79337855.955318719</v>
      </c>
      <c r="E70" s="7">
        <f t="shared" si="4"/>
        <v>5950339.1966489032</v>
      </c>
      <c r="F70" s="7">
        <f t="shared" si="4"/>
        <v>85288195.151967615</v>
      </c>
      <c r="G70" s="7">
        <f t="shared" si="4"/>
        <v>25193673.690000001</v>
      </c>
      <c r="H70" s="7">
        <f t="shared" si="4"/>
        <v>21636322.09</v>
      </c>
      <c r="I70" s="7">
        <f t="shared" si="4"/>
        <v>266801.37000000011</v>
      </c>
      <c r="J70" s="7">
        <f t="shared" si="4"/>
        <v>1845372816.2413986</v>
      </c>
      <c r="K70" s="7">
        <f t="shared" si="4"/>
        <v>567872404.94804788</v>
      </c>
    </row>
    <row r="71" spans="1:11" x14ac:dyDescent="0.2">
      <c r="A71" s="811">
        <f t="shared" si="5"/>
        <v>46</v>
      </c>
      <c r="B71" s="895" t="s">
        <v>212</v>
      </c>
      <c r="C71" s="893">
        <f t="shared" si="7"/>
        <v>2014</v>
      </c>
      <c r="D71" s="7">
        <f t="shared" ref="D71:K75" si="8">D102+D130+D158+D188+D216+D244+D274+D302+D330+D360</f>
        <v>74417827.275755748</v>
      </c>
      <c r="E71" s="7">
        <f t="shared" si="8"/>
        <v>5581337.0456816815</v>
      </c>
      <c r="F71" s="7">
        <f t="shared" si="8"/>
        <v>79999164.321437433</v>
      </c>
      <c r="G71" s="7">
        <f t="shared" si="8"/>
        <v>23425165.415215448</v>
      </c>
      <c r="H71" s="7">
        <f t="shared" si="8"/>
        <v>18363841.165215451</v>
      </c>
      <c r="I71" s="7">
        <f t="shared" si="8"/>
        <v>379599.31874999969</v>
      </c>
      <c r="J71" s="7">
        <f t="shared" si="8"/>
        <v>1901567215.8288708</v>
      </c>
      <c r="K71" s="7">
        <f t="shared" si="8"/>
        <v>624066804.53551996</v>
      </c>
    </row>
    <row r="72" spans="1:11" x14ac:dyDescent="0.2">
      <c r="A72" s="811">
        <f t="shared" si="5"/>
        <v>47</v>
      </c>
      <c r="B72" s="895" t="s">
        <v>1877</v>
      </c>
      <c r="C72" s="893">
        <f t="shared" si="7"/>
        <v>2014</v>
      </c>
      <c r="D72" s="7">
        <f t="shared" si="8"/>
        <v>66027953.609855227</v>
      </c>
      <c r="E72" s="7">
        <f t="shared" si="8"/>
        <v>4952096.5207391419</v>
      </c>
      <c r="F72" s="7">
        <f t="shared" si="8"/>
        <v>70980050.130594373</v>
      </c>
      <c r="G72" s="7">
        <f t="shared" si="8"/>
        <v>1515720.36</v>
      </c>
      <c r="H72" s="7">
        <f t="shared" si="8"/>
        <v>0</v>
      </c>
      <c r="I72" s="7">
        <f t="shared" si="8"/>
        <v>113679.027</v>
      </c>
      <c r="J72" s="7">
        <f t="shared" si="8"/>
        <v>1970917866.5724649</v>
      </c>
      <c r="K72" s="7">
        <f t="shared" si="8"/>
        <v>693417455.27911437</v>
      </c>
    </row>
    <row r="73" spans="1:11" x14ac:dyDescent="0.2">
      <c r="A73" s="811">
        <f t="shared" si="5"/>
        <v>48</v>
      </c>
      <c r="B73" s="892" t="s">
        <v>214</v>
      </c>
      <c r="C73" s="893">
        <f t="shared" si="7"/>
        <v>2014</v>
      </c>
      <c r="D73" s="7">
        <f t="shared" si="8"/>
        <v>56671107.00676731</v>
      </c>
      <c r="E73" s="7">
        <f t="shared" si="8"/>
        <v>4250333.0255075488</v>
      </c>
      <c r="F73" s="7">
        <f t="shared" si="8"/>
        <v>60921440.032274865</v>
      </c>
      <c r="G73" s="7">
        <f t="shared" si="8"/>
        <v>239141332.02113783</v>
      </c>
      <c r="H73" s="7">
        <f t="shared" si="8"/>
        <v>30843632.021137841</v>
      </c>
      <c r="I73" s="7">
        <f t="shared" si="8"/>
        <v>15622327.5</v>
      </c>
      <c r="J73" s="7">
        <f t="shared" si="8"/>
        <v>1777075647.0836022</v>
      </c>
      <c r="K73" s="7">
        <f t="shared" si="8"/>
        <v>499575235.79025137</v>
      </c>
    </row>
    <row r="74" spans="1:11" x14ac:dyDescent="0.2">
      <c r="A74" s="811">
        <f t="shared" si="5"/>
        <v>49</v>
      </c>
      <c r="B74" s="895" t="s">
        <v>215</v>
      </c>
      <c r="C74" s="893">
        <f t="shared" si="7"/>
        <v>2014</v>
      </c>
      <c r="D74" s="7">
        <f t="shared" si="8"/>
        <v>62904084.818067662</v>
      </c>
      <c r="E74" s="7">
        <f t="shared" si="8"/>
        <v>4717806.3613550747</v>
      </c>
      <c r="F74" s="7">
        <f t="shared" si="8"/>
        <v>67621891.179422736</v>
      </c>
      <c r="G74" s="7">
        <f t="shared" si="8"/>
        <v>6138100</v>
      </c>
      <c r="H74" s="7">
        <f t="shared" si="8"/>
        <v>0</v>
      </c>
      <c r="I74" s="7">
        <f t="shared" si="8"/>
        <v>460357.5</v>
      </c>
      <c r="J74" s="7">
        <f t="shared" si="8"/>
        <v>1838099080.7630248</v>
      </c>
      <c r="K74" s="7">
        <f t="shared" si="8"/>
        <v>560598669.46967411</v>
      </c>
    </row>
    <row r="75" spans="1:11" x14ac:dyDescent="0.2">
      <c r="A75" s="811">
        <f t="shared" si="5"/>
        <v>50</v>
      </c>
      <c r="B75" s="895" t="s">
        <v>216</v>
      </c>
      <c r="C75" s="893">
        <f t="shared" si="7"/>
        <v>2014</v>
      </c>
      <c r="D75" s="7">
        <f t="shared" si="8"/>
        <v>42270939.785773925</v>
      </c>
      <c r="E75" s="7">
        <f t="shared" si="8"/>
        <v>3170320.4839330441</v>
      </c>
      <c r="F75" s="7">
        <f t="shared" si="8"/>
        <v>45441260.269706964</v>
      </c>
      <c r="G75" s="7">
        <f t="shared" si="8"/>
        <v>793594398.47106278</v>
      </c>
      <c r="H75" s="7">
        <f t="shared" si="8"/>
        <v>151361046.07106274</v>
      </c>
      <c r="I75" s="7">
        <f t="shared" si="8"/>
        <v>48167501.430000007</v>
      </c>
      <c r="J75" s="7">
        <f t="shared" si="8"/>
        <v>1041778441.1316687</v>
      </c>
      <c r="K75" s="93">
        <f t="shared" si="8"/>
        <v>-235721970.16168171</v>
      </c>
    </row>
    <row r="76" spans="1:11" x14ac:dyDescent="0.2">
      <c r="A76" s="811">
        <f>A75+1</f>
        <v>51</v>
      </c>
      <c r="C76" s="931" t="s">
        <v>2084</v>
      </c>
      <c r="K76" s="76">
        <f>AVERAGE(K63:K75)</f>
        <v>374298446.48527646</v>
      </c>
    </row>
    <row r="78" spans="1:11" x14ac:dyDescent="0.2">
      <c r="B78" s="899" t="s">
        <v>2607</v>
      </c>
    </row>
    <row r="79" spans="1:11" s="932" customFormat="1" x14ac:dyDescent="0.2">
      <c r="B79" s="933" t="s">
        <v>2608</v>
      </c>
      <c r="D79" s="1195" t="s">
        <v>258</v>
      </c>
      <c r="E79" s="1195"/>
    </row>
    <row r="80" spans="1:11" s="927" customFormat="1" x14ac:dyDescent="0.2">
      <c r="D80" s="927" t="s">
        <v>403</v>
      </c>
      <c r="E80" s="927" t="s">
        <v>387</v>
      </c>
      <c r="F80" s="927" t="s">
        <v>388</v>
      </c>
      <c r="G80" s="927" t="s">
        <v>389</v>
      </c>
      <c r="H80" s="927" t="s">
        <v>390</v>
      </c>
      <c r="I80" s="927" t="s">
        <v>391</v>
      </c>
      <c r="J80" s="927" t="s">
        <v>392</v>
      </c>
      <c r="K80" s="927" t="s">
        <v>606</v>
      </c>
    </row>
    <row r="81" spans="1:11" s="932" customFormat="1" ht="25.9" customHeight="1" x14ac:dyDescent="0.2">
      <c r="D81" s="934"/>
      <c r="E81" s="935" t="s">
        <v>2649</v>
      </c>
      <c r="F81" s="936" t="s">
        <v>2609</v>
      </c>
      <c r="G81" s="642"/>
      <c r="H81" s="934"/>
      <c r="I81" s="935" t="s">
        <v>2650</v>
      </c>
      <c r="J81" s="935" t="s">
        <v>2610</v>
      </c>
      <c r="K81" s="935" t="s">
        <v>2611</v>
      </c>
    </row>
    <row r="82" spans="1:11" s="932" customFormat="1" x14ac:dyDescent="0.2">
      <c r="D82" s="934"/>
      <c r="E82" s="937"/>
      <c r="F82" s="937"/>
      <c r="G82" s="811" t="str">
        <f>G51</f>
        <v>Unloaded</v>
      </c>
      <c r="H82" s="934"/>
      <c r="I82" s="937"/>
      <c r="J82" s="937"/>
      <c r="K82" s="811"/>
    </row>
    <row r="83" spans="1:11" s="929" customFormat="1" x14ac:dyDescent="0.2">
      <c r="D83" s="929" t="str">
        <f>D$52</f>
        <v>Forecast</v>
      </c>
      <c r="E83" s="929" t="str">
        <f t="shared" ref="E83:J83" si="9">E$52</f>
        <v>Corporate</v>
      </c>
      <c r="F83" s="929" t="str">
        <f t="shared" si="9"/>
        <v xml:space="preserve">Total </v>
      </c>
      <c r="G83" s="811" t="str">
        <f t="shared" ref="G83:G84" si="10">G52</f>
        <v>Total</v>
      </c>
      <c r="H83" s="929" t="str">
        <f t="shared" si="9"/>
        <v>Prior Period</v>
      </c>
      <c r="I83" s="929" t="str">
        <f t="shared" si="9"/>
        <v>Over Heads</v>
      </c>
      <c r="J83" s="929" t="str">
        <f t="shared" si="9"/>
        <v>Forecast</v>
      </c>
      <c r="K83" s="811" t="str">
        <f>K$52</f>
        <v>Forecast Period</v>
      </c>
    </row>
    <row r="84" spans="1:11" s="932" customFormat="1" x14ac:dyDescent="0.2">
      <c r="A84" s="53" t="s">
        <v>369</v>
      </c>
      <c r="B84" s="891" t="s">
        <v>220</v>
      </c>
      <c r="C84" s="891" t="s">
        <v>221</v>
      </c>
      <c r="D84" s="927" t="str">
        <f>D$53</f>
        <v>Expenditures</v>
      </c>
      <c r="E84" s="927" t="str">
        <f t="shared" ref="E84:J84" si="11">E$53</f>
        <v>Overheads</v>
      </c>
      <c r="F84" s="927" t="str">
        <f t="shared" si="11"/>
        <v>CWIP Exp</v>
      </c>
      <c r="G84" s="3" t="str">
        <f t="shared" si="10"/>
        <v>Plant Adds</v>
      </c>
      <c r="H84" s="927" t="str">
        <f t="shared" si="11"/>
        <v>CWIP Closed</v>
      </c>
      <c r="I84" s="927" t="str">
        <f t="shared" si="11"/>
        <v>Closed to PIS</v>
      </c>
      <c r="J84" s="927" t="str">
        <f t="shared" si="11"/>
        <v>Period CWIP</v>
      </c>
      <c r="K84" s="927" t="str">
        <f>K$53</f>
        <v>Incremental CWIP</v>
      </c>
    </row>
    <row r="85" spans="1:11" s="932" customFormat="1" x14ac:dyDescent="0.2">
      <c r="A85" s="811">
        <f>A76+1</f>
        <v>52</v>
      </c>
      <c r="B85" s="892" t="s">
        <v>208</v>
      </c>
      <c r="C85" s="893">
        <v>2012</v>
      </c>
      <c r="D85" s="936" t="s">
        <v>86</v>
      </c>
      <c r="E85" s="936" t="s">
        <v>86</v>
      </c>
      <c r="F85" s="936" t="s">
        <v>86</v>
      </c>
      <c r="G85" s="936" t="s">
        <v>86</v>
      </c>
      <c r="H85" s="936" t="s">
        <v>86</v>
      </c>
      <c r="I85" s="936" t="s">
        <v>86</v>
      </c>
      <c r="J85" s="65">
        <f>E25</f>
        <v>1059868753.2391434</v>
      </c>
      <c r="K85" s="936" t="s">
        <v>86</v>
      </c>
    </row>
    <row r="86" spans="1:11" s="932" customFormat="1" x14ac:dyDescent="0.2">
      <c r="A86" s="811">
        <f>A85+1</f>
        <v>53</v>
      </c>
      <c r="B86" s="892" t="s">
        <v>209</v>
      </c>
      <c r="C86" s="893">
        <f>C85+1</f>
        <v>2013</v>
      </c>
      <c r="D86" s="111">
        <v>17293559.189999998</v>
      </c>
      <c r="E86" s="65">
        <f>D86*'16-PlantAdditions'!$E$94</f>
        <v>1297016.9392499998</v>
      </c>
      <c r="F86" s="65">
        <f>E86+D86</f>
        <v>18590576.129249997</v>
      </c>
      <c r="G86" s="111">
        <v>-212294</v>
      </c>
      <c r="H86" s="111">
        <v>-212294</v>
      </c>
      <c r="I86" s="65">
        <f>(G86-H86)*'16-PlantAdditions'!$E$94</f>
        <v>0</v>
      </c>
      <c r="J86" s="65">
        <f>J85+F86-G86-I86</f>
        <v>1078671623.3683934</v>
      </c>
      <c r="K86" s="65">
        <f>J86-J85</f>
        <v>18802870.12925005</v>
      </c>
    </row>
    <row r="87" spans="1:11" s="932" customFormat="1" x14ac:dyDescent="0.2">
      <c r="A87" s="811">
        <f t="shared" ref="A87:A106" si="12">A86+1</f>
        <v>54</v>
      </c>
      <c r="B87" s="895" t="s">
        <v>210</v>
      </c>
      <c r="C87" s="893">
        <f>C86</f>
        <v>2013</v>
      </c>
      <c r="D87" s="111">
        <v>38055286.499999993</v>
      </c>
      <c r="E87" s="65">
        <f>D87*'16-PlantAdditions'!$E$94</f>
        <v>2854146.4874999993</v>
      </c>
      <c r="F87" s="65">
        <f t="shared" ref="F87:F106" si="13">E87+D87</f>
        <v>40909432.98749999</v>
      </c>
      <c r="G87" s="111">
        <v>151780257.04958385</v>
      </c>
      <c r="H87" s="111">
        <v>147668210.1895839</v>
      </c>
      <c r="I87" s="65">
        <f>(G87-H87)*'16-PlantAdditions'!$E$94</f>
        <v>308403.51449999661</v>
      </c>
      <c r="J87" s="65">
        <f t="shared" ref="J87:J106" si="14">J86+F87-G87-I87</f>
        <v>967492395.79180944</v>
      </c>
      <c r="K87" s="65">
        <f>J87-J85</f>
        <v>-92376357.447333932</v>
      </c>
    </row>
    <row r="88" spans="1:11" s="932" customFormat="1" x14ac:dyDescent="0.2">
      <c r="A88" s="811">
        <f t="shared" si="12"/>
        <v>55</v>
      </c>
      <c r="B88" s="895" t="s">
        <v>223</v>
      </c>
      <c r="C88" s="893">
        <f t="shared" ref="C88:C97" si="15">C87</f>
        <v>2013</v>
      </c>
      <c r="D88" s="111">
        <v>26781061.509999998</v>
      </c>
      <c r="E88" s="65">
        <f>D88*'16-PlantAdditions'!$E$94</f>
        <v>2008579.6132499997</v>
      </c>
      <c r="F88" s="65">
        <f t="shared" si="13"/>
        <v>28789641.123249996</v>
      </c>
      <c r="G88" s="111">
        <v>1157049.9799999997</v>
      </c>
      <c r="H88" s="111">
        <v>664200.40999999992</v>
      </c>
      <c r="I88" s="65">
        <f>(G88-H88)*'16-PlantAdditions'!$E$94</f>
        <v>36963.717749999989</v>
      </c>
      <c r="J88" s="65">
        <f t="shared" si="14"/>
        <v>995088023.21730947</v>
      </c>
      <c r="K88" s="65">
        <f>J88-J85</f>
        <v>-64780730.021833897</v>
      </c>
    </row>
    <row r="89" spans="1:11" s="932" customFormat="1" x14ac:dyDescent="0.2">
      <c r="A89" s="811">
        <f t="shared" si="12"/>
        <v>56</v>
      </c>
      <c r="B89" s="892" t="s">
        <v>211</v>
      </c>
      <c r="C89" s="893">
        <f t="shared" si="15"/>
        <v>2013</v>
      </c>
      <c r="D89" s="111">
        <v>21733573.939609434</v>
      </c>
      <c r="E89" s="65">
        <f>D89*'16-PlantAdditions'!$E$94</f>
        <v>1630018.0454707076</v>
      </c>
      <c r="F89" s="65">
        <f t="shared" si="13"/>
        <v>23363591.985080142</v>
      </c>
      <c r="G89" s="111">
        <v>116908713.23415448</v>
      </c>
      <c r="H89" s="111">
        <v>102746484.21665448</v>
      </c>
      <c r="I89" s="65">
        <f>(G89-H89)*'16-PlantAdditions'!$E$94</f>
        <v>1062167.1763124999</v>
      </c>
      <c r="J89" s="65">
        <f t="shared" si="14"/>
        <v>900480734.79192269</v>
      </c>
      <c r="K89" s="65">
        <f>J89-J85</f>
        <v>-159388018.44722068</v>
      </c>
    </row>
    <row r="90" spans="1:11" s="932" customFormat="1" x14ac:dyDescent="0.2">
      <c r="A90" s="811">
        <f t="shared" si="12"/>
        <v>57</v>
      </c>
      <c r="B90" s="895" t="s">
        <v>212</v>
      </c>
      <c r="C90" s="893">
        <f t="shared" si="15"/>
        <v>2013</v>
      </c>
      <c r="D90" s="111">
        <v>36525381.805765644</v>
      </c>
      <c r="E90" s="65">
        <f>D90*'16-PlantAdditions'!$E$94</f>
        <v>2739403.6354324231</v>
      </c>
      <c r="F90" s="65">
        <f t="shared" si="13"/>
        <v>39264785.441198066</v>
      </c>
      <c r="G90" s="111">
        <v>198673814.46350354</v>
      </c>
      <c r="H90" s="111">
        <v>182030802.59410354</v>
      </c>
      <c r="I90" s="65">
        <f>(G90-H90)*'16-PlantAdditions'!$E$94</f>
        <v>1248225.8902049996</v>
      </c>
      <c r="J90" s="65">
        <f t="shared" si="14"/>
        <v>739823479.87941229</v>
      </c>
      <c r="K90" s="65">
        <f>J90-J85</f>
        <v>-320045273.35973108</v>
      </c>
    </row>
    <row r="91" spans="1:11" s="932" customFormat="1" x14ac:dyDescent="0.2">
      <c r="A91" s="811">
        <f t="shared" si="12"/>
        <v>58</v>
      </c>
      <c r="B91" s="895" t="s">
        <v>1877</v>
      </c>
      <c r="C91" s="893">
        <f t="shared" si="15"/>
        <v>2013</v>
      </c>
      <c r="D91" s="111">
        <v>39511483.347830549</v>
      </c>
      <c r="E91" s="65">
        <f>D91*'16-PlantAdditions'!$E$94</f>
        <v>2963361.2510872912</v>
      </c>
      <c r="F91" s="65">
        <f t="shared" si="13"/>
        <v>42474844.598917842</v>
      </c>
      <c r="G91" s="111">
        <v>15725704.263709486</v>
      </c>
      <c r="H91" s="111">
        <v>6086977.9345594849</v>
      </c>
      <c r="I91" s="65">
        <f>(G91-H91)*'16-PlantAdditions'!$E$94</f>
        <v>722904.47468624997</v>
      </c>
      <c r="J91" s="65">
        <f t="shared" si="14"/>
        <v>765849715.73993433</v>
      </c>
      <c r="K91" s="65">
        <f>J91-J85</f>
        <v>-294019037.49920905</v>
      </c>
    </row>
    <row r="92" spans="1:11" s="932" customFormat="1" x14ac:dyDescent="0.2">
      <c r="A92" s="811">
        <f t="shared" si="12"/>
        <v>59</v>
      </c>
      <c r="B92" s="892" t="s">
        <v>214</v>
      </c>
      <c r="C92" s="893">
        <f t="shared" si="15"/>
        <v>2013</v>
      </c>
      <c r="D92" s="111">
        <v>22815668.552845594</v>
      </c>
      <c r="E92" s="65">
        <f>D92*'16-PlantAdditions'!$E$94</f>
        <v>1711175.1414634194</v>
      </c>
      <c r="F92" s="65">
        <f t="shared" si="13"/>
        <v>24526843.694309011</v>
      </c>
      <c r="G92" s="111">
        <v>101704688.12021133</v>
      </c>
      <c r="H92" s="111">
        <v>94420734.610311329</v>
      </c>
      <c r="I92" s="65">
        <f>(G92-H92)*'16-PlantAdditions'!$E$94</f>
        <v>546296.51324250025</v>
      </c>
      <c r="J92" s="65">
        <f t="shared" si="14"/>
        <v>688125574.80078948</v>
      </c>
      <c r="K92" s="65">
        <f>J92-J85</f>
        <v>-371743178.4383539</v>
      </c>
    </row>
    <row r="93" spans="1:11" s="932" customFormat="1" x14ac:dyDescent="0.2">
      <c r="A93" s="811">
        <f t="shared" si="12"/>
        <v>60</v>
      </c>
      <c r="B93" s="895" t="s">
        <v>215</v>
      </c>
      <c r="C93" s="893">
        <f t="shared" si="15"/>
        <v>2013</v>
      </c>
      <c r="D93" s="111">
        <v>18151863.329355452</v>
      </c>
      <c r="E93" s="65">
        <f>D93*'16-PlantAdditions'!$E$94</f>
        <v>1361389.749701659</v>
      </c>
      <c r="F93" s="65">
        <f t="shared" si="13"/>
        <v>19513253.079057112</v>
      </c>
      <c r="G93" s="111">
        <v>2855490.9535499997</v>
      </c>
      <c r="H93" s="111">
        <v>0</v>
      </c>
      <c r="I93" s="65">
        <f>(G93-H93)*'16-PlantAdditions'!$E$94</f>
        <v>214161.82151624997</v>
      </c>
      <c r="J93" s="65">
        <f t="shared" si="14"/>
        <v>704569175.10478032</v>
      </c>
      <c r="K93" s="65">
        <f>J93-J85</f>
        <v>-355299578.13436306</v>
      </c>
    </row>
    <row r="94" spans="1:11" s="932" customFormat="1" x14ac:dyDescent="0.2">
      <c r="A94" s="811">
        <f t="shared" si="12"/>
        <v>61</v>
      </c>
      <c r="B94" s="895" t="s">
        <v>216</v>
      </c>
      <c r="C94" s="893">
        <f t="shared" si="15"/>
        <v>2013</v>
      </c>
      <c r="D94" s="111">
        <v>36483884.262120351</v>
      </c>
      <c r="E94" s="65">
        <f>D94*'16-PlantAdditions'!$E$94</f>
        <v>2736291.3196590263</v>
      </c>
      <c r="F94" s="65">
        <f t="shared" si="13"/>
        <v>39220175.581779376</v>
      </c>
      <c r="G94" s="111">
        <v>7684339.1691760356</v>
      </c>
      <c r="H94" s="111">
        <v>2235.8694760350691</v>
      </c>
      <c r="I94" s="65">
        <f>(G94-H94)*'16-PlantAdditions'!$E$94</f>
        <v>576157.7474775</v>
      </c>
      <c r="J94" s="65">
        <f t="shared" si="14"/>
        <v>735528853.76990616</v>
      </c>
      <c r="K94" s="65">
        <f>J94-J85</f>
        <v>-324339899.46923721</v>
      </c>
    </row>
    <row r="95" spans="1:11" s="932" customFormat="1" x14ac:dyDescent="0.2">
      <c r="A95" s="811">
        <f t="shared" si="12"/>
        <v>62</v>
      </c>
      <c r="B95" s="892" t="s">
        <v>219</v>
      </c>
      <c r="C95" s="893">
        <f t="shared" si="15"/>
        <v>2013</v>
      </c>
      <c r="D95" s="111">
        <v>27482061.744167592</v>
      </c>
      <c r="E95" s="65">
        <f>D95*'16-PlantAdditions'!$E$94</f>
        <v>2061154.6308125693</v>
      </c>
      <c r="F95" s="65">
        <f t="shared" si="13"/>
        <v>29543216.374980163</v>
      </c>
      <c r="G95" s="111">
        <v>3390869.65</v>
      </c>
      <c r="H95" s="111">
        <v>0</v>
      </c>
      <c r="I95" s="65">
        <f>(G95-H95)*'16-PlantAdditions'!$E$94</f>
        <v>254315.22374999998</v>
      </c>
      <c r="J95" s="65">
        <f t="shared" si="14"/>
        <v>761426885.2711364</v>
      </c>
      <c r="K95" s="65">
        <f>J95-J85</f>
        <v>-298441867.96800697</v>
      </c>
    </row>
    <row r="96" spans="1:11" s="932" customFormat="1" x14ac:dyDescent="0.2">
      <c r="A96" s="811">
        <f t="shared" si="12"/>
        <v>63</v>
      </c>
      <c r="B96" s="892" t="s">
        <v>218</v>
      </c>
      <c r="C96" s="893">
        <f t="shared" si="15"/>
        <v>2013</v>
      </c>
      <c r="D96" s="111">
        <v>34171499.724197805</v>
      </c>
      <c r="E96" s="65">
        <f>D96*'16-PlantAdditions'!$E$94</f>
        <v>2562862.4793148353</v>
      </c>
      <c r="F96" s="65">
        <f t="shared" si="13"/>
        <v>36734362.203512639</v>
      </c>
      <c r="G96" s="111">
        <v>123331050.76177707</v>
      </c>
      <c r="H96" s="111">
        <v>75601230.459277093</v>
      </c>
      <c r="I96" s="65">
        <f>(G96-H96)*'16-PlantAdditions'!$E$94</f>
        <v>3579736.5226874985</v>
      </c>
      <c r="J96" s="65">
        <f t="shared" si="14"/>
        <v>671250460.19018447</v>
      </c>
      <c r="K96" s="65">
        <f>J96-J85</f>
        <v>-388618293.0489589</v>
      </c>
    </row>
    <row r="97" spans="1:11" s="932" customFormat="1" x14ac:dyDescent="0.2">
      <c r="A97" s="811">
        <f t="shared" si="12"/>
        <v>64</v>
      </c>
      <c r="B97" s="892" t="s">
        <v>208</v>
      </c>
      <c r="C97" s="893">
        <f t="shared" si="15"/>
        <v>2013</v>
      </c>
      <c r="D97" s="111">
        <v>35934634.456805952</v>
      </c>
      <c r="E97" s="65">
        <f>D97*'16-PlantAdditions'!$E$94</f>
        <v>2695097.5842604465</v>
      </c>
      <c r="F97" s="65">
        <f t="shared" si="13"/>
        <v>38629732.041066401</v>
      </c>
      <c r="G97" s="111">
        <v>126878105.33211704</v>
      </c>
      <c r="H97" s="111">
        <v>58370100.448687054</v>
      </c>
      <c r="I97" s="65">
        <f>(G97-H97)*'16-PlantAdditions'!$E$94</f>
        <v>5138100.3662572475</v>
      </c>
      <c r="J97" s="65">
        <f t="shared" si="14"/>
        <v>577863986.53287661</v>
      </c>
      <c r="K97" s="65">
        <f>J97-J85</f>
        <v>-482004766.70626676</v>
      </c>
    </row>
    <row r="98" spans="1:11" s="932" customFormat="1" x14ac:dyDescent="0.2">
      <c r="A98" s="811">
        <f t="shared" si="12"/>
        <v>65</v>
      </c>
      <c r="B98" s="892" t="s">
        <v>209</v>
      </c>
      <c r="C98" s="893">
        <f>C97+1</f>
        <v>2014</v>
      </c>
      <c r="D98" s="111">
        <v>30393077.19791976</v>
      </c>
      <c r="E98" s="65">
        <f>D98*'16-PlantAdditions'!$E$94</f>
        <v>2279480.7898439821</v>
      </c>
      <c r="F98" s="65">
        <f t="shared" si="13"/>
        <v>32672557.98776374</v>
      </c>
      <c r="G98" s="111">
        <v>6999838.8812143458</v>
      </c>
      <c r="H98" s="111">
        <v>2226960.3212143453</v>
      </c>
      <c r="I98" s="65">
        <f>(G98-H98)*'16-PlantAdditions'!$E$94</f>
        <v>357965.89200000005</v>
      </c>
      <c r="J98" s="65">
        <f t="shared" si="14"/>
        <v>603178739.74742603</v>
      </c>
      <c r="K98" s="65">
        <f>J98-J85</f>
        <v>-456690013.49171734</v>
      </c>
    </row>
    <row r="99" spans="1:11" s="932" customFormat="1" x14ac:dyDescent="0.2">
      <c r="A99" s="811">
        <f t="shared" si="12"/>
        <v>66</v>
      </c>
      <c r="B99" s="895" t="s">
        <v>210</v>
      </c>
      <c r="C99" s="893">
        <f>C98</f>
        <v>2014</v>
      </c>
      <c r="D99" s="111">
        <v>26980741.268691931</v>
      </c>
      <c r="E99" s="65">
        <f>D99*'16-PlantAdditions'!$E$94</f>
        <v>2023555.5951518947</v>
      </c>
      <c r="F99" s="65">
        <f t="shared" si="13"/>
        <v>29004296.863843825</v>
      </c>
      <c r="G99" s="111">
        <v>4594240</v>
      </c>
      <c r="H99" s="111">
        <v>0</v>
      </c>
      <c r="I99" s="65">
        <f>(G99-H99)*'16-PlantAdditions'!$E$94</f>
        <v>344568</v>
      </c>
      <c r="J99" s="65">
        <f t="shared" si="14"/>
        <v>627244228.61126983</v>
      </c>
      <c r="K99" s="65">
        <f>J99-J85</f>
        <v>-432624524.62787354</v>
      </c>
    </row>
    <row r="100" spans="1:11" s="932" customFormat="1" x14ac:dyDescent="0.2">
      <c r="A100" s="811">
        <f t="shared" si="12"/>
        <v>67</v>
      </c>
      <c r="B100" s="895" t="s">
        <v>223</v>
      </c>
      <c r="C100" s="893">
        <f t="shared" ref="C100:C106" si="16">C99</f>
        <v>2014</v>
      </c>
      <c r="D100" s="111">
        <v>23888005.912266403</v>
      </c>
      <c r="E100" s="65">
        <f>D100*'16-PlantAdditions'!$E$94</f>
        <v>1791600.4434199801</v>
      </c>
      <c r="F100" s="65">
        <f t="shared" si="13"/>
        <v>25679606.355686385</v>
      </c>
      <c r="G100" s="111">
        <v>3448959.9999999995</v>
      </c>
      <c r="H100" s="111">
        <v>0</v>
      </c>
      <c r="I100" s="65">
        <f>(G100-H100)*'16-PlantAdditions'!$E$94</f>
        <v>258671.99999999994</v>
      </c>
      <c r="J100" s="65">
        <f t="shared" si="14"/>
        <v>649216202.96695626</v>
      </c>
      <c r="K100" s="65">
        <f>J100-J85</f>
        <v>-410652550.27218711</v>
      </c>
    </row>
    <row r="101" spans="1:11" s="932" customFormat="1" x14ac:dyDescent="0.2">
      <c r="A101" s="811">
        <f t="shared" si="12"/>
        <v>68</v>
      </c>
      <c r="B101" s="892" t="s">
        <v>211</v>
      </c>
      <c r="C101" s="893">
        <f t="shared" si="16"/>
        <v>2014</v>
      </c>
      <c r="D101" s="111">
        <v>21285410.998593569</v>
      </c>
      <c r="E101" s="65">
        <f>D101*'16-PlantAdditions'!$E$94</f>
        <v>1596405.8248945177</v>
      </c>
      <c r="F101" s="65">
        <f t="shared" si="13"/>
        <v>22881816.823488086</v>
      </c>
      <c r="G101" s="111">
        <v>25193673.690000001</v>
      </c>
      <c r="H101" s="111">
        <v>21636322.09</v>
      </c>
      <c r="I101" s="65">
        <f>(G101-H101)*'16-PlantAdditions'!$E$94</f>
        <v>266801.37000000011</v>
      </c>
      <c r="J101" s="65">
        <f t="shared" si="14"/>
        <v>646637544.73044431</v>
      </c>
      <c r="K101" s="65">
        <f>J101-J85</f>
        <v>-413231208.50869906</v>
      </c>
    </row>
    <row r="102" spans="1:11" s="932" customFormat="1" x14ac:dyDescent="0.2">
      <c r="A102" s="811">
        <f t="shared" si="12"/>
        <v>69</v>
      </c>
      <c r="B102" s="895" t="s">
        <v>212</v>
      </c>
      <c r="C102" s="893">
        <f t="shared" si="16"/>
        <v>2014</v>
      </c>
      <c r="D102" s="111">
        <v>19752396.069030609</v>
      </c>
      <c r="E102" s="65">
        <f>D102*'16-PlantAdditions'!$E$94</f>
        <v>1481429.7051772957</v>
      </c>
      <c r="F102" s="65">
        <f t="shared" si="13"/>
        <v>21233825.774207905</v>
      </c>
      <c r="G102" s="111">
        <v>23425165.415215448</v>
      </c>
      <c r="H102" s="111">
        <v>18363841.165215451</v>
      </c>
      <c r="I102" s="65">
        <f>(G102-H102)*'16-PlantAdditions'!$E$94</f>
        <v>379599.31874999969</v>
      </c>
      <c r="J102" s="65">
        <f t="shared" si="14"/>
        <v>644066605.77068675</v>
      </c>
      <c r="K102" s="65">
        <f>J102-J85</f>
        <v>-415802147.46845663</v>
      </c>
    </row>
    <row r="103" spans="1:11" s="932" customFormat="1" x14ac:dyDescent="0.2">
      <c r="A103" s="811">
        <f t="shared" si="12"/>
        <v>70</v>
      </c>
      <c r="B103" s="895" t="s">
        <v>1877</v>
      </c>
      <c r="C103" s="893">
        <f t="shared" si="16"/>
        <v>2014</v>
      </c>
      <c r="D103" s="111">
        <v>13483213.453130081</v>
      </c>
      <c r="E103" s="65">
        <f>D103*'16-PlantAdditions'!$E$94</f>
        <v>1011241.0089847561</v>
      </c>
      <c r="F103" s="65">
        <f t="shared" si="13"/>
        <v>14494454.462114837</v>
      </c>
      <c r="G103" s="111">
        <v>1515720.36</v>
      </c>
      <c r="H103" s="111">
        <v>0</v>
      </c>
      <c r="I103" s="65">
        <f>(G103-H103)*'16-PlantAdditions'!$E$94</f>
        <v>113679.027</v>
      </c>
      <c r="J103" s="65">
        <f t="shared" si="14"/>
        <v>656931660.84580159</v>
      </c>
      <c r="K103" s="65">
        <f>J103-J85</f>
        <v>-402937092.39334178</v>
      </c>
    </row>
    <row r="104" spans="1:11" s="932" customFormat="1" x14ac:dyDescent="0.2">
      <c r="A104" s="811">
        <f t="shared" si="12"/>
        <v>71</v>
      </c>
      <c r="B104" s="892" t="s">
        <v>214</v>
      </c>
      <c r="C104" s="893">
        <f t="shared" si="16"/>
        <v>2014</v>
      </c>
      <c r="D104" s="111">
        <v>11469374.429515852</v>
      </c>
      <c r="E104" s="65">
        <f>D104*'16-PlantAdditions'!$E$94</f>
        <v>860203.08221368887</v>
      </c>
      <c r="F104" s="65">
        <f t="shared" si="13"/>
        <v>12329577.51172954</v>
      </c>
      <c r="G104" s="111">
        <v>905700</v>
      </c>
      <c r="H104" s="111">
        <v>0</v>
      </c>
      <c r="I104" s="65">
        <f>(G104-H104)*'16-PlantAdditions'!$E$94</f>
        <v>67927.5</v>
      </c>
      <c r="J104" s="65">
        <f t="shared" si="14"/>
        <v>668287610.85753119</v>
      </c>
      <c r="K104" s="65">
        <f>J104-J85</f>
        <v>-391581142.38161218</v>
      </c>
    </row>
    <row r="105" spans="1:11" s="932" customFormat="1" x14ac:dyDescent="0.2">
      <c r="A105" s="811">
        <f t="shared" si="12"/>
        <v>72</v>
      </c>
      <c r="B105" s="895" t="s">
        <v>215</v>
      </c>
      <c r="C105" s="893">
        <f t="shared" si="16"/>
        <v>2014</v>
      </c>
      <c r="D105" s="111">
        <v>14331528.800816199</v>
      </c>
      <c r="E105" s="65">
        <f>D105*'16-PlantAdditions'!$E$94</f>
        <v>1074864.6600612148</v>
      </c>
      <c r="F105" s="65">
        <f t="shared" si="13"/>
        <v>15406393.460877413</v>
      </c>
      <c r="G105" s="111">
        <v>917100</v>
      </c>
      <c r="H105" s="111">
        <v>0</v>
      </c>
      <c r="I105" s="65">
        <f>(G105-H105)*'16-PlantAdditions'!$E$94</f>
        <v>68782.5</v>
      </c>
      <c r="J105" s="65">
        <f t="shared" si="14"/>
        <v>682708121.81840861</v>
      </c>
      <c r="K105" s="65">
        <f>J105-J85</f>
        <v>-377160631.42073476</v>
      </c>
    </row>
    <row r="106" spans="1:11" s="932" customFormat="1" x14ac:dyDescent="0.2">
      <c r="A106" s="811">
        <f t="shared" si="12"/>
        <v>73</v>
      </c>
      <c r="B106" s="895" t="s">
        <v>216</v>
      </c>
      <c r="C106" s="893">
        <f t="shared" si="16"/>
        <v>2014</v>
      </c>
      <c r="D106" s="111">
        <v>9487886.6685224641</v>
      </c>
      <c r="E106" s="65">
        <f>D106*'16-PlantAdditions'!$E$94</f>
        <v>711591.50013918476</v>
      </c>
      <c r="F106" s="65">
        <f t="shared" si="13"/>
        <v>10199478.168661648</v>
      </c>
      <c r="G106" s="111">
        <v>918180.00000000012</v>
      </c>
      <c r="H106" s="111">
        <v>0</v>
      </c>
      <c r="I106" s="65">
        <f>(G106-H106)*'16-PlantAdditions'!$E$94</f>
        <v>68863.5</v>
      </c>
      <c r="J106" s="65">
        <f t="shared" si="14"/>
        <v>691920556.4870702</v>
      </c>
      <c r="K106" s="116">
        <f>J106-J85</f>
        <v>-367948196.75207317</v>
      </c>
    </row>
    <row r="107" spans="1:11" s="932" customFormat="1" x14ac:dyDescent="0.2">
      <c r="A107" s="811">
        <f>A106+1</f>
        <v>74</v>
      </c>
      <c r="B107"/>
      <c r="C107" s="931" t="s">
        <v>2084</v>
      </c>
      <c r="D107"/>
      <c r="E107"/>
      <c r="F107"/>
      <c r="G107"/>
      <c r="H107"/>
      <c r="I107"/>
      <c r="J107"/>
      <c r="K107" s="76">
        <f>AVERAGE(K94:K106)</f>
        <v>-397079410.34685886</v>
      </c>
    </row>
    <row r="108" spans="1:11" s="932" customFormat="1" x14ac:dyDescent="0.2">
      <c r="A108" s="811"/>
      <c r="B108"/>
      <c r="C108" s="931"/>
      <c r="D108"/>
      <c r="E108"/>
      <c r="F108"/>
      <c r="G108"/>
      <c r="H108"/>
      <c r="I108"/>
      <c r="J108"/>
      <c r="K108" s="76"/>
    </row>
    <row r="109" spans="1:11" s="932" customFormat="1" x14ac:dyDescent="0.2">
      <c r="B109" s="933" t="s">
        <v>2612</v>
      </c>
      <c r="D109" s="1195" t="s">
        <v>2613</v>
      </c>
      <c r="E109" s="1195"/>
    </row>
    <row r="110" spans="1:11" s="932" customFormat="1" x14ac:dyDescent="0.2">
      <c r="D110" s="934"/>
      <c r="E110" s="934"/>
      <c r="F110" s="934"/>
      <c r="G110" s="811" t="str">
        <f>G51</f>
        <v>Unloaded</v>
      </c>
      <c r="H110" s="934"/>
      <c r="I110" s="934"/>
    </row>
    <row r="111" spans="1:11" s="932" customFormat="1" x14ac:dyDescent="0.2">
      <c r="A111" s="929"/>
      <c r="B111" s="929"/>
      <c r="C111" s="929"/>
      <c r="D111" s="929" t="str">
        <f>D$52</f>
        <v>Forecast</v>
      </c>
      <c r="E111" s="929" t="str">
        <f t="shared" ref="E111:J111" si="17">E$52</f>
        <v>Corporate</v>
      </c>
      <c r="F111" s="929" t="str">
        <f t="shared" si="17"/>
        <v xml:space="preserve">Total </v>
      </c>
      <c r="G111" s="811" t="str">
        <f t="shared" ref="G111:G112" si="18">G52</f>
        <v>Total</v>
      </c>
      <c r="H111" s="929" t="str">
        <f t="shared" si="17"/>
        <v>Prior Period</v>
      </c>
      <c r="I111" s="929" t="str">
        <f t="shared" si="17"/>
        <v>Over Heads</v>
      </c>
      <c r="J111" s="929" t="str">
        <f t="shared" si="17"/>
        <v>Forecast</v>
      </c>
      <c r="K111" s="811" t="str">
        <f>K$52</f>
        <v>Forecast Period</v>
      </c>
    </row>
    <row r="112" spans="1:11" s="932" customFormat="1" x14ac:dyDescent="0.2">
      <c r="A112" s="53" t="s">
        <v>369</v>
      </c>
      <c r="B112" s="891" t="s">
        <v>220</v>
      </c>
      <c r="C112" s="891" t="s">
        <v>221</v>
      </c>
      <c r="D112" s="927" t="str">
        <f>D$53</f>
        <v>Expenditures</v>
      </c>
      <c r="E112" s="927" t="str">
        <f t="shared" ref="E112:J112" si="19">E$53</f>
        <v>Overheads</v>
      </c>
      <c r="F112" s="927" t="str">
        <f t="shared" si="19"/>
        <v>CWIP Exp</v>
      </c>
      <c r="G112" s="3" t="str">
        <f t="shared" si="18"/>
        <v>Plant Adds</v>
      </c>
      <c r="H112" s="927" t="str">
        <f t="shared" si="19"/>
        <v>CWIP Closed</v>
      </c>
      <c r="I112" s="927" t="str">
        <f t="shared" si="19"/>
        <v>Closed to PIS</v>
      </c>
      <c r="J112" s="927" t="str">
        <f t="shared" si="19"/>
        <v>Period CWIP</v>
      </c>
      <c r="K112" s="927" t="str">
        <f>K$53</f>
        <v>Incremental CWIP</v>
      </c>
    </row>
    <row r="113" spans="1:11" s="932" customFormat="1" x14ac:dyDescent="0.2">
      <c r="A113" s="811">
        <f>A107+1</f>
        <v>75</v>
      </c>
      <c r="B113" s="892" t="s">
        <v>208</v>
      </c>
      <c r="C113" s="893">
        <v>2012</v>
      </c>
      <c r="D113" s="936" t="s">
        <v>86</v>
      </c>
      <c r="E113" s="936" t="s">
        <v>86</v>
      </c>
      <c r="F113" s="936" t="s">
        <v>86</v>
      </c>
      <c r="G113" s="936" t="s">
        <v>86</v>
      </c>
      <c r="H113" s="936" t="s">
        <v>86</v>
      </c>
      <c r="I113" s="936" t="s">
        <v>86</v>
      </c>
      <c r="J113" s="65">
        <f>F25</f>
        <v>151361046.07106277</v>
      </c>
      <c r="K113" s="936" t="s">
        <v>86</v>
      </c>
    </row>
    <row r="114" spans="1:11" s="932" customFormat="1" x14ac:dyDescent="0.2">
      <c r="A114" s="811">
        <f>A113+1</f>
        <v>76</v>
      </c>
      <c r="B114" s="892" t="s">
        <v>209</v>
      </c>
      <c r="C114" s="893">
        <f>C113+1</f>
        <v>2013</v>
      </c>
      <c r="D114" s="111">
        <v>12727726</v>
      </c>
      <c r="E114" s="65">
        <f>D114*'16-PlantAdditions'!$E$94</f>
        <v>954579.45</v>
      </c>
      <c r="F114" s="65">
        <f>E114+D114</f>
        <v>13682305.449999999</v>
      </c>
      <c r="G114" s="111">
        <v>0</v>
      </c>
      <c r="H114" s="111">
        <v>0</v>
      </c>
      <c r="I114" s="65">
        <f>(G114-H114)*'16-PlantAdditions'!$E$94</f>
        <v>0</v>
      </c>
      <c r="J114" s="65">
        <f>J113+F114-G114-I114</f>
        <v>165043351.52106276</v>
      </c>
      <c r="K114" s="65">
        <f>J114-J113</f>
        <v>13682305.449999988</v>
      </c>
    </row>
    <row r="115" spans="1:11" s="932" customFormat="1" x14ac:dyDescent="0.2">
      <c r="A115" s="811">
        <f t="shared" ref="A115:A134" si="20">A114+1</f>
        <v>77</v>
      </c>
      <c r="B115" s="895" t="s">
        <v>210</v>
      </c>
      <c r="C115" s="893">
        <f>C114</f>
        <v>2013</v>
      </c>
      <c r="D115" s="111">
        <v>15697666.83</v>
      </c>
      <c r="E115" s="65">
        <f>D115*'16-PlantAdditions'!$E$94</f>
        <v>1177325.0122499999</v>
      </c>
      <c r="F115" s="65">
        <f t="shared" ref="F115:F134" si="21">E115+D115</f>
        <v>16874991.842250001</v>
      </c>
      <c r="G115" s="111">
        <v>0</v>
      </c>
      <c r="H115" s="111">
        <v>0</v>
      </c>
      <c r="I115" s="65">
        <f>(G115-H115)*'16-PlantAdditions'!$E$94</f>
        <v>0</v>
      </c>
      <c r="J115" s="65">
        <f t="shared" ref="J115:J134" si="22">J114+F115-G115-I115</f>
        <v>181918343.36331275</v>
      </c>
      <c r="K115" s="65">
        <f>J115-J113</f>
        <v>30557297.292249978</v>
      </c>
    </row>
    <row r="116" spans="1:11" s="932" customFormat="1" x14ac:dyDescent="0.2">
      <c r="A116" s="811">
        <f t="shared" si="20"/>
        <v>78</v>
      </c>
      <c r="B116" s="895" t="s">
        <v>223</v>
      </c>
      <c r="C116" s="893">
        <f t="shared" ref="C116:C125" si="23">C115</f>
        <v>2013</v>
      </c>
      <c r="D116" s="111">
        <v>33895949.000000007</v>
      </c>
      <c r="E116" s="65">
        <f>D116*'16-PlantAdditions'!$E$94</f>
        <v>2542196.1750000003</v>
      </c>
      <c r="F116" s="65">
        <f t="shared" si="21"/>
        <v>36438145.175000004</v>
      </c>
      <c r="G116" s="111">
        <v>0</v>
      </c>
      <c r="H116" s="111">
        <v>0</v>
      </c>
      <c r="I116" s="65">
        <f>(G116-H116)*'16-PlantAdditions'!$E$94</f>
        <v>0</v>
      </c>
      <c r="J116" s="65">
        <f t="shared" si="22"/>
        <v>218356488.53831276</v>
      </c>
      <c r="K116" s="65">
        <f>J116-J113</f>
        <v>66995442.46724999</v>
      </c>
    </row>
    <row r="117" spans="1:11" s="932" customFormat="1" x14ac:dyDescent="0.2">
      <c r="A117" s="811">
        <f t="shared" si="20"/>
        <v>79</v>
      </c>
      <c r="B117" s="892" t="s">
        <v>211</v>
      </c>
      <c r="C117" s="893">
        <f t="shared" si="23"/>
        <v>2013</v>
      </c>
      <c r="D117" s="111">
        <v>23143882.68</v>
      </c>
      <c r="E117" s="65">
        <f>D117*'16-PlantAdditions'!$E$94</f>
        <v>1735791.2009999999</v>
      </c>
      <c r="F117" s="65">
        <f t="shared" si="21"/>
        <v>24879673.881000001</v>
      </c>
      <c r="G117" s="111">
        <v>0</v>
      </c>
      <c r="H117" s="111">
        <v>0</v>
      </c>
      <c r="I117" s="65">
        <f>(G117-H117)*'16-PlantAdditions'!$E$94</f>
        <v>0</v>
      </c>
      <c r="J117" s="65">
        <f t="shared" si="22"/>
        <v>243236162.41931278</v>
      </c>
      <c r="K117" s="65">
        <f>J117-J113</f>
        <v>91875116.348250002</v>
      </c>
    </row>
    <row r="118" spans="1:11" s="932" customFormat="1" x14ac:dyDescent="0.2">
      <c r="A118" s="811">
        <f t="shared" si="20"/>
        <v>80</v>
      </c>
      <c r="B118" s="895" t="s">
        <v>212</v>
      </c>
      <c r="C118" s="893">
        <f t="shared" si="23"/>
        <v>2013</v>
      </c>
      <c r="D118" s="111">
        <v>39699102.119999997</v>
      </c>
      <c r="E118" s="65">
        <f>D118*'16-PlantAdditions'!$E$94</f>
        <v>2977432.6589999995</v>
      </c>
      <c r="F118" s="65">
        <f t="shared" si="21"/>
        <v>42676534.778999999</v>
      </c>
      <c r="G118" s="111">
        <v>0</v>
      </c>
      <c r="H118" s="111">
        <v>0</v>
      </c>
      <c r="I118" s="65">
        <f>(G118-H118)*'16-PlantAdditions'!$E$94</f>
        <v>0</v>
      </c>
      <c r="J118" s="65">
        <f t="shared" si="22"/>
        <v>285912697.19831276</v>
      </c>
      <c r="K118" s="65">
        <f>J118-J113</f>
        <v>134551651.12724999</v>
      </c>
    </row>
    <row r="119" spans="1:11" s="932" customFormat="1" x14ac:dyDescent="0.2">
      <c r="A119" s="811">
        <f t="shared" si="20"/>
        <v>81</v>
      </c>
      <c r="B119" s="895" t="s">
        <v>1877</v>
      </c>
      <c r="C119" s="893">
        <f t="shared" si="23"/>
        <v>2013</v>
      </c>
      <c r="D119" s="111">
        <v>25935334.629999999</v>
      </c>
      <c r="E119" s="65">
        <f>D119*'16-PlantAdditions'!$E$94</f>
        <v>1945150.0972499999</v>
      </c>
      <c r="F119" s="65">
        <f t="shared" si="21"/>
        <v>27880484.727249999</v>
      </c>
      <c r="G119" s="111">
        <v>0</v>
      </c>
      <c r="H119" s="111">
        <v>0</v>
      </c>
      <c r="I119" s="65">
        <f>(G119-H119)*'16-PlantAdditions'!$E$94</f>
        <v>0</v>
      </c>
      <c r="J119" s="65">
        <f t="shared" si="22"/>
        <v>313793181.92556274</v>
      </c>
      <c r="K119" s="65">
        <f>J119-J113</f>
        <v>162432135.85449997</v>
      </c>
    </row>
    <row r="120" spans="1:11" s="932" customFormat="1" x14ac:dyDescent="0.2">
      <c r="A120" s="811">
        <f t="shared" si="20"/>
        <v>82</v>
      </c>
      <c r="B120" s="892" t="s">
        <v>214</v>
      </c>
      <c r="C120" s="893">
        <f t="shared" si="23"/>
        <v>2013</v>
      </c>
      <c r="D120" s="111">
        <v>20354180.280000001</v>
      </c>
      <c r="E120" s="65">
        <f>D120*'16-PlantAdditions'!$E$94</f>
        <v>1526563.5209999999</v>
      </c>
      <c r="F120" s="65">
        <f t="shared" si="21"/>
        <v>21880743.801000003</v>
      </c>
      <c r="G120" s="111">
        <v>0</v>
      </c>
      <c r="H120" s="111">
        <v>0</v>
      </c>
      <c r="I120" s="65">
        <f>(G120-H120)*'16-PlantAdditions'!$E$94</f>
        <v>0</v>
      </c>
      <c r="J120" s="65">
        <f t="shared" si="22"/>
        <v>335673925.72656274</v>
      </c>
      <c r="K120" s="65">
        <f>J120-J113</f>
        <v>184312879.65549996</v>
      </c>
    </row>
    <row r="121" spans="1:11" s="932" customFormat="1" x14ac:dyDescent="0.2">
      <c r="A121" s="811">
        <f t="shared" si="20"/>
        <v>83</v>
      </c>
      <c r="B121" s="895" t="s">
        <v>215</v>
      </c>
      <c r="C121" s="893">
        <f t="shared" si="23"/>
        <v>2013</v>
      </c>
      <c r="D121" s="111">
        <v>48046982.239999995</v>
      </c>
      <c r="E121" s="65">
        <f>D121*'16-PlantAdditions'!$E$94</f>
        <v>3603523.6679999996</v>
      </c>
      <c r="F121" s="65">
        <f t="shared" si="21"/>
        <v>51650505.907999992</v>
      </c>
      <c r="G121" s="111">
        <v>0</v>
      </c>
      <c r="H121" s="111">
        <v>0</v>
      </c>
      <c r="I121" s="65">
        <f>(G121-H121)*'16-PlantAdditions'!$E$94</f>
        <v>0</v>
      </c>
      <c r="J121" s="65">
        <f t="shared" si="22"/>
        <v>387324431.63456273</v>
      </c>
      <c r="K121" s="65">
        <f>J121-J113</f>
        <v>235963385.56349996</v>
      </c>
    </row>
    <row r="122" spans="1:11" s="932" customFormat="1" x14ac:dyDescent="0.2">
      <c r="A122" s="811">
        <f t="shared" si="20"/>
        <v>84</v>
      </c>
      <c r="B122" s="895" t="s">
        <v>216</v>
      </c>
      <c r="C122" s="893">
        <f t="shared" si="23"/>
        <v>2013</v>
      </c>
      <c r="D122" s="111">
        <v>47617833.07</v>
      </c>
      <c r="E122" s="65">
        <f>D122*'16-PlantAdditions'!$E$94</f>
        <v>3571337.48025</v>
      </c>
      <c r="F122" s="65">
        <f t="shared" si="21"/>
        <v>51189170.550250001</v>
      </c>
      <c r="G122" s="111">
        <v>0</v>
      </c>
      <c r="H122" s="111">
        <v>0</v>
      </c>
      <c r="I122" s="65">
        <f>(G122-H122)*'16-PlantAdditions'!$E$94</f>
        <v>0</v>
      </c>
      <c r="J122" s="65">
        <f t="shared" si="22"/>
        <v>438513602.18481272</v>
      </c>
      <c r="K122" s="65">
        <f>J122-J113</f>
        <v>287152556.11374998</v>
      </c>
    </row>
    <row r="123" spans="1:11" s="932" customFormat="1" x14ac:dyDescent="0.2">
      <c r="A123" s="811">
        <f t="shared" si="20"/>
        <v>85</v>
      </c>
      <c r="B123" s="892" t="s">
        <v>219</v>
      </c>
      <c r="C123" s="893">
        <f t="shared" si="23"/>
        <v>2013</v>
      </c>
      <c r="D123" s="111">
        <v>45631783.340000004</v>
      </c>
      <c r="E123" s="65">
        <f>D123*'16-PlantAdditions'!$E$94</f>
        <v>3422383.7505000001</v>
      </c>
      <c r="F123" s="65">
        <f t="shared" si="21"/>
        <v>49054167.090500005</v>
      </c>
      <c r="G123" s="111">
        <v>0</v>
      </c>
      <c r="H123" s="111">
        <v>0</v>
      </c>
      <c r="I123" s="65">
        <f>(G123-H123)*'16-PlantAdditions'!$E$94</f>
        <v>0</v>
      </c>
      <c r="J123" s="65">
        <f t="shared" si="22"/>
        <v>487567769.27531272</v>
      </c>
      <c r="K123" s="65">
        <f>J123-J113</f>
        <v>336206723.20424998</v>
      </c>
    </row>
    <row r="124" spans="1:11" s="932" customFormat="1" x14ac:dyDescent="0.2">
      <c r="A124" s="811">
        <f t="shared" si="20"/>
        <v>86</v>
      </c>
      <c r="B124" s="892" t="s">
        <v>218</v>
      </c>
      <c r="C124" s="893">
        <f t="shared" si="23"/>
        <v>2013</v>
      </c>
      <c r="D124" s="111">
        <v>38653730.720000006</v>
      </c>
      <c r="E124" s="65">
        <f>D124*'16-PlantAdditions'!$E$94</f>
        <v>2899029.8040000005</v>
      </c>
      <c r="F124" s="65">
        <f t="shared" si="21"/>
        <v>41552760.524000004</v>
      </c>
      <c r="G124" s="111">
        <v>0</v>
      </c>
      <c r="H124" s="111">
        <v>0</v>
      </c>
      <c r="I124" s="65">
        <f>(G124-H124)*'16-PlantAdditions'!$E$94</f>
        <v>0</v>
      </c>
      <c r="J124" s="65">
        <f t="shared" si="22"/>
        <v>529120529.79931271</v>
      </c>
      <c r="K124" s="65">
        <f>J124-J113</f>
        <v>377759483.72824991</v>
      </c>
    </row>
    <row r="125" spans="1:11" s="932" customFormat="1" x14ac:dyDescent="0.2">
      <c r="A125" s="811">
        <f t="shared" si="20"/>
        <v>87</v>
      </c>
      <c r="B125" s="892" t="s">
        <v>208</v>
      </c>
      <c r="C125" s="893">
        <f t="shared" si="23"/>
        <v>2013</v>
      </c>
      <c r="D125" s="111">
        <v>42672753.549999997</v>
      </c>
      <c r="E125" s="65">
        <f>D125*'16-PlantAdditions'!$E$94</f>
        <v>3200456.5162499999</v>
      </c>
      <c r="F125" s="65">
        <f t="shared" si="21"/>
        <v>45873210.066249996</v>
      </c>
      <c r="G125" s="111">
        <v>0</v>
      </c>
      <c r="H125" s="111">
        <v>0</v>
      </c>
      <c r="I125" s="65">
        <f>(G125-H125)*'16-PlantAdditions'!$E$94</f>
        <v>0</v>
      </c>
      <c r="J125" s="65">
        <f t="shared" si="22"/>
        <v>574993739.86556268</v>
      </c>
      <c r="K125" s="65">
        <f>J125-J113</f>
        <v>423632693.79449987</v>
      </c>
    </row>
    <row r="126" spans="1:11" s="932" customFormat="1" x14ac:dyDescent="0.2">
      <c r="A126" s="811">
        <f t="shared" si="20"/>
        <v>88</v>
      </c>
      <c r="B126" s="892" t="s">
        <v>209</v>
      </c>
      <c r="C126" s="893">
        <f>C125+1</f>
        <v>2014</v>
      </c>
      <c r="D126" s="111">
        <v>44852127.799999997</v>
      </c>
      <c r="E126" s="65">
        <f>D126*'16-PlantAdditions'!$E$94</f>
        <v>3363909.5849999995</v>
      </c>
      <c r="F126" s="65">
        <f t="shared" si="21"/>
        <v>48216037.384999998</v>
      </c>
      <c r="G126" s="111">
        <v>0</v>
      </c>
      <c r="H126" s="111">
        <v>0</v>
      </c>
      <c r="I126" s="65">
        <f>(G126-H126)*'16-PlantAdditions'!$E$94</f>
        <v>0</v>
      </c>
      <c r="J126" s="65">
        <f t="shared" si="22"/>
        <v>623209777.25056267</v>
      </c>
      <c r="K126" s="65">
        <f>J126-J113</f>
        <v>471848731.17949986</v>
      </c>
    </row>
    <row r="127" spans="1:11" s="932" customFormat="1" x14ac:dyDescent="0.2">
      <c r="A127" s="811">
        <f t="shared" si="20"/>
        <v>89</v>
      </c>
      <c r="B127" s="895" t="s">
        <v>210</v>
      </c>
      <c r="C127" s="893">
        <f>C126</f>
        <v>2014</v>
      </c>
      <c r="D127" s="111">
        <v>33461390.600000005</v>
      </c>
      <c r="E127" s="65">
        <f>D127*'16-PlantAdditions'!$E$94</f>
        <v>2509604.2950000004</v>
      </c>
      <c r="F127" s="65">
        <f t="shared" si="21"/>
        <v>35970994.895000003</v>
      </c>
      <c r="G127" s="111">
        <v>0</v>
      </c>
      <c r="H127" s="111">
        <v>0</v>
      </c>
      <c r="I127" s="65">
        <f>(G127-H127)*'16-PlantAdditions'!$E$94</f>
        <v>0</v>
      </c>
      <c r="J127" s="65">
        <f t="shared" si="22"/>
        <v>659180772.14556265</v>
      </c>
      <c r="K127" s="65">
        <f>J127-J113</f>
        <v>507819726.07449985</v>
      </c>
    </row>
    <row r="128" spans="1:11" s="932" customFormat="1" x14ac:dyDescent="0.2">
      <c r="A128" s="811">
        <f t="shared" si="20"/>
        <v>90</v>
      </c>
      <c r="B128" s="895" t="s">
        <v>223</v>
      </c>
      <c r="C128" s="893">
        <f t="shared" ref="C128:C134" si="24">C127</f>
        <v>2014</v>
      </c>
      <c r="D128" s="111">
        <v>30998758.279999997</v>
      </c>
      <c r="E128" s="65">
        <f>D128*'16-PlantAdditions'!$E$94</f>
        <v>2324906.8709999998</v>
      </c>
      <c r="F128" s="65">
        <f t="shared" si="21"/>
        <v>33323665.150999997</v>
      </c>
      <c r="G128" s="111">
        <v>0</v>
      </c>
      <c r="H128" s="111">
        <v>0</v>
      </c>
      <c r="I128" s="65">
        <f>(G128-H128)*'16-PlantAdditions'!$E$94</f>
        <v>0</v>
      </c>
      <c r="J128" s="65">
        <f t="shared" si="22"/>
        <v>692504437.29656267</v>
      </c>
      <c r="K128" s="65">
        <f>J128-J113</f>
        <v>541143391.22549987</v>
      </c>
    </row>
    <row r="129" spans="1:11" s="932" customFormat="1" x14ac:dyDescent="0.2">
      <c r="A129" s="811">
        <f t="shared" si="20"/>
        <v>91</v>
      </c>
      <c r="B129" s="892" t="s">
        <v>211</v>
      </c>
      <c r="C129" s="893">
        <f t="shared" si="24"/>
        <v>2014</v>
      </c>
      <c r="D129" s="111">
        <v>27307546.199999999</v>
      </c>
      <c r="E129" s="65">
        <f>D129*'16-PlantAdditions'!$E$94</f>
        <v>2048065.9649999999</v>
      </c>
      <c r="F129" s="65">
        <f t="shared" si="21"/>
        <v>29355612.164999999</v>
      </c>
      <c r="G129" s="111">
        <v>0</v>
      </c>
      <c r="H129" s="111">
        <v>0</v>
      </c>
      <c r="I129" s="65">
        <f>(G129-H129)*'16-PlantAdditions'!$E$94</f>
        <v>0</v>
      </c>
      <c r="J129" s="65">
        <f t="shared" si="22"/>
        <v>721860049.46156263</v>
      </c>
      <c r="K129" s="65">
        <f>J129-J113</f>
        <v>570499003.39049983</v>
      </c>
    </row>
    <row r="130" spans="1:11" s="932" customFormat="1" x14ac:dyDescent="0.2">
      <c r="A130" s="811">
        <f t="shared" si="20"/>
        <v>92</v>
      </c>
      <c r="B130" s="895" t="s">
        <v>212</v>
      </c>
      <c r="C130" s="893">
        <f t="shared" si="24"/>
        <v>2014</v>
      </c>
      <c r="D130" s="111">
        <v>26738779.25</v>
      </c>
      <c r="E130" s="65">
        <f>D130*'16-PlantAdditions'!$E$94</f>
        <v>2005408.4437499999</v>
      </c>
      <c r="F130" s="65">
        <f t="shared" si="21"/>
        <v>28744187.693750001</v>
      </c>
      <c r="G130" s="111">
        <v>0</v>
      </c>
      <c r="H130" s="111">
        <v>0</v>
      </c>
      <c r="I130" s="65">
        <f>(G130-H130)*'16-PlantAdditions'!$E$94</f>
        <v>0</v>
      </c>
      <c r="J130" s="65">
        <f t="shared" si="22"/>
        <v>750604237.15531266</v>
      </c>
      <c r="K130" s="65">
        <f>J130-J113</f>
        <v>599243191.08424985</v>
      </c>
    </row>
    <row r="131" spans="1:11" s="932" customFormat="1" x14ac:dyDescent="0.2">
      <c r="A131" s="811">
        <f t="shared" si="20"/>
        <v>93</v>
      </c>
      <c r="B131" s="895" t="s">
        <v>1877</v>
      </c>
      <c r="C131" s="893">
        <f t="shared" si="24"/>
        <v>2014</v>
      </c>
      <c r="D131" s="111">
        <v>22649438.199999996</v>
      </c>
      <c r="E131" s="65">
        <f>D131*'16-PlantAdditions'!$E$94</f>
        <v>1698707.8649999995</v>
      </c>
      <c r="F131" s="65">
        <f t="shared" si="21"/>
        <v>24348146.064999994</v>
      </c>
      <c r="G131" s="111">
        <v>0</v>
      </c>
      <c r="H131" s="111">
        <v>0</v>
      </c>
      <c r="I131" s="65">
        <f>(G131-H131)*'16-PlantAdditions'!$E$94</f>
        <v>0</v>
      </c>
      <c r="J131" s="65">
        <f t="shared" si="22"/>
        <v>774952383.2203126</v>
      </c>
      <c r="K131" s="65">
        <f>J131-J113</f>
        <v>623591337.14924979</v>
      </c>
    </row>
    <row r="132" spans="1:11" s="932" customFormat="1" x14ac:dyDescent="0.2">
      <c r="A132" s="811">
        <f t="shared" si="20"/>
        <v>94</v>
      </c>
      <c r="B132" s="892" t="s">
        <v>214</v>
      </c>
      <c r="C132" s="893">
        <f t="shared" si="24"/>
        <v>2014</v>
      </c>
      <c r="D132" s="111">
        <v>21083890.010000002</v>
      </c>
      <c r="E132" s="65">
        <f>D132*'16-PlantAdditions'!$E$94</f>
        <v>1581291.7507500001</v>
      </c>
      <c r="F132" s="65">
        <f t="shared" si="21"/>
        <v>22665181.760750003</v>
      </c>
      <c r="G132" s="111">
        <v>0</v>
      </c>
      <c r="H132" s="111">
        <v>0</v>
      </c>
      <c r="I132" s="65">
        <f>(G132-H132)*'16-PlantAdditions'!$E$94</f>
        <v>0</v>
      </c>
      <c r="J132" s="65">
        <f t="shared" si="22"/>
        <v>797617564.98106265</v>
      </c>
      <c r="K132" s="65">
        <f>J132-J113</f>
        <v>646256518.90999985</v>
      </c>
    </row>
    <row r="133" spans="1:11" s="932" customFormat="1" x14ac:dyDescent="0.2">
      <c r="A133" s="811">
        <f t="shared" si="20"/>
        <v>95</v>
      </c>
      <c r="B133" s="895" t="s">
        <v>215</v>
      </c>
      <c r="C133" s="893">
        <f t="shared" si="24"/>
        <v>2014</v>
      </c>
      <c r="D133" s="111">
        <v>14770750.250000002</v>
      </c>
      <c r="E133" s="65">
        <f>D133*'16-PlantAdditions'!$E$94</f>
        <v>1107806.26875</v>
      </c>
      <c r="F133" s="65">
        <f t="shared" si="21"/>
        <v>15878556.518750003</v>
      </c>
      <c r="G133" s="111">
        <v>0</v>
      </c>
      <c r="H133" s="111">
        <v>0</v>
      </c>
      <c r="I133" s="65">
        <f>(G133-H133)*'16-PlantAdditions'!$E$94</f>
        <v>0</v>
      </c>
      <c r="J133" s="65">
        <f t="shared" si="22"/>
        <v>813496121.4998126</v>
      </c>
      <c r="K133" s="65">
        <f>J133-J113</f>
        <v>662135075.4287498</v>
      </c>
    </row>
    <row r="134" spans="1:11" s="932" customFormat="1" x14ac:dyDescent="0.2">
      <c r="A134" s="811">
        <f t="shared" si="20"/>
        <v>96</v>
      </c>
      <c r="B134" s="895" t="s">
        <v>216</v>
      </c>
      <c r="C134" s="893">
        <f t="shared" si="24"/>
        <v>2014</v>
      </c>
      <c r="D134" s="111">
        <v>12399567.349999998</v>
      </c>
      <c r="E134" s="65">
        <f>D134*'16-PlantAdditions'!$E$94</f>
        <v>929967.55124999979</v>
      </c>
      <c r="F134" s="65">
        <f t="shared" si="21"/>
        <v>13329534.901249997</v>
      </c>
      <c r="G134" s="111">
        <v>779700218.47106278</v>
      </c>
      <c r="H134" s="111">
        <v>151361046.07106274</v>
      </c>
      <c r="I134" s="65">
        <f>(G134-H134)*'16-PlantAdditions'!$E$94</f>
        <v>47125437.930000007</v>
      </c>
      <c r="J134" s="65">
        <f t="shared" si="22"/>
        <v>-1.7881393432617188E-7</v>
      </c>
      <c r="K134" s="116">
        <f>J134-J113</f>
        <v>-151361046.07106295</v>
      </c>
    </row>
    <row r="135" spans="1:11" s="932" customFormat="1" x14ac:dyDescent="0.2">
      <c r="A135" s="811">
        <f>A134+1</f>
        <v>97</v>
      </c>
      <c r="B135"/>
      <c r="C135" s="931" t="s">
        <v>2084</v>
      </c>
      <c r="D135"/>
      <c r="E135"/>
      <c r="F135"/>
      <c r="G135"/>
      <c r="H135"/>
      <c r="I135"/>
      <c r="J135"/>
      <c r="K135" s="76">
        <f>AVERAGE(K122:K134)</f>
        <v>453532875.78553355</v>
      </c>
    </row>
    <row r="136" spans="1:11" s="932" customFormat="1" x14ac:dyDescent="0.2">
      <c r="A136" s="811"/>
      <c r="B136"/>
      <c r="C136" s="931"/>
      <c r="D136"/>
      <c r="E136"/>
      <c r="F136"/>
      <c r="G136"/>
      <c r="H136"/>
      <c r="I136"/>
      <c r="J136"/>
      <c r="K136" s="76"/>
    </row>
    <row r="137" spans="1:11" s="932" customFormat="1" x14ac:dyDescent="0.2">
      <c r="B137" s="933" t="s">
        <v>2614</v>
      </c>
      <c r="D137" s="1195" t="s">
        <v>2615</v>
      </c>
      <c r="E137" s="1195"/>
    </row>
    <row r="138" spans="1:11" s="932" customFormat="1" x14ac:dyDescent="0.2">
      <c r="D138" s="934"/>
      <c r="E138" s="934"/>
      <c r="F138" s="934"/>
      <c r="G138" s="811" t="str">
        <f>G51</f>
        <v>Unloaded</v>
      </c>
      <c r="H138" s="934"/>
      <c r="I138" s="934"/>
    </row>
    <row r="139" spans="1:11" s="932" customFormat="1" x14ac:dyDescent="0.2">
      <c r="A139" s="929"/>
      <c r="B139" s="929"/>
      <c r="C139" s="929"/>
      <c r="D139" s="929" t="str">
        <f>D$52</f>
        <v>Forecast</v>
      </c>
      <c r="E139" s="929" t="str">
        <f t="shared" ref="E139:J139" si="25">E$52</f>
        <v>Corporate</v>
      </c>
      <c r="F139" s="929" t="str">
        <f t="shared" si="25"/>
        <v xml:space="preserve">Total </v>
      </c>
      <c r="G139" s="811" t="str">
        <f t="shared" ref="G139:G140" si="26">G52</f>
        <v>Total</v>
      </c>
      <c r="H139" s="929" t="str">
        <f t="shared" si="25"/>
        <v>Prior Period</v>
      </c>
      <c r="I139" s="929" t="str">
        <f t="shared" si="25"/>
        <v>Over Heads</v>
      </c>
      <c r="J139" s="929" t="str">
        <f t="shared" si="25"/>
        <v>Forecast</v>
      </c>
      <c r="K139" s="811" t="str">
        <f>K$52</f>
        <v>Forecast Period</v>
      </c>
    </row>
    <row r="140" spans="1:11" s="932" customFormat="1" x14ac:dyDescent="0.2">
      <c r="A140" s="53" t="s">
        <v>369</v>
      </c>
      <c r="B140" s="891" t="s">
        <v>220</v>
      </c>
      <c r="C140" s="891" t="s">
        <v>221</v>
      </c>
      <c r="D140" s="927" t="str">
        <f>D$53</f>
        <v>Expenditures</v>
      </c>
      <c r="E140" s="927" t="str">
        <f t="shared" ref="E140:J140" si="27">E$53</f>
        <v>Overheads</v>
      </c>
      <c r="F140" s="927" t="str">
        <f t="shared" si="27"/>
        <v>CWIP Exp</v>
      </c>
      <c r="G140" s="3" t="str">
        <f t="shared" si="26"/>
        <v>Plant Adds</v>
      </c>
      <c r="H140" s="927" t="str">
        <f t="shared" si="27"/>
        <v>CWIP Closed</v>
      </c>
      <c r="I140" s="927" t="str">
        <f t="shared" si="27"/>
        <v>Closed to PIS</v>
      </c>
      <c r="J140" s="927" t="str">
        <f t="shared" si="27"/>
        <v>Period CWIP</v>
      </c>
      <c r="K140" s="927" t="str">
        <f>K$53</f>
        <v>Incremental CWIP</v>
      </c>
    </row>
    <row r="141" spans="1:11" s="932" customFormat="1" x14ac:dyDescent="0.2">
      <c r="A141" s="811">
        <f>A135+1</f>
        <v>98</v>
      </c>
      <c r="B141" s="892" t="s">
        <v>208</v>
      </c>
      <c r="C141" s="893">
        <v>2012</v>
      </c>
      <c r="D141" s="936" t="s">
        <v>86</v>
      </c>
      <c r="E141" s="936" t="s">
        <v>86</v>
      </c>
      <c r="F141" s="936" t="s">
        <v>86</v>
      </c>
      <c r="G141" s="936" t="s">
        <v>86</v>
      </c>
      <c r="H141" s="936" t="s">
        <v>86</v>
      </c>
      <c r="I141" s="936" t="s">
        <v>86</v>
      </c>
      <c r="J141" s="65">
        <f>G25</f>
        <v>30843632.021137841</v>
      </c>
      <c r="K141" s="936" t="s">
        <v>86</v>
      </c>
    </row>
    <row r="142" spans="1:11" s="932" customFormat="1" x14ac:dyDescent="0.2">
      <c r="A142" s="811">
        <f>A141+1</f>
        <v>99</v>
      </c>
      <c r="B142" s="892" t="s">
        <v>209</v>
      </c>
      <c r="C142" s="893">
        <f>C141+1</f>
        <v>2013</v>
      </c>
      <c r="D142" s="715">
        <v>4799000</v>
      </c>
      <c r="E142" s="65">
        <f>D142*'16-PlantAdditions'!$E$94</f>
        <v>359925</v>
      </c>
      <c r="F142" s="65">
        <f>E142+D142</f>
        <v>5158925</v>
      </c>
      <c r="G142" s="111">
        <v>0</v>
      </c>
      <c r="H142" s="111">
        <v>0</v>
      </c>
      <c r="I142" s="65">
        <f>(G142-H142)*'16-PlantAdditions'!$E$94</f>
        <v>0</v>
      </c>
      <c r="J142" s="65">
        <f>J141+F142-G142-I142</f>
        <v>36002557.021137841</v>
      </c>
      <c r="K142" s="65">
        <f>J142-J141</f>
        <v>5158925</v>
      </c>
    </row>
    <row r="143" spans="1:11" s="932" customFormat="1" x14ac:dyDescent="0.2">
      <c r="A143" s="811">
        <f t="shared" ref="A143:A162" si="28">A142+1</f>
        <v>100</v>
      </c>
      <c r="B143" s="895" t="s">
        <v>210</v>
      </c>
      <c r="C143" s="893">
        <f>C142</f>
        <v>2013</v>
      </c>
      <c r="D143" s="715">
        <v>3260000</v>
      </c>
      <c r="E143" s="65">
        <f>D143*'16-PlantAdditions'!$E$94</f>
        <v>244500</v>
      </c>
      <c r="F143" s="65">
        <f t="shared" ref="F143:F162" si="29">E143+D143</f>
        <v>3504500</v>
      </c>
      <c r="G143" s="111">
        <v>0</v>
      </c>
      <c r="H143" s="111">
        <v>0</v>
      </c>
      <c r="I143" s="65">
        <f>(G143-H143)*'16-PlantAdditions'!$E$94</f>
        <v>0</v>
      </c>
      <c r="J143" s="65">
        <f t="shared" ref="J143:J162" si="30">J142+F143-G143-I143</f>
        <v>39507057.021137841</v>
      </c>
      <c r="K143" s="65">
        <f>J143-J141</f>
        <v>8663425</v>
      </c>
    </row>
    <row r="144" spans="1:11" s="932" customFormat="1" x14ac:dyDescent="0.2">
      <c r="A144" s="811">
        <f t="shared" si="28"/>
        <v>101</v>
      </c>
      <c r="B144" s="895" t="s">
        <v>223</v>
      </c>
      <c r="C144" s="893">
        <f t="shared" ref="C144:C153" si="31">C143</f>
        <v>2013</v>
      </c>
      <c r="D144" s="715">
        <v>4139000</v>
      </c>
      <c r="E144" s="65">
        <f>D144*'16-PlantAdditions'!$E$94</f>
        <v>310425</v>
      </c>
      <c r="F144" s="65">
        <f t="shared" si="29"/>
        <v>4449425</v>
      </c>
      <c r="G144" s="111">
        <v>0</v>
      </c>
      <c r="H144" s="111">
        <v>0</v>
      </c>
      <c r="I144" s="65">
        <f>(G144-H144)*'16-PlantAdditions'!$E$94</f>
        <v>0</v>
      </c>
      <c r="J144" s="65">
        <f t="shared" si="30"/>
        <v>43956482.021137841</v>
      </c>
      <c r="K144" s="65">
        <f>J144-J141</f>
        <v>13112850</v>
      </c>
    </row>
    <row r="145" spans="1:11" s="932" customFormat="1" x14ac:dyDescent="0.2">
      <c r="A145" s="811">
        <f t="shared" si="28"/>
        <v>102</v>
      </c>
      <c r="B145" s="892" t="s">
        <v>211</v>
      </c>
      <c r="C145" s="893">
        <f t="shared" si="31"/>
        <v>2013</v>
      </c>
      <c r="D145" s="715">
        <v>6634000</v>
      </c>
      <c r="E145" s="65">
        <f>D145*'16-PlantAdditions'!$E$94</f>
        <v>497550</v>
      </c>
      <c r="F145" s="65">
        <f t="shared" si="29"/>
        <v>7131550</v>
      </c>
      <c r="G145" s="111">
        <v>0</v>
      </c>
      <c r="H145" s="111">
        <v>0</v>
      </c>
      <c r="I145" s="65">
        <f>(G145-H145)*'16-PlantAdditions'!$E$94</f>
        <v>0</v>
      </c>
      <c r="J145" s="65">
        <f t="shared" si="30"/>
        <v>51088032.021137841</v>
      </c>
      <c r="K145" s="65">
        <f>J145-J141</f>
        <v>20244400</v>
      </c>
    </row>
    <row r="146" spans="1:11" s="932" customFormat="1" x14ac:dyDescent="0.2">
      <c r="A146" s="811">
        <f t="shared" si="28"/>
        <v>103</v>
      </c>
      <c r="B146" s="895" t="s">
        <v>212</v>
      </c>
      <c r="C146" s="893">
        <f t="shared" si="31"/>
        <v>2013</v>
      </c>
      <c r="D146" s="715">
        <v>3107000</v>
      </c>
      <c r="E146" s="65">
        <f>D146*'16-PlantAdditions'!$E$94</f>
        <v>233025</v>
      </c>
      <c r="F146" s="65">
        <f t="shared" si="29"/>
        <v>3340025</v>
      </c>
      <c r="G146" s="111">
        <v>0</v>
      </c>
      <c r="H146" s="111">
        <v>0</v>
      </c>
      <c r="I146" s="65">
        <f>(G146-H146)*'16-PlantAdditions'!$E$94</f>
        <v>0</v>
      </c>
      <c r="J146" s="65">
        <f t="shared" si="30"/>
        <v>54428057.021137841</v>
      </c>
      <c r="K146" s="65">
        <f>J146-J141</f>
        <v>23584425</v>
      </c>
    </row>
    <row r="147" spans="1:11" s="932" customFormat="1" x14ac:dyDescent="0.2">
      <c r="A147" s="811">
        <f t="shared" si="28"/>
        <v>104</v>
      </c>
      <c r="B147" s="895" t="s">
        <v>1877</v>
      </c>
      <c r="C147" s="893">
        <f t="shared" si="31"/>
        <v>2013</v>
      </c>
      <c r="D147" s="715">
        <v>8604000</v>
      </c>
      <c r="E147" s="65">
        <f>D147*'16-PlantAdditions'!$E$94</f>
        <v>645300</v>
      </c>
      <c r="F147" s="65">
        <f t="shared" si="29"/>
        <v>9249300</v>
      </c>
      <c r="G147" s="111">
        <v>0</v>
      </c>
      <c r="H147" s="111">
        <v>0</v>
      </c>
      <c r="I147" s="65">
        <f>(G147-H147)*'16-PlantAdditions'!$E$94</f>
        <v>0</v>
      </c>
      <c r="J147" s="65">
        <f t="shared" si="30"/>
        <v>63677357.021137841</v>
      </c>
      <c r="K147" s="65">
        <f>J147-J141</f>
        <v>32833725</v>
      </c>
    </row>
    <row r="148" spans="1:11" s="932" customFormat="1" x14ac:dyDescent="0.2">
      <c r="A148" s="811">
        <f t="shared" si="28"/>
        <v>105</v>
      </c>
      <c r="B148" s="892" t="s">
        <v>214</v>
      </c>
      <c r="C148" s="893">
        <f t="shared" si="31"/>
        <v>2013</v>
      </c>
      <c r="D148" s="715">
        <v>11690000</v>
      </c>
      <c r="E148" s="65">
        <f>D148*'16-PlantAdditions'!$E$94</f>
        <v>876750</v>
      </c>
      <c r="F148" s="65">
        <f t="shared" si="29"/>
        <v>12566750</v>
      </c>
      <c r="G148" s="111">
        <v>0</v>
      </c>
      <c r="H148" s="111">
        <v>0</v>
      </c>
      <c r="I148" s="65">
        <f>(G148-H148)*'16-PlantAdditions'!$E$94</f>
        <v>0</v>
      </c>
      <c r="J148" s="65">
        <f t="shared" si="30"/>
        <v>76244107.021137834</v>
      </c>
      <c r="K148" s="65">
        <f>J148-J141</f>
        <v>45400474.999999993</v>
      </c>
    </row>
    <row r="149" spans="1:11" s="932" customFormat="1" x14ac:dyDescent="0.2">
      <c r="A149" s="811">
        <f t="shared" si="28"/>
        <v>106</v>
      </c>
      <c r="B149" s="895" t="s">
        <v>215</v>
      </c>
      <c r="C149" s="893">
        <f t="shared" si="31"/>
        <v>2013</v>
      </c>
      <c r="D149" s="715">
        <v>11988000</v>
      </c>
      <c r="E149" s="65">
        <f>D149*'16-PlantAdditions'!$E$94</f>
        <v>899100</v>
      </c>
      <c r="F149" s="65">
        <f t="shared" si="29"/>
        <v>12887100</v>
      </c>
      <c r="G149" s="111">
        <v>0</v>
      </c>
      <c r="H149" s="111">
        <v>0</v>
      </c>
      <c r="I149" s="65">
        <f>(G149-H149)*'16-PlantAdditions'!$E$94</f>
        <v>0</v>
      </c>
      <c r="J149" s="65">
        <f t="shared" si="30"/>
        <v>89131207.021137834</v>
      </c>
      <c r="K149" s="65">
        <f>J149-J141</f>
        <v>58287574.999999993</v>
      </c>
    </row>
    <row r="150" spans="1:11" s="932" customFormat="1" x14ac:dyDescent="0.2">
      <c r="A150" s="811">
        <f t="shared" si="28"/>
        <v>107</v>
      </c>
      <c r="B150" s="895" t="s">
        <v>216</v>
      </c>
      <c r="C150" s="893">
        <f t="shared" si="31"/>
        <v>2013</v>
      </c>
      <c r="D150" s="715">
        <v>14290000</v>
      </c>
      <c r="E150" s="65">
        <f>D150*'16-PlantAdditions'!$E$94</f>
        <v>1071750</v>
      </c>
      <c r="F150" s="65">
        <f t="shared" si="29"/>
        <v>15361750</v>
      </c>
      <c r="G150" s="111">
        <v>0</v>
      </c>
      <c r="H150" s="111">
        <v>0</v>
      </c>
      <c r="I150" s="65">
        <f>(G150-H150)*'16-PlantAdditions'!$E$94</f>
        <v>0</v>
      </c>
      <c r="J150" s="65">
        <f t="shared" si="30"/>
        <v>104492957.02113783</v>
      </c>
      <c r="K150" s="65">
        <f>J150-J141</f>
        <v>73649325</v>
      </c>
    </row>
    <row r="151" spans="1:11" s="932" customFormat="1" x14ac:dyDescent="0.2">
      <c r="A151" s="811">
        <f t="shared" si="28"/>
        <v>108</v>
      </c>
      <c r="B151" s="892" t="s">
        <v>219</v>
      </c>
      <c r="C151" s="893">
        <f t="shared" si="31"/>
        <v>2013</v>
      </c>
      <c r="D151" s="715">
        <v>15618000</v>
      </c>
      <c r="E151" s="65">
        <f>D151*'16-PlantAdditions'!$E$94</f>
        <v>1171350</v>
      </c>
      <c r="F151" s="65">
        <f t="shared" si="29"/>
        <v>16789350</v>
      </c>
      <c r="G151" s="111">
        <v>0</v>
      </c>
      <c r="H151" s="111">
        <v>0</v>
      </c>
      <c r="I151" s="65">
        <f>(G151-H151)*'16-PlantAdditions'!$E$94</f>
        <v>0</v>
      </c>
      <c r="J151" s="65">
        <f t="shared" si="30"/>
        <v>121282307.02113783</v>
      </c>
      <c r="K151" s="65">
        <f>J151-J141</f>
        <v>90438675</v>
      </c>
    </row>
    <row r="152" spans="1:11" s="932" customFormat="1" x14ac:dyDescent="0.2">
      <c r="A152" s="811">
        <f t="shared" si="28"/>
        <v>109</v>
      </c>
      <c r="B152" s="892" t="s">
        <v>218</v>
      </c>
      <c r="C152" s="893">
        <f t="shared" si="31"/>
        <v>2013</v>
      </c>
      <c r="D152" s="715">
        <v>20959000</v>
      </c>
      <c r="E152" s="65">
        <f>D152*'16-PlantAdditions'!$E$94</f>
        <v>1571925</v>
      </c>
      <c r="F152" s="65">
        <f t="shared" si="29"/>
        <v>22530925</v>
      </c>
      <c r="G152" s="111">
        <v>0</v>
      </c>
      <c r="H152" s="111">
        <v>0</v>
      </c>
      <c r="I152" s="65">
        <f>(G152-H152)*'16-PlantAdditions'!$E$94</f>
        <v>0</v>
      </c>
      <c r="J152" s="65">
        <f t="shared" si="30"/>
        <v>143813232.02113783</v>
      </c>
      <c r="K152" s="65">
        <f>J152-J141</f>
        <v>112969600</v>
      </c>
    </row>
    <row r="153" spans="1:11" s="932" customFormat="1" x14ac:dyDescent="0.2">
      <c r="A153" s="811">
        <f t="shared" si="28"/>
        <v>110</v>
      </c>
      <c r="B153" s="892" t="s">
        <v>208</v>
      </c>
      <c r="C153" s="893">
        <f t="shared" si="31"/>
        <v>2013</v>
      </c>
      <c r="D153" s="715">
        <v>14332000</v>
      </c>
      <c r="E153" s="65">
        <f>D153*'16-PlantAdditions'!$E$94</f>
        <v>1074900</v>
      </c>
      <c r="F153" s="65">
        <f t="shared" si="29"/>
        <v>15406900</v>
      </c>
      <c r="G153" s="111">
        <v>0</v>
      </c>
      <c r="H153" s="111">
        <v>0</v>
      </c>
      <c r="I153" s="65">
        <f>(G153-H153)*'16-PlantAdditions'!$E$94</f>
        <v>0</v>
      </c>
      <c r="J153" s="65">
        <f t="shared" si="30"/>
        <v>159220132.02113783</v>
      </c>
      <c r="K153" s="65">
        <f>J153-J141</f>
        <v>128376500</v>
      </c>
    </row>
    <row r="154" spans="1:11" s="932" customFormat="1" x14ac:dyDescent="0.2">
      <c r="A154" s="811">
        <f t="shared" si="28"/>
        <v>111</v>
      </c>
      <c r="B154" s="892" t="s">
        <v>209</v>
      </c>
      <c r="C154" s="893">
        <f>C153+1</f>
        <v>2014</v>
      </c>
      <c r="D154" s="715">
        <v>11141000</v>
      </c>
      <c r="E154" s="65">
        <f>D154*'16-PlantAdditions'!$E$94</f>
        <v>835575</v>
      </c>
      <c r="F154" s="65">
        <f t="shared" si="29"/>
        <v>11976575</v>
      </c>
      <c r="G154" s="111">
        <v>0</v>
      </c>
      <c r="H154" s="111">
        <v>0</v>
      </c>
      <c r="I154" s="65">
        <f>(G154-H154)*'16-PlantAdditions'!$E$94</f>
        <v>0</v>
      </c>
      <c r="J154" s="65">
        <f t="shared" si="30"/>
        <v>171196707.02113783</v>
      </c>
      <c r="K154" s="65">
        <f>J154-J141</f>
        <v>140353075</v>
      </c>
    </row>
    <row r="155" spans="1:11" s="932" customFormat="1" x14ac:dyDescent="0.2">
      <c r="A155" s="811">
        <f t="shared" si="28"/>
        <v>112</v>
      </c>
      <c r="B155" s="895" t="s">
        <v>210</v>
      </c>
      <c r="C155" s="893">
        <f>C154</f>
        <v>2014</v>
      </c>
      <c r="D155" s="715">
        <v>12353000</v>
      </c>
      <c r="E155" s="65">
        <f>D155*'16-PlantAdditions'!$E$94</f>
        <v>926475</v>
      </c>
      <c r="F155" s="65">
        <f t="shared" si="29"/>
        <v>13279475</v>
      </c>
      <c r="G155" s="111">
        <v>0</v>
      </c>
      <c r="H155" s="111">
        <v>0</v>
      </c>
      <c r="I155" s="65">
        <f>(G155-H155)*'16-PlantAdditions'!$E$94</f>
        <v>0</v>
      </c>
      <c r="J155" s="65">
        <f t="shared" si="30"/>
        <v>184476182.02113783</v>
      </c>
      <c r="K155" s="65">
        <f>J155-J141</f>
        <v>153632550</v>
      </c>
    </row>
    <row r="156" spans="1:11" s="932" customFormat="1" x14ac:dyDescent="0.2">
      <c r="A156" s="811">
        <f t="shared" si="28"/>
        <v>113</v>
      </c>
      <c r="B156" s="895" t="s">
        <v>223</v>
      </c>
      <c r="C156" s="893">
        <f t="shared" ref="C156:C162" si="32">C155</f>
        <v>2014</v>
      </c>
      <c r="D156" s="715">
        <v>13418000</v>
      </c>
      <c r="E156" s="65">
        <f>D156*'16-PlantAdditions'!$E$94</f>
        <v>1006350</v>
      </c>
      <c r="F156" s="65">
        <f t="shared" si="29"/>
        <v>14424350</v>
      </c>
      <c r="G156" s="111">
        <v>0</v>
      </c>
      <c r="H156" s="111">
        <v>0</v>
      </c>
      <c r="I156" s="65">
        <f>(G156-H156)*'16-PlantAdditions'!$E$94</f>
        <v>0</v>
      </c>
      <c r="J156" s="65">
        <f t="shared" si="30"/>
        <v>198900532.02113783</v>
      </c>
      <c r="K156" s="65">
        <f>J156-J141</f>
        <v>168056900</v>
      </c>
    </row>
    <row r="157" spans="1:11" s="932" customFormat="1" x14ac:dyDescent="0.2">
      <c r="A157" s="811">
        <f t="shared" si="28"/>
        <v>114</v>
      </c>
      <c r="B157" s="892" t="s">
        <v>211</v>
      </c>
      <c r="C157" s="893">
        <f t="shared" si="32"/>
        <v>2014</v>
      </c>
      <c r="D157" s="715">
        <v>11964000</v>
      </c>
      <c r="E157" s="65">
        <f>D157*'16-PlantAdditions'!$E$94</f>
        <v>897300</v>
      </c>
      <c r="F157" s="65">
        <f t="shared" si="29"/>
        <v>12861300</v>
      </c>
      <c r="G157" s="111">
        <v>0</v>
      </c>
      <c r="H157" s="111">
        <v>0</v>
      </c>
      <c r="I157" s="65">
        <f>(G157-H157)*'16-PlantAdditions'!$E$94</f>
        <v>0</v>
      </c>
      <c r="J157" s="65">
        <f t="shared" si="30"/>
        <v>211761832.02113783</v>
      </c>
      <c r="K157" s="65">
        <f>J157-J141</f>
        <v>180918200</v>
      </c>
    </row>
    <row r="158" spans="1:11" s="932" customFormat="1" x14ac:dyDescent="0.2">
      <c r="A158" s="811">
        <f t="shared" si="28"/>
        <v>115</v>
      </c>
      <c r="B158" s="895" t="s">
        <v>212</v>
      </c>
      <c r="C158" s="893">
        <f t="shared" si="32"/>
        <v>2014</v>
      </c>
      <c r="D158" s="715">
        <v>10963000</v>
      </c>
      <c r="E158" s="65">
        <f>D158*'16-PlantAdditions'!$E$94</f>
        <v>822225</v>
      </c>
      <c r="F158" s="65">
        <f t="shared" si="29"/>
        <v>11785225</v>
      </c>
      <c r="G158" s="111">
        <v>0</v>
      </c>
      <c r="H158" s="111">
        <v>0</v>
      </c>
      <c r="I158" s="65">
        <f>(G158-H158)*'16-PlantAdditions'!$E$94</f>
        <v>0</v>
      </c>
      <c r="J158" s="65">
        <f t="shared" si="30"/>
        <v>223547057.02113783</v>
      </c>
      <c r="K158" s="65">
        <f>J158-J141</f>
        <v>192703425</v>
      </c>
    </row>
    <row r="159" spans="1:11" s="932" customFormat="1" x14ac:dyDescent="0.2">
      <c r="A159" s="811">
        <f t="shared" si="28"/>
        <v>116</v>
      </c>
      <c r="B159" s="895" t="s">
        <v>1877</v>
      </c>
      <c r="C159" s="893">
        <f t="shared" si="32"/>
        <v>2014</v>
      </c>
      <c r="D159" s="715">
        <v>16460000</v>
      </c>
      <c r="E159" s="65">
        <f>D159*'16-PlantAdditions'!$E$94</f>
        <v>1234500</v>
      </c>
      <c r="F159" s="65">
        <f t="shared" si="29"/>
        <v>17694500</v>
      </c>
      <c r="G159" s="111">
        <v>0</v>
      </c>
      <c r="H159" s="111">
        <v>0</v>
      </c>
      <c r="I159" s="65">
        <f>(G159-H159)*'16-PlantAdditions'!$E$94</f>
        <v>0</v>
      </c>
      <c r="J159" s="65">
        <f t="shared" si="30"/>
        <v>241241557.02113783</v>
      </c>
      <c r="K159" s="65">
        <f>J159-J141</f>
        <v>210397925</v>
      </c>
    </row>
    <row r="160" spans="1:11" s="932" customFormat="1" x14ac:dyDescent="0.2">
      <c r="A160" s="811">
        <f t="shared" si="28"/>
        <v>117</v>
      </c>
      <c r="B160" s="892" t="s">
        <v>214</v>
      </c>
      <c r="C160" s="893">
        <f t="shared" si="32"/>
        <v>2014</v>
      </c>
      <c r="D160" s="715">
        <v>11673000</v>
      </c>
      <c r="E160" s="65">
        <f>D160*'16-PlantAdditions'!$E$94</f>
        <v>875475</v>
      </c>
      <c r="F160" s="65">
        <f t="shared" si="29"/>
        <v>12548475</v>
      </c>
      <c r="G160" s="111">
        <v>238235632.02113783</v>
      </c>
      <c r="H160" s="111">
        <v>30843632.021137841</v>
      </c>
      <c r="I160" s="65">
        <f>(G160-H160)*'16-PlantAdditions'!$E$94</f>
        <v>15554400</v>
      </c>
      <c r="J160" s="65">
        <f t="shared" si="30"/>
        <v>0</v>
      </c>
      <c r="K160" s="65">
        <f>J160-J141</f>
        <v>-30843632.021137841</v>
      </c>
    </row>
    <row r="161" spans="1:11" s="932" customFormat="1" x14ac:dyDescent="0.2">
      <c r="A161" s="811">
        <f t="shared" si="28"/>
        <v>118</v>
      </c>
      <c r="B161" s="895" t="s">
        <v>215</v>
      </c>
      <c r="C161" s="893">
        <f t="shared" si="32"/>
        <v>2014</v>
      </c>
      <c r="D161" s="715">
        <v>5221000</v>
      </c>
      <c r="E161" s="65">
        <f>D161*'16-PlantAdditions'!$E$94</f>
        <v>391575</v>
      </c>
      <c r="F161" s="65">
        <f t="shared" si="29"/>
        <v>5612575</v>
      </c>
      <c r="G161" s="111">
        <v>5221000</v>
      </c>
      <c r="H161" s="111">
        <v>0</v>
      </c>
      <c r="I161" s="65">
        <f>(G161-H161)*'16-PlantAdditions'!$E$94</f>
        <v>391575</v>
      </c>
      <c r="J161" s="65">
        <f t="shared" si="30"/>
        <v>0</v>
      </c>
      <c r="K161" s="65">
        <f>J161-J141</f>
        <v>-30843632.021137841</v>
      </c>
    </row>
    <row r="162" spans="1:11" s="932" customFormat="1" x14ac:dyDescent="0.2">
      <c r="A162" s="811">
        <f t="shared" si="28"/>
        <v>119</v>
      </c>
      <c r="B162" s="895" t="s">
        <v>216</v>
      </c>
      <c r="C162" s="893">
        <f t="shared" si="32"/>
        <v>2014</v>
      </c>
      <c r="D162" s="715">
        <v>12976000</v>
      </c>
      <c r="E162" s="65">
        <f>D162*'16-PlantAdditions'!$E$94</f>
        <v>973200</v>
      </c>
      <c r="F162" s="65">
        <f t="shared" si="29"/>
        <v>13949200</v>
      </c>
      <c r="G162" s="111">
        <v>12976000</v>
      </c>
      <c r="H162" s="111">
        <v>0</v>
      </c>
      <c r="I162" s="65">
        <f>(G162-H162)*'16-PlantAdditions'!$E$94</f>
        <v>973200</v>
      </c>
      <c r="J162" s="65">
        <f t="shared" si="30"/>
        <v>0</v>
      </c>
      <c r="K162" s="116">
        <f>J162-J141</f>
        <v>-30843632.021137841</v>
      </c>
    </row>
    <row r="163" spans="1:11" s="932" customFormat="1" x14ac:dyDescent="0.2">
      <c r="A163" s="811">
        <f>A162+1</f>
        <v>120</v>
      </c>
      <c r="B163"/>
      <c r="C163" s="931" t="s">
        <v>2084</v>
      </c>
      <c r="D163"/>
      <c r="E163"/>
      <c r="F163"/>
      <c r="G163"/>
      <c r="H163"/>
      <c r="I163"/>
      <c r="J163"/>
      <c r="K163" s="76">
        <f>AVERAGE(K150:K162)</f>
        <v>104535790.6874297</v>
      </c>
    </row>
    <row r="164" spans="1:11" s="932" customFormat="1" x14ac:dyDescent="0.2">
      <c r="A164" s="811"/>
      <c r="B164"/>
      <c r="C164" s="931"/>
      <c r="D164"/>
      <c r="E164"/>
      <c r="F164"/>
      <c r="G164"/>
      <c r="H164"/>
      <c r="I164"/>
      <c r="J164"/>
      <c r="K164" s="76"/>
    </row>
    <row r="165" spans="1:11" s="932" customFormat="1" x14ac:dyDescent="0.2">
      <c r="B165" s="933" t="s">
        <v>2616</v>
      </c>
      <c r="D165" s="1195" t="s">
        <v>2617</v>
      </c>
      <c r="E165" s="1195"/>
    </row>
    <row r="166" spans="1:11" s="932" customFormat="1" x14ac:dyDescent="0.2">
      <c r="A166" s="927"/>
      <c r="B166" s="927"/>
      <c r="C166" s="927"/>
      <c r="D166" s="927" t="s">
        <v>403</v>
      </c>
      <c r="E166" s="927" t="s">
        <v>387</v>
      </c>
      <c r="F166" s="927" t="s">
        <v>388</v>
      </c>
      <c r="G166" s="927" t="s">
        <v>389</v>
      </c>
      <c r="H166" s="927" t="s">
        <v>390</v>
      </c>
      <c r="I166" s="927" t="s">
        <v>391</v>
      </c>
      <c r="J166" s="927" t="s">
        <v>392</v>
      </c>
      <c r="K166" s="927" t="s">
        <v>606</v>
      </c>
    </row>
    <row r="167" spans="1:11" s="932" customFormat="1" ht="25.9" customHeight="1" x14ac:dyDescent="0.2">
      <c r="D167" s="934"/>
      <c r="E167" s="935" t="s">
        <v>2649</v>
      </c>
      <c r="F167" s="936" t="s">
        <v>2609</v>
      </c>
      <c r="G167" s="642"/>
      <c r="H167" s="934"/>
      <c r="I167" s="935" t="s">
        <v>2650</v>
      </c>
      <c r="J167" s="935" t="s">
        <v>2610</v>
      </c>
      <c r="K167" s="935" t="s">
        <v>2611</v>
      </c>
    </row>
    <row r="168" spans="1:11" s="932" customFormat="1" x14ac:dyDescent="0.2">
      <c r="D168" s="934"/>
      <c r="E168" s="935"/>
      <c r="F168" s="936"/>
      <c r="G168" s="4" t="str">
        <f>G51</f>
        <v>Unloaded</v>
      </c>
      <c r="H168" s="934"/>
      <c r="I168" s="935"/>
      <c r="J168" s="935"/>
      <c r="K168" s="935"/>
    </row>
    <row r="169" spans="1:11" s="932" customFormat="1" x14ac:dyDescent="0.2">
      <c r="A169" s="929"/>
      <c r="B169" s="929"/>
      <c r="C169" s="929"/>
      <c r="D169" s="929" t="str">
        <f>D$52</f>
        <v>Forecast</v>
      </c>
      <c r="E169" s="929" t="str">
        <f t="shared" ref="E169:J169" si="33">E$52</f>
        <v>Corporate</v>
      </c>
      <c r="F169" s="929" t="str">
        <f t="shared" si="33"/>
        <v xml:space="preserve">Total </v>
      </c>
      <c r="G169" s="4" t="str">
        <f t="shared" ref="G169:G170" si="34">G52</f>
        <v>Total</v>
      </c>
      <c r="H169" s="929" t="str">
        <f t="shared" si="33"/>
        <v>Prior Period</v>
      </c>
      <c r="I169" s="929" t="str">
        <f t="shared" si="33"/>
        <v>Over Heads</v>
      </c>
      <c r="J169" s="929" t="str">
        <f t="shared" si="33"/>
        <v>Forecast</v>
      </c>
      <c r="K169" s="811" t="str">
        <f>K$52</f>
        <v>Forecast Period</v>
      </c>
    </row>
    <row r="170" spans="1:11" s="932" customFormat="1" x14ac:dyDescent="0.2">
      <c r="A170" s="53" t="s">
        <v>369</v>
      </c>
      <c r="B170" s="891" t="s">
        <v>220</v>
      </c>
      <c r="C170" s="891" t="s">
        <v>221</v>
      </c>
      <c r="D170" s="927" t="str">
        <f>D$53</f>
        <v>Expenditures</v>
      </c>
      <c r="E170" s="927" t="str">
        <f t="shared" ref="E170:J170" si="35">E$53</f>
        <v>Overheads</v>
      </c>
      <c r="F170" s="927" t="str">
        <f t="shared" si="35"/>
        <v>CWIP Exp</v>
      </c>
      <c r="G170" s="86" t="str">
        <f t="shared" si="34"/>
        <v>Plant Adds</v>
      </c>
      <c r="H170" s="927" t="str">
        <f t="shared" si="35"/>
        <v>CWIP Closed</v>
      </c>
      <c r="I170" s="927" t="str">
        <f t="shared" si="35"/>
        <v>Closed to PIS</v>
      </c>
      <c r="J170" s="927" t="str">
        <f t="shared" si="35"/>
        <v>Period CWIP</v>
      </c>
      <c r="K170" s="927" t="str">
        <f>K$53</f>
        <v>Incremental CWIP</v>
      </c>
    </row>
    <row r="171" spans="1:11" s="932" customFormat="1" x14ac:dyDescent="0.2">
      <c r="A171" s="811">
        <f>A163+1</f>
        <v>121</v>
      </c>
      <c r="B171" s="892" t="s">
        <v>208</v>
      </c>
      <c r="C171" s="893">
        <v>2012</v>
      </c>
      <c r="D171" s="936" t="s">
        <v>86</v>
      </c>
      <c r="E171" s="936" t="s">
        <v>86</v>
      </c>
      <c r="F171" s="936" t="s">
        <v>86</v>
      </c>
      <c r="G171" s="936" t="s">
        <v>86</v>
      </c>
      <c r="H171" s="936" t="s">
        <v>86</v>
      </c>
      <c r="I171" s="936" t="s">
        <v>86</v>
      </c>
      <c r="J171" s="65">
        <f>H25</f>
        <v>-73287.943056206728</v>
      </c>
      <c r="K171" s="936" t="s">
        <v>86</v>
      </c>
    </row>
    <row r="172" spans="1:11" s="932" customFormat="1" x14ac:dyDescent="0.2">
      <c r="A172" s="811">
        <f>A171+1</f>
        <v>122</v>
      </c>
      <c r="B172" s="892" t="s">
        <v>209</v>
      </c>
      <c r="C172" s="893">
        <f>C171+1</f>
        <v>2013</v>
      </c>
      <c r="D172" s="111">
        <v>0</v>
      </c>
      <c r="E172" s="65">
        <f>D172*'16-PlantAdditions'!$E$94</f>
        <v>0</v>
      </c>
      <c r="F172" s="65">
        <f>E172+D172</f>
        <v>0</v>
      </c>
      <c r="G172" s="111">
        <v>0</v>
      </c>
      <c r="H172" s="111">
        <v>0</v>
      </c>
      <c r="I172" s="65">
        <f>(G172-H172)*'16-PlantAdditions'!$E$94</f>
        <v>0</v>
      </c>
      <c r="J172" s="65">
        <f>J171+F172-G172-I172</f>
        <v>-73287.943056206728</v>
      </c>
      <c r="K172" s="65">
        <f>J172-J171</f>
        <v>0</v>
      </c>
    </row>
    <row r="173" spans="1:11" s="932" customFormat="1" x14ac:dyDescent="0.2">
      <c r="A173" s="811">
        <f t="shared" ref="A173:A192" si="36">A172+1</f>
        <v>123</v>
      </c>
      <c r="B173" s="895" t="s">
        <v>210</v>
      </c>
      <c r="C173" s="893">
        <f>C172</f>
        <v>2013</v>
      </c>
      <c r="D173" s="111">
        <v>0</v>
      </c>
      <c r="E173" s="65">
        <f>D173*'16-PlantAdditions'!$E$94</f>
        <v>0</v>
      </c>
      <c r="F173" s="65">
        <f t="shared" ref="F173:F192" si="37">E173+D173</f>
        <v>0</v>
      </c>
      <c r="G173" s="111">
        <v>0</v>
      </c>
      <c r="H173" s="111">
        <v>0</v>
      </c>
      <c r="I173" s="65">
        <f>(G173-H173)*'16-PlantAdditions'!$E$94</f>
        <v>0</v>
      </c>
      <c r="J173" s="65">
        <f t="shared" ref="J173:J192" si="38">J172+F173-G173-I173</f>
        <v>-73287.943056206728</v>
      </c>
      <c r="K173" s="65">
        <f>J173-J$171</f>
        <v>0</v>
      </c>
    </row>
    <row r="174" spans="1:11" s="932" customFormat="1" x14ac:dyDescent="0.2">
      <c r="A174" s="811">
        <f t="shared" si="36"/>
        <v>124</v>
      </c>
      <c r="B174" s="895" t="s">
        <v>223</v>
      </c>
      <c r="C174" s="893">
        <f t="shared" ref="C174:C183" si="39">C173</f>
        <v>2013</v>
      </c>
      <c r="D174" s="111">
        <v>0</v>
      </c>
      <c r="E174" s="65">
        <f>D174*'16-PlantAdditions'!$E$94</f>
        <v>0</v>
      </c>
      <c r="F174" s="65">
        <f t="shared" si="37"/>
        <v>0</v>
      </c>
      <c r="G174" s="111">
        <v>0</v>
      </c>
      <c r="H174" s="111">
        <v>0</v>
      </c>
      <c r="I174" s="65">
        <f>(G174-H174)*'16-PlantAdditions'!$E$94</f>
        <v>0</v>
      </c>
      <c r="J174" s="65">
        <f t="shared" si="38"/>
        <v>-73287.943056206728</v>
      </c>
      <c r="K174" s="65">
        <f>J174-J171</f>
        <v>0</v>
      </c>
    </row>
    <row r="175" spans="1:11" s="932" customFormat="1" x14ac:dyDescent="0.2">
      <c r="A175" s="811">
        <f t="shared" si="36"/>
        <v>125</v>
      </c>
      <c r="B175" s="892" t="s">
        <v>211</v>
      </c>
      <c r="C175" s="893">
        <f t="shared" si="39"/>
        <v>2013</v>
      </c>
      <c r="D175" s="111">
        <v>0</v>
      </c>
      <c r="E175" s="65">
        <f>D175*'16-PlantAdditions'!$E$94</f>
        <v>0</v>
      </c>
      <c r="F175" s="65">
        <f t="shared" si="37"/>
        <v>0</v>
      </c>
      <c r="G175" s="111">
        <v>0</v>
      </c>
      <c r="H175" s="111">
        <v>0</v>
      </c>
      <c r="I175" s="65">
        <f>(G175-H175)*'16-PlantAdditions'!$E$94</f>
        <v>0</v>
      </c>
      <c r="J175" s="65">
        <f t="shared" si="38"/>
        <v>-73287.943056206728</v>
      </c>
      <c r="K175" s="65">
        <f>J175-J171</f>
        <v>0</v>
      </c>
    </row>
    <row r="176" spans="1:11" s="932" customFormat="1" x14ac:dyDescent="0.2">
      <c r="A176" s="811">
        <f t="shared" si="36"/>
        <v>126</v>
      </c>
      <c r="B176" s="895" t="s">
        <v>212</v>
      </c>
      <c r="C176" s="893">
        <f t="shared" si="39"/>
        <v>2013</v>
      </c>
      <c r="D176" s="111">
        <v>0</v>
      </c>
      <c r="E176" s="65">
        <f>D176*'16-PlantAdditions'!$E$94</f>
        <v>0</v>
      </c>
      <c r="F176" s="65">
        <f t="shared" si="37"/>
        <v>0</v>
      </c>
      <c r="G176" s="111">
        <v>0</v>
      </c>
      <c r="H176" s="111">
        <v>0</v>
      </c>
      <c r="I176" s="65">
        <f>(G176-H176)*'16-PlantAdditions'!$E$94</f>
        <v>0</v>
      </c>
      <c r="J176" s="65">
        <f t="shared" si="38"/>
        <v>-73287.943056206728</v>
      </c>
      <c r="K176" s="65">
        <f>J176-J171</f>
        <v>0</v>
      </c>
    </row>
    <row r="177" spans="1:11" s="932" customFormat="1" x14ac:dyDescent="0.2">
      <c r="A177" s="811">
        <f t="shared" si="36"/>
        <v>127</v>
      </c>
      <c r="B177" s="895" t="s">
        <v>1877</v>
      </c>
      <c r="C177" s="893">
        <f t="shared" si="39"/>
        <v>2013</v>
      </c>
      <c r="D177" s="111">
        <v>0</v>
      </c>
      <c r="E177" s="65">
        <f>D177*'16-PlantAdditions'!$E$94</f>
        <v>0</v>
      </c>
      <c r="F177" s="65">
        <f t="shared" si="37"/>
        <v>0</v>
      </c>
      <c r="G177" s="111">
        <v>0</v>
      </c>
      <c r="H177" s="111">
        <v>0</v>
      </c>
      <c r="I177" s="65">
        <f>(G177-H177)*'16-PlantAdditions'!$E$94</f>
        <v>0</v>
      </c>
      <c r="J177" s="65">
        <f t="shared" si="38"/>
        <v>-73287.943056206728</v>
      </c>
      <c r="K177" s="65">
        <f>J177-J171</f>
        <v>0</v>
      </c>
    </row>
    <row r="178" spans="1:11" s="932" customFormat="1" x14ac:dyDescent="0.2">
      <c r="A178" s="811">
        <f t="shared" si="36"/>
        <v>128</v>
      </c>
      <c r="B178" s="892" t="s">
        <v>214</v>
      </c>
      <c r="C178" s="893">
        <f t="shared" si="39"/>
        <v>2013</v>
      </c>
      <c r="D178" s="111">
        <v>0</v>
      </c>
      <c r="E178" s="65">
        <f>D178*'16-PlantAdditions'!$E$94</f>
        <v>0</v>
      </c>
      <c r="F178" s="65">
        <f t="shared" si="37"/>
        <v>0</v>
      </c>
      <c r="G178" s="111">
        <v>0</v>
      </c>
      <c r="H178" s="111">
        <v>0</v>
      </c>
      <c r="I178" s="65">
        <f>(G178-H178)*'16-PlantAdditions'!$E$94</f>
        <v>0</v>
      </c>
      <c r="J178" s="65">
        <f t="shared" si="38"/>
        <v>-73287.943056206728</v>
      </c>
      <c r="K178" s="65">
        <f>J178-J171</f>
        <v>0</v>
      </c>
    </row>
    <row r="179" spans="1:11" s="932" customFormat="1" x14ac:dyDescent="0.2">
      <c r="A179" s="811">
        <f t="shared" si="36"/>
        <v>129</v>
      </c>
      <c r="B179" s="895" t="s">
        <v>215</v>
      </c>
      <c r="C179" s="893">
        <f t="shared" si="39"/>
        <v>2013</v>
      </c>
      <c r="D179" s="111">
        <v>0</v>
      </c>
      <c r="E179" s="65">
        <f>D179*'16-PlantAdditions'!$E$94</f>
        <v>0</v>
      </c>
      <c r="F179" s="65">
        <f t="shared" si="37"/>
        <v>0</v>
      </c>
      <c r="G179" s="111">
        <v>0</v>
      </c>
      <c r="H179" s="111">
        <v>0</v>
      </c>
      <c r="I179" s="65">
        <f>(G179-H179)*'16-PlantAdditions'!$E$94</f>
        <v>0</v>
      </c>
      <c r="J179" s="65">
        <f t="shared" si="38"/>
        <v>-73287.943056206728</v>
      </c>
      <c r="K179" s="65">
        <f>J179-J171</f>
        <v>0</v>
      </c>
    </row>
    <row r="180" spans="1:11" s="932" customFormat="1" x14ac:dyDescent="0.2">
      <c r="A180" s="811">
        <f t="shared" si="36"/>
        <v>130</v>
      </c>
      <c r="B180" s="895" t="s">
        <v>216</v>
      </c>
      <c r="C180" s="893">
        <f t="shared" si="39"/>
        <v>2013</v>
      </c>
      <c r="D180" s="111">
        <v>0</v>
      </c>
      <c r="E180" s="65">
        <f>D180*'16-PlantAdditions'!$E$94</f>
        <v>0</v>
      </c>
      <c r="F180" s="65">
        <f t="shared" si="37"/>
        <v>0</v>
      </c>
      <c r="G180" s="111">
        <v>0</v>
      </c>
      <c r="H180" s="111">
        <v>0</v>
      </c>
      <c r="I180" s="65">
        <f>(G180-H180)*'16-PlantAdditions'!$E$94</f>
        <v>0</v>
      </c>
      <c r="J180" s="65">
        <f t="shared" si="38"/>
        <v>-73287.943056206728</v>
      </c>
      <c r="K180" s="65">
        <f>J180-J171</f>
        <v>0</v>
      </c>
    </row>
    <row r="181" spans="1:11" s="932" customFormat="1" x14ac:dyDescent="0.2">
      <c r="A181" s="811">
        <f t="shared" si="36"/>
        <v>131</v>
      </c>
      <c r="B181" s="892" t="s">
        <v>219</v>
      </c>
      <c r="C181" s="893">
        <f t="shared" si="39"/>
        <v>2013</v>
      </c>
      <c r="D181" s="111">
        <v>0</v>
      </c>
      <c r="E181" s="65">
        <f>D181*'16-PlantAdditions'!$E$94</f>
        <v>0</v>
      </c>
      <c r="F181" s="65">
        <f t="shared" si="37"/>
        <v>0</v>
      </c>
      <c r="G181" s="111">
        <v>0</v>
      </c>
      <c r="H181" s="111">
        <v>0</v>
      </c>
      <c r="I181" s="65">
        <f>(G181-H181)*'16-PlantAdditions'!$E$94</f>
        <v>0</v>
      </c>
      <c r="J181" s="65">
        <f t="shared" si="38"/>
        <v>-73287.943056206728</v>
      </c>
      <c r="K181" s="65">
        <f>J181-J171</f>
        <v>0</v>
      </c>
    </row>
    <row r="182" spans="1:11" s="932" customFormat="1" x14ac:dyDescent="0.2">
      <c r="A182" s="811">
        <f t="shared" si="36"/>
        <v>132</v>
      </c>
      <c r="B182" s="892" t="s">
        <v>218</v>
      </c>
      <c r="C182" s="893">
        <f t="shared" si="39"/>
        <v>2013</v>
      </c>
      <c r="D182" s="111">
        <v>0</v>
      </c>
      <c r="E182" s="65">
        <f>D182*'16-PlantAdditions'!$E$94</f>
        <v>0</v>
      </c>
      <c r="F182" s="65">
        <f t="shared" si="37"/>
        <v>0</v>
      </c>
      <c r="G182" s="111">
        <v>0</v>
      </c>
      <c r="H182" s="111">
        <v>0</v>
      </c>
      <c r="I182" s="65">
        <f>(G182-H182)*'16-PlantAdditions'!$E$94</f>
        <v>0</v>
      </c>
      <c r="J182" s="65">
        <f t="shared" si="38"/>
        <v>-73287.943056206728</v>
      </c>
      <c r="K182" s="65">
        <f>J182-J171</f>
        <v>0</v>
      </c>
    </row>
    <row r="183" spans="1:11" s="932" customFormat="1" x14ac:dyDescent="0.2">
      <c r="A183" s="811">
        <f t="shared" si="36"/>
        <v>133</v>
      </c>
      <c r="B183" s="892" t="s">
        <v>208</v>
      </c>
      <c r="C183" s="893">
        <f t="shared" si="39"/>
        <v>2013</v>
      </c>
      <c r="D183" s="111">
        <v>0</v>
      </c>
      <c r="E183" s="65">
        <f>D183*'16-PlantAdditions'!$E$94</f>
        <v>0</v>
      </c>
      <c r="F183" s="65">
        <f t="shared" si="37"/>
        <v>0</v>
      </c>
      <c r="G183" s="111">
        <v>0</v>
      </c>
      <c r="H183" s="111">
        <v>0</v>
      </c>
      <c r="I183" s="65">
        <f>(G183-H183)*'16-PlantAdditions'!$E$94</f>
        <v>0</v>
      </c>
      <c r="J183" s="65">
        <f t="shared" si="38"/>
        <v>-73287.943056206728</v>
      </c>
      <c r="K183" s="65">
        <f>J183-J171</f>
        <v>0</v>
      </c>
    </row>
    <row r="184" spans="1:11" s="932" customFormat="1" x14ac:dyDescent="0.2">
      <c r="A184" s="811">
        <f t="shared" si="36"/>
        <v>134</v>
      </c>
      <c r="B184" s="892" t="s">
        <v>209</v>
      </c>
      <c r="C184" s="893">
        <f>C183+1</f>
        <v>2014</v>
      </c>
      <c r="D184" s="111">
        <v>0</v>
      </c>
      <c r="E184" s="65">
        <f>D184*'16-PlantAdditions'!$E$94</f>
        <v>0</v>
      </c>
      <c r="F184" s="65">
        <f t="shared" si="37"/>
        <v>0</v>
      </c>
      <c r="G184" s="111">
        <v>0</v>
      </c>
      <c r="H184" s="111">
        <v>0</v>
      </c>
      <c r="I184" s="65">
        <f>(G184-H184)*'16-PlantAdditions'!$E$94</f>
        <v>0</v>
      </c>
      <c r="J184" s="65">
        <f t="shared" si="38"/>
        <v>-73287.943056206728</v>
      </c>
      <c r="K184" s="65">
        <f>J184-J171</f>
        <v>0</v>
      </c>
    </row>
    <row r="185" spans="1:11" s="932" customFormat="1" x14ac:dyDescent="0.2">
      <c r="A185" s="811">
        <f t="shared" si="36"/>
        <v>135</v>
      </c>
      <c r="B185" s="895" t="s">
        <v>210</v>
      </c>
      <c r="C185" s="893">
        <f>C184</f>
        <v>2014</v>
      </c>
      <c r="D185" s="111">
        <v>0</v>
      </c>
      <c r="E185" s="65">
        <f>D185*'16-PlantAdditions'!$E$94</f>
        <v>0</v>
      </c>
      <c r="F185" s="65">
        <f t="shared" si="37"/>
        <v>0</v>
      </c>
      <c r="G185" s="111">
        <v>0</v>
      </c>
      <c r="H185" s="111">
        <v>0</v>
      </c>
      <c r="I185" s="65">
        <f>(G185-H185)*'16-PlantAdditions'!$E$94</f>
        <v>0</v>
      </c>
      <c r="J185" s="65">
        <f t="shared" si="38"/>
        <v>-73287.943056206728</v>
      </c>
      <c r="K185" s="65">
        <f>J185-J171</f>
        <v>0</v>
      </c>
    </row>
    <row r="186" spans="1:11" s="932" customFormat="1" x14ac:dyDescent="0.2">
      <c r="A186" s="811">
        <f t="shared" si="36"/>
        <v>136</v>
      </c>
      <c r="B186" s="895" t="s">
        <v>223</v>
      </c>
      <c r="C186" s="893">
        <f t="shared" ref="C186:C192" si="40">C185</f>
        <v>2014</v>
      </c>
      <c r="D186" s="111">
        <v>0</v>
      </c>
      <c r="E186" s="65">
        <f>D186*'16-PlantAdditions'!$E$94</f>
        <v>0</v>
      </c>
      <c r="F186" s="65">
        <f t="shared" si="37"/>
        <v>0</v>
      </c>
      <c r="G186" s="111">
        <v>0</v>
      </c>
      <c r="H186" s="111">
        <v>0</v>
      </c>
      <c r="I186" s="65">
        <f>(G186-H186)*'16-PlantAdditions'!$E$94</f>
        <v>0</v>
      </c>
      <c r="J186" s="65">
        <f t="shared" si="38"/>
        <v>-73287.943056206728</v>
      </c>
      <c r="K186" s="65">
        <f>J186-J171</f>
        <v>0</v>
      </c>
    </row>
    <row r="187" spans="1:11" s="932" customFormat="1" x14ac:dyDescent="0.2">
      <c r="A187" s="811">
        <f t="shared" si="36"/>
        <v>137</v>
      </c>
      <c r="B187" s="892" t="s">
        <v>211</v>
      </c>
      <c r="C187" s="893">
        <f t="shared" si="40"/>
        <v>2014</v>
      </c>
      <c r="D187" s="111">
        <v>0</v>
      </c>
      <c r="E187" s="65">
        <f>D187*'16-PlantAdditions'!$E$94</f>
        <v>0</v>
      </c>
      <c r="F187" s="65">
        <f t="shared" si="37"/>
        <v>0</v>
      </c>
      <c r="G187" s="111">
        <v>0</v>
      </c>
      <c r="H187" s="111">
        <v>0</v>
      </c>
      <c r="I187" s="65">
        <f>(G187-H187)*'16-PlantAdditions'!$E$94</f>
        <v>0</v>
      </c>
      <c r="J187" s="65">
        <f t="shared" si="38"/>
        <v>-73287.943056206728</v>
      </c>
      <c r="K187" s="65">
        <f>J187-J171</f>
        <v>0</v>
      </c>
    </row>
    <row r="188" spans="1:11" s="932" customFormat="1" x14ac:dyDescent="0.2">
      <c r="A188" s="811">
        <f t="shared" si="36"/>
        <v>138</v>
      </c>
      <c r="B188" s="895" t="s">
        <v>212</v>
      </c>
      <c r="C188" s="893">
        <f t="shared" si="40"/>
        <v>2014</v>
      </c>
      <c r="D188" s="111">
        <v>0</v>
      </c>
      <c r="E188" s="65">
        <f>D188*'16-PlantAdditions'!$E$94</f>
        <v>0</v>
      </c>
      <c r="F188" s="65">
        <f t="shared" si="37"/>
        <v>0</v>
      </c>
      <c r="G188" s="111">
        <v>0</v>
      </c>
      <c r="H188" s="111">
        <v>0</v>
      </c>
      <c r="I188" s="65">
        <f>(G188-H188)*'16-PlantAdditions'!$E$94</f>
        <v>0</v>
      </c>
      <c r="J188" s="65">
        <f t="shared" si="38"/>
        <v>-73287.943056206728</v>
      </c>
      <c r="K188" s="65">
        <f>J188-J171</f>
        <v>0</v>
      </c>
    </row>
    <row r="189" spans="1:11" s="932" customFormat="1" x14ac:dyDescent="0.2">
      <c r="A189" s="811">
        <f t="shared" si="36"/>
        <v>139</v>
      </c>
      <c r="B189" s="895" t="s">
        <v>1877</v>
      </c>
      <c r="C189" s="893">
        <f t="shared" si="40"/>
        <v>2014</v>
      </c>
      <c r="D189" s="111">
        <v>0</v>
      </c>
      <c r="E189" s="65">
        <f>D189*'16-PlantAdditions'!$E$94</f>
        <v>0</v>
      </c>
      <c r="F189" s="65">
        <f t="shared" si="37"/>
        <v>0</v>
      </c>
      <c r="G189" s="111">
        <v>0</v>
      </c>
      <c r="H189" s="111">
        <v>0</v>
      </c>
      <c r="I189" s="65">
        <f>(G189-H189)*'16-PlantAdditions'!$E$94</f>
        <v>0</v>
      </c>
      <c r="J189" s="65">
        <f t="shared" si="38"/>
        <v>-73287.943056206728</v>
      </c>
      <c r="K189" s="65">
        <f>J189-J171</f>
        <v>0</v>
      </c>
    </row>
    <row r="190" spans="1:11" s="932" customFormat="1" x14ac:dyDescent="0.2">
      <c r="A190" s="811">
        <f t="shared" si="36"/>
        <v>140</v>
      </c>
      <c r="B190" s="892" t="s">
        <v>214</v>
      </c>
      <c r="C190" s="893">
        <f t="shared" si="40"/>
        <v>2014</v>
      </c>
      <c r="D190" s="111">
        <v>0</v>
      </c>
      <c r="E190" s="65">
        <f>D190*'16-PlantAdditions'!$E$94</f>
        <v>0</v>
      </c>
      <c r="F190" s="65">
        <f t="shared" si="37"/>
        <v>0</v>
      </c>
      <c r="G190" s="111">
        <v>0</v>
      </c>
      <c r="H190" s="111">
        <v>0</v>
      </c>
      <c r="I190" s="65">
        <f>(G190-H190)*'16-PlantAdditions'!$E$94</f>
        <v>0</v>
      </c>
      <c r="J190" s="65">
        <f t="shared" si="38"/>
        <v>-73287.943056206728</v>
      </c>
      <c r="K190" s="65">
        <f>J190-J171</f>
        <v>0</v>
      </c>
    </row>
    <row r="191" spans="1:11" s="932" customFormat="1" x14ac:dyDescent="0.2">
      <c r="A191" s="811">
        <f t="shared" si="36"/>
        <v>141</v>
      </c>
      <c r="B191" s="895" t="s">
        <v>215</v>
      </c>
      <c r="C191" s="893">
        <f t="shared" si="40"/>
        <v>2014</v>
      </c>
      <c r="D191" s="111">
        <v>0</v>
      </c>
      <c r="E191" s="65">
        <f>D191*'16-PlantAdditions'!$E$94</f>
        <v>0</v>
      </c>
      <c r="F191" s="65">
        <f t="shared" si="37"/>
        <v>0</v>
      </c>
      <c r="G191" s="111">
        <v>0</v>
      </c>
      <c r="H191" s="111">
        <v>0</v>
      </c>
      <c r="I191" s="65">
        <f>(G191-H191)*'16-PlantAdditions'!$E$94</f>
        <v>0</v>
      </c>
      <c r="J191" s="65">
        <f t="shared" si="38"/>
        <v>-73287.943056206728</v>
      </c>
      <c r="K191" s="65">
        <f>J191-J171</f>
        <v>0</v>
      </c>
    </row>
    <row r="192" spans="1:11" s="932" customFormat="1" x14ac:dyDescent="0.2">
      <c r="A192" s="811">
        <f t="shared" si="36"/>
        <v>142</v>
      </c>
      <c r="B192" s="895" t="s">
        <v>216</v>
      </c>
      <c r="C192" s="893">
        <f t="shared" si="40"/>
        <v>2014</v>
      </c>
      <c r="D192" s="111">
        <v>0</v>
      </c>
      <c r="E192" s="65">
        <f>D192*'16-PlantAdditions'!$E$94</f>
        <v>0</v>
      </c>
      <c r="F192" s="65">
        <f t="shared" si="37"/>
        <v>0</v>
      </c>
      <c r="G192" s="111">
        <v>0</v>
      </c>
      <c r="H192" s="111">
        <v>0</v>
      </c>
      <c r="I192" s="65">
        <f>(G192-H192)*'16-PlantAdditions'!$E$94</f>
        <v>0</v>
      </c>
      <c r="J192" s="65">
        <f t="shared" si="38"/>
        <v>-73287.943056206728</v>
      </c>
      <c r="K192" s="116">
        <f>J192-J171</f>
        <v>0</v>
      </c>
    </row>
    <row r="193" spans="1:11" s="932" customFormat="1" x14ac:dyDescent="0.2">
      <c r="A193" s="811">
        <f>A192+1</f>
        <v>143</v>
      </c>
      <c r="B193"/>
      <c r="C193" s="931" t="s">
        <v>2084</v>
      </c>
      <c r="D193"/>
      <c r="E193"/>
      <c r="F193"/>
      <c r="G193"/>
      <c r="H193"/>
      <c r="I193"/>
      <c r="J193"/>
      <c r="K193" s="76">
        <f>AVERAGE(K180:K192)</f>
        <v>0</v>
      </c>
    </row>
    <row r="194" spans="1:11" s="932" customFormat="1" x14ac:dyDescent="0.2">
      <c r="A194" s="811"/>
      <c r="B194"/>
      <c r="C194" s="931"/>
      <c r="D194"/>
      <c r="E194"/>
      <c r="F194"/>
      <c r="G194"/>
      <c r="H194"/>
      <c r="I194"/>
      <c r="J194"/>
      <c r="K194" s="76"/>
    </row>
    <row r="195" spans="1:11" s="932" customFormat="1" x14ac:dyDescent="0.2">
      <c r="B195" s="933" t="s">
        <v>2618</v>
      </c>
      <c r="D195" s="1195" t="s">
        <v>611</v>
      </c>
      <c r="E195" s="1195"/>
    </row>
    <row r="196" spans="1:11" s="932" customFormat="1" x14ac:dyDescent="0.2">
      <c r="D196" s="934"/>
      <c r="E196" s="934"/>
      <c r="F196" s="934"/>
      <c r="G196" s="811" t="str">
        <f>G51</f>
        <v>Unloaded</v>
      </c>
      <c r="H196" s="934"/>
      <c r="I196" s="934"/>
    </row>
    <row r="197" spans="1:11" s="932" customFormat="1" x14ac:dyDescent="0.2">
      <c r="A197" s="929"/>
      <c r="B197" s="929"/>
      <c r="C197" s="929"/>
      <c r="D197" s="929" t="str">
        <f>D$52</f>
        <v>Forecast</v>
      </c>
      <c r="E197" s="929" t="str">
        <f t="shared" ref="E197:J197" si="41">E$52</f>
        <v>Corporate</v>
      </c>
      <c r="F197" s="929" t="str">
        <f t="shared" si="41"/>
        <v xml:space="preserve">Total </v>
      </c>
      <c r="G197" s="811" t="str">
        <f t="shared" ref="G197:G198" si="42">G52</f>
        <v>Total</v>
      </c>
      <c r="H197" s="929" t="str">
        <f t="shared" si="41"/>
        <v>Prior Period</v>
      </c>
      <c r="I197" s="929" t="str">
        <f t="shared" si="41"/>
        <v>Over Heads</v>
      </c>
      <c r="J197" s="929" t="str">
        <f t="shared" si="41"/>
        <v>Forecast</v>
      </c>
      <c r="K197" s="811" t="str">
        <f>K$52</f>
        <v>Forecast Period</v>
      </c>
    </row>
    <row r="198" spans="1:11" s="932" customFormat="1" x14ac:dyDescent="0.2">
      <c r="A198" s="53" t="s">
        <v>369</v>
      </c>
      <c r="B198" s="891" t="s">
        <v>220</v>
      </c>
      <c r="C198" s="891" t="s">
        <v>221</v>
      </c>
      <c r="D198" s="927" t="str">
        <f>D$53</f>
        <v>Expenditures</v>
      </c>
      <c r="E198" s="927" t="str">
        <f t="shared" ref="E198:J198" si="43">E$53</f>
        <v>Overheads</v>
      </c>
      <c r="F198" s="927" t="str">
        <f t="shared" si="43"/>
        <v>CWIP Exp</v>
      </c>
      <c r="G198" s="3" t="str">
        <f t="shared" si="42"/>
        <v>Plant Adds</v>
      </c>
      <c r="H198" s="927" t="str">
        <f t="shared" si="43"/>
        <v>CWIP Closed</v>
      </c>
      <c r="I198" s="927" t="str">
        <f t="shared" si="43"/>
        <v>Closed to PIS</v>
      </c>
      <c r="J198" s="927" t="str">
        <f t="shared" si="43"/>
        <v>Period CWIP</v>
      </c>
      <c r="K198" s="927" t="str">
        <f>K$53</f>
        <v>Incremental CWIP</v>
      </c>
    </row>
    <row r="199" spans="1:11" s="932" customFormat="1" x14ac:dyDescent="0.2">
      <c r="A199" s="811">
        <f>A193+1</f>
        <v>144</v>
      </c>
      <c r="B199" s="892" t="s">
        <v>208</v>
      </c>
      <c r="C199" s="893">
        <v>2012</v>
      </c>
      <c r="D199" s="936" t="s">
        <v>86</v>
      </c>
      <c r="E199" s="936" t="s">
        <v>86</v>
      </c>
      <c r="F199" s="936" t="s">
        <v>86</v>
      </c>
      <c r="G199" s="936" t="s">
        <v>86</v>
      </c>
      <c r="H199" s="936" t="s">
        <v>86</v>
      </c>
      <c r="I199" s="936" t="s">
        <v>86</v>
      </c>
      <c r="J199" s="65">
        <f>I25</f>
        <v>14678203.401025498</v>
      </c>
      <c r="K199" s="936" t="s">
        <v>86</v>
      </c>
    </row>
    <row r="200" spans="1:11" s="932" customFormat="1" x14ac:dyDescent="0.2">
      <c r="A200" s="811">
        <f>A199+1</f>
        <v>145</v>
      </c>
      <c r="B200" s="892" t="s">
        <v>209</v>
      </c>
      <c r="C200" s="893">
        <f>C199+1</f>
        <v>2013</v>
      </c>
      <c r="D200" s="111">
        <v>1336290</v>
      </c>
      <c r="E200" s="65">
        <f>D200*'16-PlantAdditions'!$E$94</f>
        <v>100221.75</v>
      </c>
      <c r="F200" s="65">
        <f>E200+D200</f>
        <v>1436511.75</v>
      </c>
      <c r="G200" s="111">
        <v>0</v>
      </c>
      <c r="H200" s="111">
        <v>0</v>
      </c>
      <c r="I200" s="65">
        <f>(G200-H200)*'16-PlantAdditions'!$E$94</f>
        <v>0</v>
      </c>
      <c r="J200" s="65">
        <f>J199+F200-G200-I200</f>
        <v>16114715.151025498</v>
      </c>
      <c r="K200" s="65">
        <f>J200-J199</f>
        <v>1436511.75</v>
      </c>
    </row>
    <row r="201" spans="1:11" s="932" customFormat="1" x14ac:dyDescent="0.2">
      <c r="A201" s="811">
        <f t="shared" ref="A201:A220" si="44">A200+1</f>
        <v>146</v>
      </c>
      <c r="B201" s="895" t="s">
        <v>210</v>
      </c>
      <c r="C201" s="893">
        <f>C200</f>
        <v>2013</v>
      </c>
      <c r="D201" s="111">
        <v>5417940.0000000009</v>
      </c>
      <c r="E201" s="65">
        <f>D201*'16-PlantAdditions'!$E$94</f>
        <v>406345.50000000006</v>
      </c>
      <c r="F201" s="65">
        <f t="shared" ref="F201:F220" si="45">E201+D201</f>
        <v>5824285.5000000009</v>
      </c>
      <c r="G201" s="111">
        <v>0</v>
      </c>
      <c r="H201" s="111">
        <v>0</v>
      </c>
      <c r="I201" s="65">
        <f>(G201-H201)*'16-PlantAdditions'!$E$94</f>
        <v>0</v>
      </c>
      <c r="J201" s="65">
        <f t="shared" ref="J201:J220" si="46">J200+F201-G201-I201</f>
        <v>21939000.6510255</v>
      </c>
      <c r="K201" s="65">
        <f>J201-J$171</f>
        <v>22012288.594081707</v>
      </c>
    </row>
    <row r="202" spans="1:11" s="932" customFormat="1" x14ac:dyDescent="0.2">
      <c r="A202" s="811">
        <f t="shared" si="44"/>
        <v>147</v>
      </c>
      <c r="B202" s="895" t="s">
        <v>223</v>
      </c>
      <c r="C202" s="893">
        <f t="shared" ref="C202:C211" si="47">C201</f>
        <v>2013</v>
      </c>
      <c r="D202" s="111">
        <v>7544231</v>
      </c>
      <c r="E202" s="65">
        <f>D202*'16-PlantAdditions'!$E$94</f>
        <v>565817.32499999995</v>
      </c>
      <c r="F202" s="65">
        <f t="shared" si="45"/>
        <v>8110048.3250000002</v>
      </c>
      <c r="G202" s="111">
        <v>0</v>
      </c>
      <c r="H202" s="111">
        <v>0</v>
      </c>
      <c r="I202" s="65">
        <f>(G202-H202)*'16-PlantAdditions'!$E$94</f>
        <v>0</v>
      </c>
      <c r="J202" s="65">
        <f t="shared" si="46"/>
        <v>30049048.976025499</v>
      </c>
      <c r="K202" s="65">
        <f>J202-J199</f>
        <v>15370845.575000001</v>
      </c>
    </row>
    <row r="203" spans="1:11" s="932" customFormat="1" x14ac:dyDescent="0.2">
      <c r="A203" s="811">
        <f t="shared" si="44"/>
        <v>148</v>
      </c>
      <c r="B203" s="892" t="s">
        <v>211</v>
      </c>
      <c r="C203" s="893">
        <f t="shared" si="47"/>
        <v>2013</v>
      </c>
      <c r="D203" s="111">
        <v>5039830.0000000009</v>
      </c>
      <c r="E203" s="65">
        <f>D203*'16-PlantAdditions'!$E$94</f>
        <v>377987.25000000006</v>
      </c>
      <c r="F203" s="65">
        <f t="shared" si="45"/>
        <v>5417817.2500000009</v>
      </c>
      <c r="G203" s="111">
        <v>0</v>
      </c>
      <c r="H203" s="111">
        <v>0</v>
      </c>
      <c r="I203" s="65">
        <f>(G203-H203)*'16-PlantAdditions'!$E$94</f>
        <v>0</v>
      </c>
      <c r="J203" s="65">
        <f t="shared" si="46"/>
        <v>35466866.226025499</v>
      </c>
      <c r="K203" s="65">
        <f>J203-J199</f>
        <v>20788662.825000003</v>
      </c>
    </row>
    <row r="204" spans="1:11" s="932" customFormat="1" x14ac:dyDescent="0.2">
      <c r="A204" s="811">
        <f t="shared" si="44"/>
        <v>149</v>
      </c>
      <c r="B204" s="895" t="s">
        <v>212</v>
      </c>
      <c r="C204" s="893">
        <f t="shared" si="47"/>
        <v>2013</v>
      </c>
      <c r="D204" s="111">
        <v>21810969.999999996</v>
      </c>
      <c r="E204" s="65">
        <f>D204*'16-PlantAdditions'!$E$94</f>
        <v>1635822.7499999998</v>
      </c>
      <c r="F204" s="65">
        <f t="shared" si="45"/>
        <v>23446792.749999996</v>
      </c>
      <c r="G204" s="111">
        <v>0</v>
      </c>
      <c r="H204" s="111">
        <v>0</v>
      </c>
      <c r="I204" s="65">
        <f>(G204-H204)*'16-PlantAdditions'!$E$94</f>
        <v>0</v>
      </c>
      <c r="J204" s="65">
        <f t="shared" si="46"/>
        <v>58913658.976025492</v>
      </c>
      <c r="K204" s="65">
        <f>J204-J199</f>
        <v>44235455.574999996</v>
      </c>
    </row>
    <row r="205" spans="1:11" s="932" customFormat="1" x14ac:dyDescent="0.2">
      <c r="A205" s="811">
        <f t="shared" si="44"/>
        <v>150</v>
      </c>
      <c r="B205" s="895" t="s">
        <v>1877</v>
      </c>
      <c r="C205" s="893">
        <f t="shared" si="47"/>
        <v>2013</v>
      </c>
      <c r="D205" s="111">
        <v>8905480.0000000019</v>
      </c>
      <c r="E205" s="65">
        <f>D205*'16-PlantAdditions'!$E$94</f>
        <v>667911.00000000012</v>
      </c>
      <c r="F205" s="65">
        <f t="shared" si="45"/>
        <v>9573391.0000000019</v>
      </c>
      <c r="G205" s="111">
        <v>0</v>
      </c>
      <c r="H205" s="111">
        <v>0</v>
      </c>
      <c r="I205" s="65">
        <f>(G205-H205)*'16-PlantAdditions'!$E$94</f>
        <v>0</v>
      </c>
      <c r="J205" s="65">
        <f t="shared" si="46"/>
        <v>68487049.976025492</v>
      </c>
      <c r="K205" s="65">
        <f>J205-J199</f>
        <v>53808846.574999996</v>
      </c>
    </row>
    <row r="206" spans="1:11" s="932" customFormat="1" x14ac:dyDescent="0.2">
      <c r="A206" s="811">
        <f t="shared" si="44"/>
        <v>151</v>
      </c>
      <c r="B206" s="892" t="s">
        <v>214</v>
      </c>
      <c r="C206" s="893">
        <f t="shared" si="47"/>
        <v>2013</v>
      </c>
      <c r="D206" s="111">
        <v>9656170</v>
      </c>
      <c r="E206" s="65">
        <f>D206*'16-PlantAdditions'!$E$94</f>
        <v>724212.75</v>
      </c>
      <c r="F206" s="65">
        <f t="shared" si="45"/>
        <v>10380382.75</v>
      </c>
      <c r="G206" s="111">
        <v>0</v>
      </c>
      <c r="H206" s="111">
        <v>0</v>
      </c>
      <c r="I206" s="65">
        <f>(G206-H206)*'16-PlantAdditions'!$E$94</f>
        <v>0</v>
      </c>
      <c r="J206" s="65">
        <f t="shared" si="46"/>
        <v>78867432.726025492</v>
      </c>
      <c r="K206" s="65">
        <f>J206-J199</f>
        <v>64189229.324999996</v>
      </c>
    </row>
    <row r="207" spans="1:11" s="932" customFormat="1" x14ac:dyDescent="0.2">
      <c r="A207" s="811">
        <f t="shared" si="44"/>
        <v>152</v>
      </c>
      <c r="B207" s="895" t="s">
        <v>215</v>
      </c>
      <c r="C207" s="893">
        <f t="shared" si="47"/>
        <v>2013</v>
      </c>
      <c r="D207" s="111">
        <v>10953300</v>
      </c>
      <c r="E207" s="65">
        <f>D207*'16-PlantAdditions'!$E$94</f>
        <v>821497.5</v>
      </c>
      <c r="F207" s="65">
        <f t="shared" si="45"/>
        <v>11774797.5</v>
      </c>
      <c r="G207" s="111">
        <v>0</v>
      </c>
      <c r="H207" s="111">
        <v>0</v>
      </c>
      <c r="I207" s="65">
        <f>(G207-H207)*'16-PlantAdditions'!$E$94</f>
        <v>0</v>
      </c>
      <c r="J207" s="65">
        <f t="shared" si="46"/>
        <v>90642230.226025492</v>
      </c>
      <c r="K207" s="65">
        <f>J207-J199</f>
        <v>75964026.824999988</v>
      </c>
    </row>
    <row r="208" spans="1:11" s="932" customFormat="1" x14ac:dyDescent="0.2">
      <c r="A208" s="811">
        <f t="shared" si="44"/>
        <v>153</v>
      </c>
      <c r="B208" s="895" t="s">
        <v>216</v>
      </c>
      <c r="C208" s="893">
        <f t="shared" si="47"/>
        <v>2013</v>
      </c>
      <c r="D208" s="111">
        <v>3333700.0000000005</v>
      </c>
      <c r="E208" s="65">
        <f>D208*'16-PlantAdditions'!$E$94</f>
        <v>250027.50000000003</v>
      </c>
      <c r="F208" s="65">
        <f t="shared" si="45"/>
        <v>3583727.5000000005</v>
      </c>
      <c r="G208" s="111">
        <v>0</v>
      </c>
      <c r="H208" s="111">
        <v>0</v>
      </c>
      <c r="I208" s="65">
        <f>(G208-H208)*'16-PlantAdditions'!$E$94</f>
        <v>0</v>
      </c>
      <c r="J208" s="65">
        <f t="shared" si="46"/>
        <v>94225957.726025492</v>
      </c>
      <c r="K208" s="65">
        <f>J208-J199</f>
        <v>79547754.324999988</v>
      </c>
    </row>
    <row r="209" spans="1:11" s="932" customFormat="1" x14ac:dyDescent="0.2">
      <c r="A209" s="811">
        <f t="shared" si="44"/>
        <v>154</v>
      </c>
      <c r="B209" s="892" t="s">
        <v>219</v>
      </c>
      <c r="C209" s="893">
        <f t="shared" si="47"/>
        <v>2013</v>
      </c>
      <c r="D209" s="111">
        <v>11961710.000000002</v>
      </c>
      <c r="E209" s="65">
        <f>D209*'16-PlantAdditions'!$E$94</f>
        <v>897128.25000000012</v>
      </c>
      <c r="F209" s="65">
        <f t="shared" si="45"/>
        <v>12858838.250000002</v>
      </c>
      <c r="G209" s="111">
        <v>0</v>
      </c>
      <c r="H209" s="111">
        <v>0</v>
      </c>
      <c r="I209" s="65">
        <f>(G209-H209)*'16-PlantAdditions'!$E$94</f>
        <v>0</v>
      </c>
      <c r="J209" s="65">
        <f t="shared" si="46"/>
        <v>107084795.97602549</v>
      </c>
      <c r="K209" s="65">
        <f>J209-J199</f>
        <v>92406592.574999988</v>
      </c>
    </row>
    <row r="210" spans="1:11" s="932" customFormat="1" x14ac:dyDescent="0.2">
      <c r="A210" s="811">
        <f t="shared" si="44"/>
        <v>155</v>
      </c>
      <c r="B210" s="892" t="s">
        <v>218</v>
      </c>
      <c r="C210" s="893">
        <f t="shared" si="47"/>
        <v>2013</v>
      </c>
      <c r="D210" s="111">
        <v>8576860</v>
      </c>
      <c r="E210" s="65">
        <f>D210*'16-PlantAdditions'!$E$94</f>
        <v>643264.5</v>
      </c>
      <c r="F210" s="65">
        <f t="shared" si="45"/>
        <v>9220124.5</v>
      </c>
      <c r="G210" s="111">
        <v>0</v>
      </c>
      <c r="H210" s="111">
        <v>0</v>
      </c>
      <c r="I210" s="65">
        <f>(G210-H210)*'16-PlantAdditions'!$E$94</f>
        <v>0</v>
      </c>
      <c r="J210" s="65">
        <f t="shared" si="46"/>
        <v>116304920.47602549</v>
      </c>
      <c r="K210" s="65">
        <f>J210-J199</f>
        <v>101626717.07499999</v>
      </c>
    </row>
    <row r="211" spans="1:11" s="932" customFormat="1" x14ac:dyDescent="0.2">
      <c r="A211" s="811">
        <f t="shared" si="44"/>
        <v>156</v>
      </c>
      <c r="B211" s="892" t="s">
        <v>208</v>
      </c>
      <c r="C211" s="893">
        <f t="shared" si="47"/>
        <v>2013</v>
      </c>
      <c r="D211" s="111">
        <v>5379009.9999999991</v>
      </c>
      <c r="E211" s="65">
        <f>D211*'16-PlantAdditions'!$E$94</f>
        <v>403425.74999999994</v>
      </c>
      <c r="F211" s="65">
        <f t="shared" si="45"/>
        <v>5782435.7499999991</v>
      </c>
      <c r="G211" s="111">
        <v>0</v>
      </c>
      <c r="H211" s="111">
        <v>0</v>
      </c>
      <c r="I211" s="65">
        <f>(G211-H211)*'16-PlantAdditions'!$E$94</f>
        <v>0</v>
      </c>
      <c r="J211" s="65">
        <f t="shared" si="46"/>
        <v>122087356.22602549</v>
      </c>
      <c r="K211" s="65">
        <f>J211-J199</f>
        <v>107409152.82499999</v>
      </c>
    </row>
    <row r="212" spans="1:11" s="932" customFormat="1" x14ac:dyDescent="0.2">
      <c r="A212" s="811">
        <f t="shared" si="44"/>
        <v>157</v>
      </c>
      <c r="B212" s="892" t="s">
        <v>209</v>
      </c>
      <c r="C212" s="893">
        <f>C211+1</f>
        <v>2014</v>
      </c>
      <c r="D212" s="111">
        <v>7515980</v>
      </c>
      <c r="E212" s="65">
        <f>D212*'16-PlantAdditions'!$E$94</f>
        <v>563698.5</v>
      </c>
      <c r="F212" s="65">
        <f t="shared" si="45"/>
        <v>8079678.5</v>
      </c>
      <c r="G212" s="111">
        <v>0</v>
      </c>
      <c r="H212" s="111">
        <v>0</v>
      </c>
      <c r="I212" s="65">
        <f>(G212-H212)*'16-PlantAdditions'!$E$94</f>
        <v>0</v>
      </c>
      <c r="J212" s="65">
        <f t="shared" si="46"/>
        <v>130167034.72602549</v>
      </c>
      <c r="K212" s="65">
        <f>J212-J199</f>
        <v>115488831.32499999</v>
      </c>
    </row>
    <row r="213" spans="1:11" s="932" customFormat="1" x14ac:dyDescent="0.2">
      <c r="A213" s="811">
        <f t="shared" si="44"/>
        <v>158</v>
      </c>
      <c r="B213" s="895" t="s">
        <v>210</v>
      </c>
      <c r="C213" s="893">
        <f>C212</f>
        <v>2014</v>
      </c>
      <c r="D213" s="111">
        <v>7543140</v>
      </c>
      <c r="E213" s="65">
        <f>D213*'16-PlantAdditions'!$E$94</f>
        <v>565735.5</v>
      </c>
      <c r="F213" s="65">
        <f t="shared" si="45"/>
        <v>8108875.5</v>
      </c>
      <c r="G213" s="111">
        <v>0</v>
      </c>
      <c r="H213" s="111">
        <v>0</v>
      </c>
      <c r="I213" s="65">
        <f>(G213-H213)*'16-PlantAdditions'!$E$94</f>
        <v>0</v>
      </c>
      <c r="J213" s="65">
        <f t="shared" si="46"/>
        <v>138275910.22602549</v>
      </c>
      <c r="K213" s="65">
        <f>J213-J199</f>
        <v>123597706.82499999</v>
      </c>
    </row>
    <row r="214" spans="1:11" s="932" customFormat="1" x14ac:dyDescent="0.2">
      <c r="A214" s="811">
        <f t="shared" si="44"/>
        <v>159</v>
      </c>
      <c r="B214" s="895" t="s">
        <v>223</v>
      </c>
      <c r="C214" s="893">
        <f t="shared" ref="C214:C220" si="48">C213</f>
        <v>2014</v>
      </c>
      <c r="D214" s="111">
        <v>10225730</v>
      </c>
      <c r="E214" s="65">
        <f>D214*'16-PlantAdditions'!$E$94</f>
        <v>766929.75</v>
      </c>
      <c r="F214" s="65">
        <f t="shared" si="45"/>
        <v>10992659.75</v>
      </c>
      <c r="G214" s="111">
        <v>0</v>
      </c>
      <c r="H214" s="111">
        <v>0</v>
      </c>
      <c r="I214" s="65">
        <f>(G214-H214)*'16-PlantAdditions'!$E$94</f>
        <v>0</v>
      </c>
      <c r="J214" s="65">
        <f t="shared" si="46"/>
        <v>149268569.97602549</v>
      </c>
      <c r="K214" s="65">
        <f>J214-J199</f>
        <v>134590366.57499999</v>
      </c>
    </row>
    <row r="215" spans="1:11" s="932" customFormat="1" x14ac:dyDescent="0.2">
      <c r="A215" s="811">
        <f t="shared" si="44"/>
        <v>160</v>
      </c>
      <c r="B215" s="892" t="s">
        <v>211</v>
      </c>
      <c r="C215" s="893">
        <f t="shared" si="48"/>
        <v>2014</v>
      </c>
      <c r="D215" s="111">
        <v>12676970</v>
      </c>
      <c r="E215" s="65">
        <f>D215*'16-PlantAdditions'!$E$94</f>
        <v>950772.75</v>
      </c>
      <c r="F215" s="65">
        <f t="shared" si="45"/>
        <v>13627742.75</v>
      </c>
      <c r="G215" s="111">
        <v>0</v>
      </c>
      <c r="H215" s="111">
        <v>0</v>
      </c>
      <c r="I215" s="65">
        <f>(G215-H215)*'16-PlantAdditions'!$E$94</f>
        <v>0</v>
      </c>
      <c r="J215" s="65">
        <f t="shared" si="46"/>
        <v>162896312.72602549</v>
      </c>
      <c r="K215" s="65">
        <f>J215-J199</f>
        <v>148218109.32499999</v>
      </c>
    </row>
    <row r="216" spans="1:11" s="932" customFormat="1" x14ac:dyDescent="0.2">
      <c r="A216" s="811">
        <f t="shared" si="44"/>
        <v>161</v>
      </c>
      <c r="B216" s="895" t="s">
        <v>212</v>
      </c>
      <c r="C216" s="893">
        <f t="shared" si="48"/>
        <v>2014</v>
      </c>
      <c r="D216" s="111">
        <v>10872889.999999998</v>
      </c>
      <c r="E216" s="65">
        <f>D216*'16-PlantAdditions'!$E$94</f>
        <v>815466.74999999988</v>
      </c>
      <c r="F216" s="65">
        <f t="shared" si="45"/>
        <v>11688356.749999998</v>
      </c>
      <c r="G216" s="111">
        <v>0</v>
      </c>
      <c r="H216" s="111">
        <v>0</v>
      </c>
      <c r="I216" s="65">
        <f>(G216-H216)*'16-PlantAdditions'!$E$94</f>
        <v>0</v>
      </c>
      <c r="J216" s="65">
        <f t="shared" si="46"/>
        <v>174584669.47602549</v>
      </c>
      <c r="K216" s="65">
        <f>J216-J199</f>
        <v>159906466.07499999</v>
      </c>
    </row>
    <row r="217" spans="1:11" s="932" customFormat="1" x14ac:dyDescent="0.2">
      <c r="A217" s="811">
        <f t="shared" si="44"/>
        <v>162</v>
      </c>
      <c r="B217" s="895" t="s">
        <v>1877</v>
      </c>
      <c r="C217" s="893">
        <f t="shared" si="48"/>
        <v>2014</v>
      </c>
      <c r="D217" s="111">
        <v>4996740</v>
      </c>
      <c r="E217" s="65">
        <f>D217*'16-PlantAdditions'!$E$94</f>
        <v>374755.5</v>
      </c>
      <c r="F217" s="65">
        <f t="shared" si="45"/>
        <v>5371495.5</v>
      </c>
      <c r="G217" s="111">
        <v>0</v>
      </c>
      <c r="H217" s="111">
        <v>0</v>
      </c>
      <c r="I217" s="65">
        <f>(G217-H217)*'16-PlantAdditions'!$E$94</f>
        <v>0</v>
      </c>
      <c r="J217" s="65">
        <f t="shared" si="46"/>
        <v>179956164.97602549</v>
      </c>
      <c r="K217" s="65">
        <f>J217-J199</f>
        <v>165277961.57499999</v>
      </c>
    </row>
    <row r="218" spans="1:11" s="932" customFormat="1" x14ac:dyDescent="0.2">
      <c r="A218" s="811">
        <f t="shared" si="44"/>
        <v>163</v>
      </c>
      <c r="B218" s="892" t="s">
        <v>214</v>
      </c>
      <c r="C218" s="893">
        <f t="shared" si="48"/>
        <v>2014</v>
      </c>
      <c r="D218" s="111">
        <v>4499170</v>
      </c>
      <c r="E218" s="65">
        <f>D218*'16-PlantAdditions'!$E$94</f>
        <v>337437.75</v>
      </c>
      <c r="F218" s="65">
        <f t="shared" si="45"/>
        <v>4836607.75</v>
      </c>
      <c r="G218" s="111">
        <v>0</v>
      </c>
      <c r="H218" s="111">
        <v>0</v>
      </c>
      <c r="I218" s="65">
        <f>(G218-H218)*'16-PlantAdditions'!$E$94</f>
        <v>0</v>
      </c>
      <c r="J218" s="65">
        <f t="shared" si="46"/>
        <v>184792772.72602549</v>
      </c>
      <c r="K218" s="65">
        <f>J218-J199</f>
        <v>170114569.32499999</v>
      </c>
    </row>
    <row r="219" spans="1:11" s="932" customFormat="1" x14ac:dyDescent="0.2">
      <c r="A219" s="811">
        <f t="shared" si="44"/>
        <v>164</v>
      </c>
      <c r="B219" s="895" t="s">
        <v>215</v>
      </c>
      <c r="C219" s="893">
        <f t="shared" si="48"/>
        <v>2014</v>
      </c>
      <c r="D219" s="111">
        <v>5579050</v>
      </c>
      <c r="E219" s="65">
        <f>D219*'16-PlantAdditions'!$E$94</f>
        <v>418428.75</v>
      </c>
      <c r="F219" s="65">
        <f t="shared" si="45"/>
        <v>5997478.75</v>
      </c>
      <c r="G219" s="111">
        <v>0</v>
      </c>
      <c r="H219" s="111">
        <v>0</v>
      </c>
      <c r="I219" s="65">
        <f>(G219-H219)*'16-PlantAdditions'!$E$94</f>
        <v>0</v>
      </c>
      <c r="J219" s="65">
        <f t="shared" si="46"/>
        <v>190790251.47602549</v>
      </c>
      <c r="K219" s="65">
        <f>J219-J199</f>
        <v>176112048.07499999</v>
      </c>
    </row>
    <row r="220" spans="1:11" s="932" customFormat="1" x14ac:dyDescent="0.2">
      <c r="A220" s="811">
        <f t="shared" si="44"/>
        <v>165</v>
      </c>
      <c r="B220" s="895" t="s">
        <v>216</v>
      </c>
      <c r="C220" s="893">
        <f t="shared" si="48"/>
        <v>2014</v>
      </c>
      <c r="D220" s="111">
        <v>4302730</v>
      </c>
      <c r="E220" s="65">
        <f>D220*'16-PlantAdditions'!$E$94</f>
        <v>322704.75</v>
      </c>
      <c r="F220" s="65">
        <f t="shared" si="45"/>
        <v>4625434.75</v>
      </c>
      <c r="G220" s="111">
        <v>0</v>
      </c>
      <c r="H220" s="111">
        <v>0</v>
      </c>
      <c r="I220" s="65">
        <f>(G220-H220)*'16-PlantAdditions'!$E$94</f>
        <v>0</v>
      </c>
      <c r="J220" s="65">
        <f t="shared" si="46"/>
        <v>195415686.22602549</v>
      </c>
      <c r="K220" s="116">
        <f>J220-J199</f>
        <v>180737482.82499999</v>
      </c>
    </row>
    <row r="221" spans="1:11" s="932" customFormat="1" x14ac:dyDescent="0.2">
      <c r="A221" s="811">
        <f>A220+1</f>
        <v>166</v>
      </c>
      <c r="B221"/>
      <c r="C221" s="931" t="s">
        <v>2084</v>
      </c>
      <c r="D221"/>
      <c r="E221"/>
      <c r="F221"/>
      <c r="G221"/>
      <c r="H221"/>
      <c r="I221"/>
      <c r="J221"/>
      <c r="K221" s="76">
        <f>AVERAGE(K208:K220)</f>
        <v>135002596.82500002</v>
      </c>
    </row>
    <row r="222" spans="1:11" s="932" customFormat="1" x14ac:dyDescent="0.2">
      <c r="A222" s="811"/>
      <c r="B222"/>
      <c r="C222" s="931"/>
      <c r="D222"/>
      <c r="E222"/>
      <c r="F222"/>
      <c r="G222"/>
      <c r="H222"/>
      <c r="I222"/>
      <c r="J222"/>
      <c r="K222" s="76"/>
    </row>
    <row r="223" spans="1:11" s="932" customFormat="1" x14ac:dyDescent="0.2">
      <c r="B223" s="933" t="s">
        <v>2619</v>
      </c>
      <c r="D223" s="1195" t="s">
        <v>2620</v>
      </c>
      <c r="E223" s="1195"/>
    </row>
    <row r="224" spans="1:11" s="932" customFormat="1" x14ac:dyDescent="0.2">
      <c r="D224" s="934"/>
      <c r="E224" s="934"/>
      <c r="F224" s="934"/>
      <c r="G224" s="811" t="s">
        <v>2621</v>
      </c>
      <c r="H224" s="934"/>
      <c r="I224" s="934"/>
    </row>
    <row r="225" spans="1:11" s="932" customFormat="1" x14ac:dyDescent="0.2">
      <c r="A225" s="929"/>
      <c r="B225" s="929"/>
      <c r="C225" s="929"/>
      <c r="D225" s="929" t="str">
        <f>D$52</f>
        <v>Forecast</v>
      </c>
      <c r="E225" s="929" t="str">
        <f t="shared" ref="E225:J225" si="49">E$52</f>
        <v>Corporate</v>
      </c>
      <c r="F225" s="929" t="str">
        <f t="shared" si="49"/>
        <v xml:space="preserve">Total </v>
      </c>
      <c r="G225" s="929" t="s">
        <v>224</v>
      </c>
      <c r="H225" s="929" t="str">
        <f t="shared" si="49"/>
        <v>Prior Period</v>
      </c>
      <c r="I225" s="929" t="str">
        <f t="shared" si="49"/>
        <v>Over Heads</v>
      </c>
      <c r="J225" s="929" t="str">
        <f t="shared" si="49"/>
        <v>Forecast</v>
      </c>
      <c r="K225" s="811" t="str">
        <f>K$52</f>
        <v>Forecast Period</v>
      </c>
    </row>
    <row r="226" spans="1:11" s="932" customFormat="1" x14ac:dyDescent="0.2">
      <c r="A226" s="53" t="s">
        <v>369</v>
      </c>
      <c r="B226" s="891" t="s">
        <v>220</v>
      </c>
      <c r="C226" s="891" t="s">
        <v>221</v>
      </c>
      <c r="D226" s="927" t="str">
        <f>D$53</f>
        <v>Expenditures</v>
      </c>
      <c r="E226" s="927" t="str">
        <f t="shared" ref="E226:J226" si="50">E$53</f>
        <v>Overheads</v>
      </c>
      <c r="F226" s="927" t="str">
        <f t="shared" si="50"/>
        <v>CWIP Exp</v>
      </c>
      <c r="G226" s="927" t="s">
        <v>2602</v>
      </c>
      <c r="H226" s="927" t="str">
        <f t="shared" si="50"/>
        <v>CWIP Closed</v>
      </c>
      <c r="I226" s="927" t="str">
        <f t="shared" si="50"/>
        <v>Closed to PIS</v>
      </c>
      <c r="J226" s="927" t="str">
        <f t="shared" si="50"/>
        <v>Period CWIP</v>
      </c>
      <c r="K226" s="927" t="str">
        <f>K$53</f>
        <v>Incremental CWIP</v>
      </c>
    </row>
    <row r="227" spans="1:11" s="932" customFormat="1" x14ac:dyDescent="0.2">
      <c r="A227" s="811">
        <f>A221+1</f>
        <v>167</v>
      </c>
      <c r="B227" s="892" t="s">
        <v>208</v>
      </c>
      <c r="C227" s="893">
        <v>2012</v>
      </c>
      <c r="D227" s="936" t="s">
        <v>86</v>
      </c>
      <c r="E227" s="936" t="s">
        <v>86</v>
      </c>
      <c r="F227" s="936" t="s">
        <v>86</v>
      </c>
      <c r="G227" s="936" t="s">
        <v>86</v>
      </c>
      <c r="H227" s="936" t="s">
        <v>86</v>
      </c>
      <c r="I227" s="936" t="s">
        <v>86</v>
      </c>
      <c r="J227" s="65">
        <f>D45</f>
        <v>2893212.161289352</v>
      </c>
      <c r="K227" s="936" t="s">
        <v>86</v>
      </c>
    </row>
    <row r="228" spans="1:11" s="932" customFormat="1" x14ac:dyDescent="0.2">
      <c r="A228" s="811">
        <f>A227+1</f>
        <v>168</v>
      </c>
      <c r="B228" s="892" t="s">
        <v>209</v>
      </c>
      <c r="C228" s="893">
        <f>C227+1</f>
        <v>2013</v>
      </c>
      <c r="D228" s="111">
        <v>256480.19</v>
      </c>
      <c r="E228" s="65">
        <f>D228*'16-PlantAdditions'!$E$94</f>
        <v>19236.01425</v>
      </c>
      <c r="F228" s="65">
        <f>E228+D228</f>
        <v>275716.20425000001</v>
      </c>
      <c r="G228" s="111">
        <v>0</v>
      </c>
      <c r="H228" s="111">
        <v>0</v>
      </c>
      <c r="I228" s="65">
        <f>(G228-H228)*'16-PlantAdditions'!$E$94</f>
        <v>0</v>
      </c>
      <c r="J228" s="65">
        <f>J227+F228-G228-I228</f>
        <v>3168928.3655393519</v>
      </c>
      <c r="K228" s="65">
        <f>J228-J227</f>
        <v>275716.20424999995</v>
      </c>
    </row>
    <row r="229" spans="1:11" s="932" customFormat="1" x14ac:dyDescent="0.2">
      <c r="A229" s="811">
        <f t="shared" ref="A229:A248" si="51">A228+1</f>
        <v>169</v>
      </c>
      <c r="B229" s="895" t="s">
        <v>210</v>
      </c>
      <c r="C229" s="893">
        <f>C228</f>
        <v>2013</v>
      </c>
      <c r="D229" s="111">
        <v>17212.300000000003</v>
      </c>
      <c r="E229" s="65">
        <f>D229*'16-PlantAdditions'!$E$94</f>
        <v>1290.9225000000001</v>
      </c>
      <c r="F229" s="65">
        <f t="shared" ref="F229:F248" si="52">E229+D229</f>
        <v>18503.222500000003</v>
      </c>
      <c r="G229" s="111">
        <v>0</v>
      </c>
      <c r="H229" s="111">
        <v>0</v>
      </c>
      <c r="I229" s="65">
        <f>(G229-H229)*'16-PlantAdditions'!$E$94</f>
        <v>0</v>
      </c>
      <c r="J229" s="65">
        <f t="shared" ref="J229:J248" si="53">J228+F229-G229-I229</f>
        <v>3187431.5880393521</v>
      </c>
      <c r="K229" s="65">
        <f>J229-J$171</f>
        <v>3260719.5310955588</v>
      </c>
    </row>
    <row r="230" spans="1:11" s="932" customFormat="1" x14ac:dyDescent="0.2">
      <c r="A230" s="811">
        <f t="shared" si="51"/>
        <v>170</v>
      </c>
      <c r="B230" s="895" t="s">
        <v>223</v>
      </c>
      <c r="C230" s="893">
        <f t="shared" ref="C230:C239" si="54">C229</f>
        <v>2013</v>
      </c>
      <c r="D230" s="111">
        <v>1201572.2700000009</v>
      </c>
      <c r="E230" s="65">
        <f>D230*'16-PlantAdditions'!$E$94</f>
        <v>90117.920250000068</v>
      </c>
      <c r="F230" s="65">
        <f t="shared" si="52"/>
        <v>1291690.1902500009</v>
      </c>
      <c r="G230" s="111">
        <v>0</v>
      </c>
      <c r="H230" s="111">
        <v>0</v>
      </c>
      <c r="I230" s="65">
        <f>(G230-H230)*'16-PlantAdditions'!$E$94</f>
        <v>0</v>
      </c>
      <c r="J230" s="65">
        <f t="shared" si="53"/>
        <v>4479121.7782893535</v>
      </c>
      <c r="K230" s="65">
        <f>J230-J227</f>
        <v>1585909.6170000015</v>
      </c>
    </row>
    <row r="231" spans="1:11" s="932" customFormat="1" x14ac:dyDescent="0.2">
      <c r="A231" s="811">
        <f t="shared" si="51"/>
        <v>171</v>
      </c>
      <c r="B231" s="892" t="s">
        <v>211</v>
      </c>
      <c r="C231" s="893">
        <f t="shared" si="54"/>
        <v>2013</v>
      </c>
      <c r="D231" s="111">
        <v>73600</v>
      </c>
      <c r="E231" s="65">
        <f>D231*'16-PlantAdditions'!$E$94</f>
        <v>5520</v>
      </c>
      <c r="F231" s="65">
        <f t="shared" si="52"/>
        <v>79120</v>
      </c>
      <c r="G231" s="111">
        <v>0</v>
      </c>
      <c r="H231" s="111">
        <v>0</v>
      </c>
      <c r="I231" s="65">
        <f>(G231-H231)*'16-PlantAdditions'!$E$94</f>
        <v>0</v>
      </c>
      <c r="J231" s="65">
        <f t="shared" si="53"/>
        <v>4558241.7782893535</v>
      </c>
      <c r="K231" s="65">
        <f>J231-J227</f>
        <v>1665029.6170000015</v>
      </c>
    </row>
    <row r="232" spans="1:11" s="932" customFormat="1" x14ac:dyDescent="0.2">
      <c r="A232" s="811">
        <f t="shared" si="51"/>
        <v>172</v>
      </c>
      <c r="B232" s="895" t="s">
        <v>212</v>
      </c>
      <c r="C232" s="893">
        <f t="shared" si="54"/>
        <v>2013</v>
      </c>
      <c r="D232" s="111">
        <v>137800</v>
      </c>
      <c r="E232" s="65">
        <f>D232*'16-PlantAdditions'!$E$94</f>
        <v>10335</v>
      </c>
      <c r="F232" s="65">
        <f t="shared" si="52"/>
        <v>148135</v>
      </c>
      <c r="G232" s="111">
        <v>0</v>
      </c>
      <c r="H232" s="111">
        <v>0</v>
      </c>
      <c r="I232" s="65">
        <f>(G232-H232)*'16-PlantAdditions'!$E$94</f>
        <v>0</v>
      </c>
      <c r="J232" s="65">
        <f t="shared" si="53"/>
        <v>4706376.7782893535</v>
      </c>
      <c r="K232" s="65">
        <f>J232-J227</f>
        <v>1813164.6170000015</v>
      </c>
    </row>
    <row r="233" spans="1:11" s="932" customFormat="1" x14ac:dyDescent="0.2">
      <c r="A233" s="811">
        <f t="shared" si="51"/>
        <v>173</v>
      </c>
      <c r="B233" s="895" t="s">
        <v>1877</v>
      </c>
      <c r="C233" s="893">
        <f t="shared" si="54"/>
        <v>2013</v>
      </c>
      <c r="D233" s="111">
        <v>495000</v>
      </c>
      <c r="E233" s="65">
        <f>D233*'16-PlantAdditions'!$E$94</f>
        <v>37125</v>
      </c>
      <c r="F233" s="65">
        <f t="shared" si="52"/>
        <v>532125</v>
      </c>
      <c r="G233" s="111">
        <v>0</v>
      </c>
      <c r="H233" s="111">
        <v>0</v>
      </c>
      <c r="I233" s="65">
        <f>(G233-H233)*'16-PlantAdditions'!$E$94</f>
        <v>0</v>
      </c>
      <c r="J233" s="65">
        <f t="shared" si="53"/>
        <v>5238501.7782893535</v>
      </c>
      <c r="K233" s="65">
        <f>J233-J227</f>
        <v>2345289.6170000015</v>
      </c>
    </row>
    <row r="234" spans="1:11" s="932" customFormat="1" x14ac:dyDescent="0.2">
      <c r="A234" s="811">
        <f t="shared" si="51"/>
        <v>174</v>
      </c>
      <c r="B234" s="892" t="s">
        <v>214</v>
      </c>
      <c r="C234" s="893">
        <f t="shared" si="54"/>
        <v>2013</v>
      </c>
      <c r="D234" s="111">
        <v>676000</v>
      </c>
      <c r="E234" s="65">
        <f>D234*'16-PlantAdditions'!$E$94</f>
        <v>50700</v>
      </c>
      <c r="F234" s="65">
        <f t="shared" si="52"/>
        <v>726700</v>
      </c>
      <c r="G234" s="111">
        <v>0</v>
      </c>
      <c r="H234" s="111">
        <v>0</v>
      </c>
      <c r="I234" s="65">
        <f>(G234-H234)*'16-PlantAdditions'!$E$94</f>
        <v>0</v>
      </c>
      <c r="J234" s="65">
        <f t="shared" si="53"/>
        <v>5965201.7782893535</v>
      </c>
      <c r="K234" s="65">
        <f>J234-J227</f>
        <v>3071989.6170000015</v>
      </c>
    </row>
    <row r="235" spans="1:11" s="932" customFormat="1" x14ac:dyDescent="0.2">
      <c r="A235" s="811">
        <f t="shared" si="51"/>
        <v>175</v>
      </c>
      <c r="B235" s="895" t="s">
        <v>215</v>
      </c>
      <c r="C235" s="893">
        <f t="shared" si="54"/>
        <v>2013</v>
      </c>
      <c r="D235" s="111">
        <v>646000</v>
      </c>
      <c r="E235" s="65">
        <f>D235*'16-PlantAdditions'!$E$94</f>
        <v>48450</v>
      </c>
      <c r="F235" s="65">
        <f t="shared" si="52"/>
        <v>694450</v>
      </c>
      <c r="G235" s="111">
        <v>0</v>
      </c>
      <c r="H235" s="111">
        <v>0</v>
      </c>
      <c r="I235" s="65">
        <f>(G235-H235)*'16-PlantAdditions'!$E$94</f>
        <v>0</v>
      </c>
      <c r="J235" s="65">
        <f t="shared" si="53"/>
        <v>6659651.7782893535</v>
      </c>
      <c r="K235" s="65">
        <f>J235-J227</f>
        <v>3766439.6170000015</v>
      </c>
    </row>
    <row r="236" spans="1:11" s="932" customFormat="1" x14ac:dyDescent="0.2">
      <c r="A236" s="811">
        <f t="shared" si="51"/>
        <v>176</v>
      </c>
      <c r="B236" s="895" t="s">
        <v>216</v>
      </c>
      <c r="C236" s="893">
        <f t="shared" si="54"/>
        <v>2013</v>
      </c>
      <c r="D236" s="111">
        <v>808964.84</v>
      </c>
      <c r="E236" s="65">
        <f>D236*'16-PlantAdditions'!$E$94</f>
        <v>60672.362999999998</v>
      </c>
      <c r="F236" s="65">
        <f t="shared" si="52"/>
        <v>869637.20299999998</v>
      </c>
      <c r="G236" s="111">
        <v>6393211.8512893533</v>
      </c>
      <c r="H236" s="111">
        <v>2893212.161289352</v>
      </c>
      <c r="I236" s="65">
        <f>(G236-H236)*'16-PlantAdditions'!$E$94</f>
        <v>262499.97675000009</v>
      </c>
      <c r="J236" s="65">
        <f t="shared" si="53"/>
        <v>873577.15324999974</v>
      </c>
      <c r="K236" s="65">
        <f>J236-J227</f>
        <v>-2019635.0080393523</v>
      </c>
    </row>
    <row r="237" spans="1:11" s="932" customFormat="1" x14ac:dyDescent="0.2">
      <c r="A237" s="811">
        <f t="shared" si="51"/>
        <v>177</v>
      </c>
      <c r="B237" s="892" t="s">
        <v>219</v>
      </c>
      <c r="C237" s="893">
        <f t="shared" si="54"/>
        <v>2013</v>
      </c>
      <c r="D237" s="111">
        <v>274600</v>
      </c>
      <c r="E237" s="65">
        <f>D237*'16-PlantAdditions'!$E$94</f>
        <v>20595</v>
      </c>
      <c r="F237" s="65">
        <f t="shared" si="52"/>
        <v>295195</v>
      </c>
      <c r="G237" s="111">
        <v>0</v>
      </c>
      <c r="H237" s="111">
        <v>0</v>
      </c>
      <c r="I237" s="65">
        <f>(G237-H237)*'16-PlantAdditions'!$E$94</f>
        <v>0</v>
      </c>
      <c r="J237" s="65">
        <f t="shared" si="53"/>
        <v>1168772.1532499997</v>
      </c>
      <c r="K237" s="65">
        <f>J237-J227</f>
        <v>-1724440.0080393523</v>
      </c>
    </row>
    <row r="238" spans="1:11" s="932" customFormat="1" x14ac:dyDescent="0.2">
      <c r="A238" s="811">
        <f t="shared" si="51"/>
        <v>178</v>
      </c>
      <c r="B238" s="892" t="s">
        <v>218</v>
      </c>
      <c r="C238" s="893">
        <f t="shared" si="54"/>
        <v>2013</v>
      </c>
      <c r="D238" s="111">
        <v>1238200</v>
      </c>
      <c r="E238" s="65">
        <f>D238*'16-PlantAdditions'!$E$94</f>
        <v>92865</v>
      </c>
      <c r="F238" s="65">
        <f t="shared" si="52"/>
        <v>1331065</v>
      </c>
      <c r="G238" s="111">
        <v>0</v>
      </c>
      <c r="H238" s="111">
        <v>0</v>
      </c>
      <c r="I238" s="65">
        <f>(G238-H238)*'16-PlantAdditions'!$E$94</f>
        <v>0</v>
      </c>
      <c r="J238" s="65">
        <f t="shared" si="53"/>
        <v>2499837.1532499995</v>
      </c>
      <c r="K238" s="65">
        <f>J238-J227</f>
        <v>-393375.00803935248</v>
      </c>
    </row>
    <row r="239" spans="1:11" s="932" customFormat="1" x14ac:dyDescent="0.2">
      <c r="A239" s="811">
        <f t="shared" si="51"/>
        <v>179</v>
      </c>
      <c r="B239" s="892" t="s">
        <v>208</v>
      </c>
      <c r="C239" s="893">
        <f t="shared" si="54"/>
        <v>2013</v>
      </c>
      <c r="D239" s="111">
        <v>674569.48</v>
      </c>
      <c r="E239" s="65">
        <f>D239*'16-PlantAdditions'!$E$94</f>
        <v>50592.710999999996</v>
      </c>
      <c r="F239" s="65">
        <f t="shared" si="52"/>
        <v>725162.19099999999</v>
      </c>
      <c r="G239" s="111">
        <v>0</v>
      </c>
      <c r="H239" s="111">
        <v>0</v>
      </c>
      <c r="I239" s="65">
        <f>(G239-H239)*'16-PlantAdditions'!$E$94</f>
        <v>0</v>
      </c>
      <c r="J239" s="65">
        <f t="shared" si="53"/>
        <v>3224999.3442499996</v>
      </c>
      <c r="K239" s="65">
        <f>J239-J227</f>
        <v>331787.18296064762</v>
      </c>
    </row>
    <row r="240" spans="1:11" s="932" customFormat="1" x14ac:dyDescent="0.2">
      <c r="A240" s="811">
        <f t="shared" si="51"/>
        <v>180</v>
      </c>
      <c r="B240" s="892" t="s">
        <v>209</v>
      </c>
      <c r="C240" s="893">
        <f>C239+1</f>
        <v>2014</v>
      </c>
      <c r="D240" s="111">
        <v>310600</v>
      </c>
      <c r="E240" s="65">
        <f>D240*'16-PlantAdditions'!$E$94</f>
        <v>23295</v>
      </c>
      <c r="F240" s="65">
        <f t="shared" si="52"/>
        <v>333895</v>
      </c>
      <c r="G240" s="111">
        <v>0</v>
      </c>
      <c r="H240" s="111">
        <v>0</v>
      </c>
      <c r="I240" s="65">
        <f>(G240-H240)*'16-PlantAdditions'!$E$94</f>
        <v>0</v>
      </c>
      <c r="J240" s="65">
        <f t="shared" si="53"/>
        <v>3558894.3442499996</v>
      </c>
      <c r="K240" s="65">
        <f>J240-J227</f>
        <v>665682.18296064762</v>
      </c>
    </row>
    <row r="241" spans="1:11" s="932" customFormat="1" x14ac:dyDescent="0.2">
      <c r="A241" s="811">
        <f t="shared" si="51"/>
        <v>181</v>
      </c>
      <c r="B241" s="895" t="s">
        <v>210</v>
      </c>
      <c r="C241" s="893">
        <f>C240</f>
        <v>2014</v>
      </c>
      <c r="D241" s="111">
        <v>352804</v>
      </c>
      <c r="E241" s="65">
        <f>D241*'16-PlantAdditions'!$E$94</f>
        <v>26460.3</v>
      </c>
      <c r="F241" s="65">
        <f t="shared" si="52"/>
        <v>379264.3</v>
      </c>
      <c r="G241" s="111">
        <v>0</v>
      </c>
      <c r="H241" s="111">
        <v>0</v>
      </c>
      <c r="I241" s="65">
        <f>(G241-H241)*'16-PlantAdditions'!$E$94</f>
        <v>0</v>
      </c>
      <c r="J241" s="65">
        <f t="shared" si="53"/>
        <v>3938158.6442499994</v>
      </c>
      <c r="K241" s="65">
        <f>J241-J227</f>
        <v>1044946.4829606474</v>
      </c>
    </row>
    <row r="242" spans="1:11" s="932" customFormat="1" x14ac:dyDescent="0.2">
      <c r="A242" s="811">
        <f t="shared" si="51"/>
        <v>182</v>
      </c>
      <c r="B242" s="895" t="s">
        <v>223</v>
      </c>
      <c r="C242" s="893">
        <f t="shared" ref="C242:C248" si="55">C241</f>
        <v>2014</v>
      </c>
      <c r="D242" s="111">
        <v>652000</v>
      </c>
      <c r="E242" s="65">
        <f>D242*'16-PlantAdditions'!$E$94</f>
        <v>48900</v>
      </c>
      <c r="F242" s="65">
        <f t="shared" si="52"/>
        <v>700900</v>
      </c>
      <c r="G242" s="111">
        <v>0</v>
      </c>
      <c r="H242" s="111">
        <v>0</v>
      </c>
      <c r="I242" s="65">
        <f>(G242-H242)*'16-PlantAdditions'!$E$94</f>
        <v>0</v>
      </c>
      <c r="J242" s="65">
        <f t="shared" si="53"/>
        <v>4639058.6442499999</v>
      </c>
      <c r="K242" s="65">
        <f>J242-J227</f>
        <v>1745846.4829606479</v>
      </c>
    </row>
    <row r="243" spans="1:11" s="932" customFormat="1" x14ac:dyDescent="0.2">
      <c r="A243" s="811">
        <f t="shared" si="51"/>
        <v>183</v>
      </c>
      <c r="B243" s="892" t="s">
        <v>211</v>
      </c>
      <c r="C243" s="893">
        <f t="shared" si="55"/>
        <v>2014</v>
      </c>
      <c r="D243" s="111">
        <v>596000</v>
      </c>
      <c r="E243" s="65">
        <f>D243*'16-PlantAdditions'!$E$94</f>
        <v>44700</v>
      </c>
      <c r="F243" s="65">
        <f t="shared" si="52"/>
        <v>640700</v>
      </c>
      <c r="G243" s="111">
        <v>0</v>
      </c>
      <c r="H243" s="111">
        <v>0</v>
      </c>
      <c r="I243" s="65">
        <f>(G243-H243)*'16-PlantAdditions'!$E$94</f>
        <v>0</v>
      </c>
      <c r="J243" s="65">
        <f t="shared" si="53"/>
        <v>5279758.6442499999</v>
      </c>
      <c r="K243" s="65">
        <f>J243-J227</f>
        <v>2386546.4829606479</v>
      </c>
    </row>
    <row r="244" spans="1:11" s="932" customFormat="1" x14ac:dyDescent="0.2">
      <c r="A244" s="811">
        <f t="shared" si="51"/>
        <v>184</v>
      </c>
      <c r="B244" s="895" t="s">
        <v>212</v>
      </c>
      <c r="C244" s="893">
        <f t="shared" si="55"/>
        <v>2014</v>
      </c>
      <c r="D244" s="111">
        <v>593200</v>
      </c>
      <c r="E244" s="65">
        <f>D244*'16-PlantAdditions'!$E$94</f>
        <v>44490</v>
      </c>
      <c r="F244" s="65">
        <f t="shared" si="52"/>
        <v>637690</v>
      </c>
      <c r="G244" s="111">
        <v>0</v>
      </c>
      <c r="H244" s="111">
        <v>0</v>
      </c>
      <c r="I244" s="65">
        <f>(G244-H244)*'16-PlantAdditions'!$E$94</f>
        <v>0</v>
      </c>
      <c r="J244" s="65">
        <f t="shared" si="53"/>
        <v>5917448.6442499999</v>
      </c>
      <c r="K244" s="65">
        <f>J244-J227</f>
        <v>3024236.4829606479</v>
      </c>
    </row>
    <row r="245" spans="1:11" s="932" customFormat="1" x14ac:dyDescent="0.2">
      <c r="A245" s="811">
        <f t="shared" si="51"/>
        <v>185</v>
      </c>
      <c r="B245" s="895" t="s">
        <v>1877</v>
      </c>
      <c r="C245" s="893">
        <f t="shared" si="55"/>
        <v>2014</v>
      </c>
      <c r="D245" s="111">
        <v>2942000</v>
      </c>
      <c r="E245" s="65">
        <f>D245*'16-PlantAdditions'!$E$94</f>
        <v>220650</v>
      </c>
      <c r="F245" s="65">
        <f t="shared" si="52"/>
        <v>3162650</v>
      </c>
      <c r="G245" s="111">
        <v>0</v>
      </c>
      <c r="H245" s="111">
        <v>0</v>
      </c>
      <c r="I245" s="65">
        <f>(G245-H245)*'16-PlantAdditions'!$E$94</f>
        <v>0</v>
      </c>
      <c r="J245" s="65">
        <f t="shared" si="53"/>
        <v>9080098.6442499999</v>
      </c>
      <c r="K245" s="65">
        <f>J245-J227</f>
        <v>6186886.4829606479</v>
      </c>
    </row>
    <row r="246" spans="1:11" s="932" customFormat="1" x14ac:dyDescent="0.2">
      <c r="A246" s="811">
        <f t="shared" si="51"/>
        <v>186</v>
      </c>
      <c r="B246" s="892" t="s">
        <v>214</v>
      </c>
      <c r="C246" s="893">
        <f t="shared" si="55"/>
        <v>2014</v>
      </c>
      <c r="D246" s="111">
        <v>2780000</v>
      </c>
      <c r="E246" s="65">
        <f>D246*'16-PlantAdditions'!$E$94</f>
        <v>208500</v>
      </c>
      <c r="F246" s="65">
        <f t="shared" si="52"/>
        <v>2988500</v>
      </c>
      <c r="G246" s="111">
        <v>0</v>
      </c>
      <c r="H246" s="111">
        <v>0</v>
      </c>
      <c r="I246" s="65">
        <f>(G246-H246)*'16-PlantAdditions'!$E$94</f>
        <v>0</v>
      </c>
      <c r="J246" s="65">
        <f t="shared" si="53"/>
        <v>12068598.64425</v>
      </c>
      <c r="K246" s="65">
        <f>J246-J227</f>
        <v>9175386.4829606488</v>
      </c>
    </row>
    <row r="247" spans="1:11" s="932" customFormat="1" x14ac:dyDescent="0.2">
      <c r="A247" s="811">
        <f t="shared" si="51"/>
        <v>187</v>
      </c>
      <c r="B247" s="895" t="s">
        <v>215</v>
      </c>
      <c r="C247" s="893">
        <f t="shared" si="55"/>
        <v>2014</v>
      </c>
      <c r="D247" s="111">
        <v>18553000</v>
      </c>
      <c r="E247" s="65">
        <f>D247*'16-PlantAdditions'!$E$94</f>
        <v>1391475</v>
      </c>
      <c r="F247" s="65">
        <f t="shared" si="52"/>
        <v>19944475</v>
      </c>
      <c r="G247" s="111">
        <v>0</v>
      </c>
      <c r="H247" s="111">
        <v>0</v>
      </c>
      <c r="I247" s="65">
        <f>(G247-H247)*'16-PlantAdditions'!$E$94</f>
        <v>0</v>
      </c>
      <c r="J247" s="65">
        <f t="shared" si="53"/>
        <v>32013073.644249998</v>
      </c>
      <c r="K247" s="65">
        <f>J247-J227</f>
        <v>29119861.482960645</v>
      </c>
    </row>
    <row r="248" spans="1:11" s="932" customFormat="1" x14ac:dyDescent="0.2">
      <c r="A248" s="811">
        <f t="shared" si="51"/>
        <v>188</v>
      </c>
      <c r="B248" s="895" t="s">
        <v>216</v>
      </c>
      <c r="C248" s="893">
        <f t="shared" si="55"/>
        <v>2014</v>
      </c>
      <c r="D248" s="111">
        <v>1634000</v>
      </c>
      <c r="E248" s="65">
        <f>D248*'16-PlantAdditions'!$E$94</f>
        <v>122550</v>
      </c>
      <c r="F248" s="65">
        <f t="shared" si="52"/>
        <v>1756550</v>
      </c>
      <c r="G248" s="111">
        <v>0</v>
      </c>
      <c r="H248" s="111">
        <v>0</v>
      </c>
      <c r="I248" s="65">
        <f>(G248-H248)*'16-PlantAdditions'!$E$94</f>
        <v>0</v>
      </c>
      <c r="J248" s="65">
        <f t="shared" si="53"/>
        <v>33769623.644249998</v>
      </c>
      <c r="K248" s="116">
        <f>J248-J227</f>
        <v>30876411.482960645</v>
      </c>
    </row>
    <row r="249" spans="1:11" s="932" customFormat="1" x14ac:dyDescent="0.2">
      <c r="A249" s="811">
        <f>A248+1</f>
        <v>189</v>
      </c>
      <c r="B249"/>
      <c r="C249" s="931" t="s">
        <v>2084</v>
      </c>
      <c r="D249"/>
      <c r="E249"/>
      <c r="F249"/>
      <c r="G249"/>
      <c r="H249"/>
      <c r="I249"/>
      <c r="J249"/>
      <c r="K249" s="76">
        <f>AVERAGE(K236:K248)</f>
        <v>6186164.7081144936</v>
      </c>
    </row>
    <row r="250" spans="1:11" s="932" customFormat="1" x14ac:dyDescent="0.2">
      <c r="A250" s="811"/>
      <c r="B250"/>
      <c r="C250" s="931"/>
      <c r="D250"/>
      <c r="E250"/>
      <c r="F250"/>
      <c r="G250"/>
      <c r="H250"/>
      <c r="I250"/>
      <c r="J250"/>
      <c r="K250" s="76"/>
    </row>
    <row r="251" spans="1:11" s="932" customFormat="1" x14ac:dyDescent="0.2">
      <c r="B251" s="933" t="s">
        <v>2622</v>
      </c>
      <c r="D251" s="1195" t="s">
        <v>2623</v>
      </c>
      <c r="E251" s="1195"/>
    </row>
    <row r="252" spans="1:11" s="932" customFormat="1" x14ac:dyDescent="0.2">
      <c r="A252" s="927"/>
      <c r="B252" s="927"/>
      <c r="C252" s="927"/>
      <c r="D252" s="927" t="s">
        <v>403</v>
      </c>
      <c r="E252" s="927" t="s">
        <v>387</v>
      </c>
      <c r="F252" s="927" t="s">
        <v>388</v>
      </c>
      <c r="G252" s="927" t="s">
        <v>389</v>
      </c>
      <c r="H252" s="927" t="s">
        <v>390</v>
      </c>
      <c r="I252" s="927" t="s">
        <v>391</v>
      </c>
      <c r="J252" s="927" t="s">
        <v>392</v>
      </c>
      <c r="K252" s="927" t="s">
        <v>606</v>
      </c>
    </row>
    <row r="253" spans="1:11" s="932" customFormat="1" ht="25.9" customHeight="1" x14ac:dyDescent="0.2">
      <c r="D253" s="934"/>
      <c r="E253" s="935" t="s">
        <v>2649</v>
      </c>
      <c r="F253" s="936" t="s">
        <v>2609</v>
      </c>
      <c r="G253" s="929"/>
      <c r="H253" s="934"/>
      <c r="I253" s="935" t="s">
        <v>2650</v>
      </c>
      <c r="J253" s="935" t="s">
        <v>2610</v>
      </c>
      <c r="K253" s="935" t="s">
        <v>2611</v>
      </c>
    </row>
    <row r="254" spans="1:11" s="932" customFormat="1" ht="12.75" customHeight="1" x14ac:dyDescent="0.2">
      <c r="D254" s="934"/>
      <c r="E254" s="935"/>
      <c r="F254" s="936"/>
      <c r="G254" s="929" t="str">
        <f>G51</f>
        <v>Unloaded</v>
      </c>
      <c r="H254" s="934"/>
      <c r="I254" s="935"/>
      <c r="J254" s="935"/>
      <c r="K254" s="935"/>
    </row>
    <row r="255" spans="1:11" s="932" customFormat="1" x14ac:dyDescent="0.2">
      <c r="A255" s="929"/>
      <c r="B255" s="929"/>
      <c r="C255" s="929"/>
      <c r="D255" s="929" t="str">
        <f>D$52</f>
        <v>Forecast</v>
      </c>
      <c r="E255" s="929" t="str">
        <f t="shared" ref="E255:J255" si="56">E$52</f>
        <v>Corporate</v>
      </c>
      <c r="F255" s="929" t="str">
        <f t="shared" si="56"/>
        <v xml:space="preserve">Total </v>
      </c>
      <c r="G255" s="929" t="str">
        <f t="shared" ref="G255:G256" si="57">G52</f>
        <v>Total</v>
      </c>
      <c r="H255" s="929" t="str">
        <f t="shared" si="56"/>
        <v>Prior Period</v>
      </c>
      <c r="I255" s="929" t="str">
        <f t="shared" si="56"/>
        <v>Over Heads</v>
      </c>
      <c r="J255" s="929" t="str">
        <f t="shared" si="56"/>
        <v>Forecast</v>
      </c>
      <c r="K255" s="811" t="str">
        <f>K$52</f>
        <v>Forecast Period</v>
      </c>
    </row>
    <row r="256" spans="1:11" s="932" customFormat="1" x14ac:dyDescent="0.2">
      <c r="A256" s="53" t="s">
        <v>369</v>
      </c>
      <c r="B256" s="891" t="s">
        <v>220</v>
      </c>
      <c r="C256" s="891" t="s">
        <v>221</v>
      </c>
      <c r="D256" s="927" t="str">
        <f>D$53</f>
        <v>Expenditures</v>
      </c>
      <c r="E256" s="927" t="str">
        <f t="shared" ref="E256:J256" si="58">E$53</f>
        <v>Overheads</v>
      </c>
      <c r="F256" s="927" t="str">
        <f t="shared" si="58"/>
        <v>CWIP Exp</v>
      </c>
      <c r="G256" s="927" t="str">
        <f t="shared" si="57"/>
        <v>Plant Adds</v>
      </c>
      <c r="H256" s="927" t="str">
        <f t="shared" si="58"/>
        <v>CWIP Closed</v>
      </c>
      <c r="I256" s="927" t="str">
        <f t="shared" si="58"/>
        <v>Closed to PIS</v>
      </c>
      <c r="J256" s="927" t="str">
        <f t="shared" si="58"/>
        <v>Period CWIP</v>
      </c>
      <c r="K256" s="927" t="str">
        <f>K$53</f>
        <v>Incremental CWIP</v>
      </c>
    </row>
    <row r="257" spans="1:13" s="932" customFormat="1" x14ac:dyDescent="0.2">
      <c r="A257" s="811">
        <f>A249+1</f>
        <v>190</v>
      </c>
      <c r="B257" s="892" t="s">
        <v>208</v>
      </c>
      <c r="C257" s="893">
        <v>2012</v>
      </c>
      <c r="D257" s="936" t="s">
        <v>86</v>
      </c>
      <c r="E257" s="936" t="s">
        <v>86</v>
      </c>
      <c r="F257" s="936" t="s">
        <v>86</v>
      </c>
      <c r="G257" s="936" t="s">
        <v>86</v>
      </c>
      <c r="H257" s="936" t="s">
        <v>86</v>
      </c>
      <c r="I257" s="936" t="s">
        <v>86</v>
      </c>
      <c r="J257" s="65">
        <f>E45</f>
        <v>10959973.88545125</v>
      </c>
      <c r="K257" s="936" t="s">
        <v>86</v>
      </c>
      <c r="L257" s="938"/>
    </row>
    <row r="258" spans="1:13" s="932" customFormat="1" x14ac:dyDescent="0.2">
      <c r="A258" s="811">
        <f>A257+1</f>
        <v>191</v>
      </c>
      <c r="B258" s="892" t="s">
        <v>209</v>
      </c>
      <c r="C258" s="893">
        <f>C257+1</f>
        <v>2013</v>
      </c>
      <c r="D258" s="111">
        <v>377000</v>
      </c>
      <c r="E258" s="65">
        <f>D258*'16-PlantAdditions'!$E$94</f>
        <v>28275</v>
      </c>
      <c r="F258" s="65">
        <f>E258+D258</f>
        <v>405275</v>
      </c>
      <c r="G258" s="111">
        <v>0</v>
      </c>
      <c r="H258" s="111">
        <v>0</v>
      </c>
      <c r="I258" s="65">
        <f>(G258-H258)*'16-PlantAdditions'!$E$94</f>
        <v>0</v>
      </c>
      <c r="J258" s="65">
        <f>J257+F258-G258-I258</f>
        <v>11365248.88545125</v>
      </c>
      <c r="K258" s="65">
        <f>J258-J257</f>
        <v>405275</v>
      </c>
    </row>
    <row r="259" spans="1:13" s="932" customFormat="1" x14ac:dyDescent="0.2">
      <c r="A259" s="811">
        <f t="shared" ref="A259:A278" si="59">A258+1</f>
        <v>192</v>
      </c>
      <c r="B259" s="895" t="s">
        <v>210</v>
      </c>
      <c r="C259" s="893">
        <f>C258</f>
        <v>2013</v>
      </c>
      <c r="D259" s="111">
        <v>2192000</v>
      </c>
      <c r="E259" s="65">
        <f>D259*'16-PlantAdditions'!$E$94</f>
        <v>164400</v>
      </c>
      <c r="F259" s="65">
        <f t="shared" ref="F259:F278" si="60">E259+D259</f>
        <v>2356400</v>
      </c>
      <c r="G259" s="111">
        <v>0</v>
      </c>
      <c r="H259" s="111">
        <v>0</v>
      </c>
      <c r="I259" s="65">
        <f>(G259-H259)*'16-PlantAdditions'!$E$94</f>
        <v>0</v>
      </c>
      <c r="J259" s="65">
        <f t="shared" ref="J259:J278" si="61">J258+F259-G259-I259</f>
        <v>13721648.88545125</v>
      </c>
      <c r="K259" s="65">
        <f>J259-J$171</f>
        <v>13794936.828507457</v>
      </c>
    </row>
    <row r="260" spans="1:13" s="932" customFormat="1" x14ac:dyDescent="0.2">
      <c r="A260" s="811">
        <f t="shared" si="59"/>
        <v>193</v>
      </c>
      <c r="B260" s="895" t="s">
        <v>223</v>
      </c>
      <c r="C260" s="893">
        <f t="shared" ref="C260:C269" si="62">C259</f>
        <v>2013</v>
      </c>
      <c r="D260" s="111">
        <v>2879000</v>
      </c>
      <c r="E260" s="65">
        <f>D260*'16-PlantAdditions'!$E$94</f>
        <v>215925</v>
      </c>
      <c r="F260" s="65">
        <f t="shared" si="60"/>
        <v>3094925</v>
      </c>
      <c r="G260" s="111">
        <v>0</v>
      </c>
      <c r="H260" s="111">
        <v>0</v>
      </c>
      <c r="I260" s="65">
        <f>(G260-H260)*'16-PlantAdditions'!$E$94</f>
        <v>0</v>
      </c>
      <c r="J260" s="65">
        <f t="shared" si="61"/>
        <v>16816573.88545125</v>
      </c>
      <c r="K260" s="65">
        <f>J260-J257</f>
        <v>5856600</v>
      </c>
    </row>
    <row r="261" spans="1:13" s="932" customFormat="1" x14ac:dyDescent="0.2">
      <c r="A261" s="811">
        <f t="shared" si="59"/>
        <v>194</v>
      </c>
      <c r="B261" s="892" t="s">
        <v>211</v>
      </c>
      <c r="C261" s="893">
        <f t="shared" si="62"/>
        <v>2013</v>
      </c>
      <c r="D261" s="111">
        <v>4914000</v>
      </c>
      <c r="E261" s="65">
        <f>D261*'16-PlantAdditions'!$E$94</f>
        <v>368550</v>
      </c>
      <c r="F261" s="65">
        <f t="shared" si="60"/>
        <v>5282550</v>
      </c>
      <c r="G261" s="111">
        <v>0</v>
      </c>
      <c r="H261" s="111">
        <v>0</v>
      </c>
      <c r="I261" s="65">
        <f>(G261-H261)*'16-PlantAdditions'!$E$94</f>
        <v>0</v>
      </c>
      <c r="J261" s="65">
        <f t="shared" si="61"/>
        <v>22099123.88545125</v>
      </c>
      <c r="K261" s="65">
        <f>J261-J257</f>
        <v>11139150</v>
      </c>
    </row>
    <row r="262" spans="1:13" s="932" customFormat="1" x14ac:dyDescent="0.2">
      <c r="A262" s="811">
        <f t="shared" si="59"/>
        <v>195</v>
      </c>
      <c r="B262" s="895" t="s">
        <v>212</v>
      </c>
      <c r="C262" s="893">
        <f t="shared" si="62"/>
        <v>2013</v>
      </c>
      <c r="D262" s="111">
        <v>4401000</v>
      </c>
      <c r="E262" s="65">
        <f>D262*'16-PlantAdditions'!$E$94</f>
        <v>330075</v>
      </c>
      <c r="F262" s="65">
        <f t="shared" si="60"/>
        <v>4731075</v>
      </c>
      <c r="G262" s="111">
        <v>0</v>
      </c>
      <c r="H262" s="111">
        <v>0</v>
      </c>
      <c r="I262" s="65">
        <f>(G262-H262)*'16-PlantAdditions'!$E$94</f>
        <v>0</v>
      </c>
      <c r="J262" s="65">
        <f t="shared" si="61"/>
        <v>26830198.88545125</v>
      </c>
      <c r="K262" s="65">
        <f>J262-J257</f>
        <v>15870225</v>
      </c>
    </row>
    <row r="263" spans="1:13" s="932" customFormat="1" x14ac:dyDescent="0.2">
      <c r="A263" s="811">
        <f t="shared" si="59"/>
        <v>196</v>
      </c>
      <c r="B263" s="895" t="s">
        <v>1877</v>
      </c>
      <c r="C263" s="893">
        <f t="shared" si="62"/>
        <v>2013</v>
      </c>
      <c r="D263" s="111">
        <v>5490000</v>
      </c>
      <c r="E263" s="65">
        <f>D263*'16-PlantAdditions'!$E$94</f>
        <v>411750</v>
      </c>
      <c r="F263" s="65">
        <f t="shared" si="60"/>
        <v>5901750</v>
      </c>
      <c r="G263" s="111">
        <v>0</v>
      </c>
      <c r="H263" s="111">
        <v>0</v>
      </c>
      <c r="I263" s="65">
        <f>(G263-H263)*'16-PlantAdditions'!$E$94</f>
        <v>0</v>
      </c>
      <c r="J263" s="65">
        <f t="shared" si="61"/>
        <v>32731948.88545125</v>
      </c>
      <c r="K263" s="65">
        <f>J263-J257</f>
        <v>21771975</v>
      </c>
    </row>
    <row r="264" spans="1:13" s="932" customFormat="1" x14ac:dyDescent="0.2">
      <c r="A264" s="811">
        <f t="shared" si="59"/>
        <v>197</v>
      </c>
      <c r="B264" s="892" t="s">
        <v>214</v>
      </c>
      <c r="C264" s="893">
        <f t="shared" si="62"/>
        <v>2013</v>
      </c>
      <c r="D264" s="111">
        <v>2620000</v>
      </c>
      <c r="E264" s="65">
        <f>D264*'16-PlantAdditions'!$E$94</f>
        <v>196500</v>
      </c>
      <c r="F264" s="65">
        <f t="shared" si="60"/>
        <v>2816500</v>
      </c>
      <c r="G264" s="111">
        <v>0</v>
      </c>
      <c r="H264" s="111">
        <v>0</v>
      </c>
      <c r="I264" s="65">
        <f>(G264-H264)*'16-PlantAdditions'!$E$94</f>
        <v>0</v>
      </c>
      <c r="J264" s="65">
        <f t="shared" si="61"/>
        <v>35548448.88545125</v>
      </c>
      <c r="K264" s="65">
        <f>J264-J257</f>
        <v>24588475</v>
      </c>
    </row>
    <row r="265" spans="1:13" s="932" customFormat="1" x14ac:dyDescent="0.2">
      <c r="A265" s="811">
        <f t="shared" si="59"/>
        <v>198</v>
      </c>
      <c r="B265" s="895" t="s">
        <v>215</v>
      </c>
      <c r="C265" s="893">
        <f t="shared" si="62"/>
        <v>2013</v>
      </c>
      <c r="D265" s="111">
        <v>2565000</v>
      </c>
      <c r="E265" s="65">
        <f>D265*'16-PlantAdditions'!$E$94</f>
        <v>192375</v>
      </c>
      <c r="F265" s="65">
        <f t="shared" si="60"/>
        <v>2757375</v>
      </c>
      <c r="G265" s="111">
        <v>0</v>
      </c>
      <c r="H265" s="111">
        <v>0</v>
      </c>
      <c r="I265" s="65">
        <f>(G265-H265)*'16-PlantAdditions'!$E$94</f>
        <v>0</v>
      </c>
      <c r="J265" s="65">
        <f t="shared" si="61"/>
        <v>38305823.88545125</v>
      </c>
      <c r="K265" s="65">
        <f>J265-J257</f>
        <v>27345850</v>
      </c>
    </row>
    <row r="266" spans="1:13" s="932" customFormat="1" x14ac:dyDescent="0.2">
      <c r="A266" s="811">
        <f t="shared" si="59"/>
        <v>199</v>
      </c>
      <c r="B266" s="895" t="s">
        <v>216</v>
      </c>
      <c r="C266" s="893">
        <f t="shared" si="62"/>
        <v>2013</v>
      </c>
      <c r="D266" s="111">
        <v>1336000</v>
      </c>
      <c r="E266" s="65">
        <f>D266*'16-PlantAdditions'!$E$94</f>
        <v>100200</v>
      </c>
      <c r="F266" s="65">
        <f t="shared" si="60"/>
        <v>1436200</v>
      </c>
      <c r="G266" s="111">
        <v>0</v>
      </c>
      <c r="H266" s="111">
        <v>0</v>
      </c>
      <c r="I266" s="65">
        <f>(G266-H266)*'16-PlantAdditions'!$E$94</f>
        <v>0</v>
      </c>
      <c r="J266" s="65">
        <f t="shared" si="61"/>
        <v>39742023.88545125</v>
      </c>
      <c r="K266" s="65">
        <f>J266-J257</f>
        <v>28782050</v>
      </c>
      <c r="L266" s="929"/>
      <c r="M266" s="929"/>
    </row>
    <row r="267" spans="1:13" s="932" customFormat="1" x14ac:dyDescent="0.2">
      <c r="A267" s="811">
        <f t="shared" si="59"/>
        <v>200</v>
      </c>
      <c r="B267" s="892" t="s">
        <v>219</v>
      </c>
      <c r="C267" s="893">
        <f t="shared" si="62"/>
        <v>2013</v>
      </c>
      <c r="D267" s="111">
        <v>1149000</v>
      </c>
      <c r="E267" s="65">
        <f>D267*'16-PlantAdditions'!$E$94</f>
        <v>86175</v>
      </c>
      <c r="F267" s="65">
        <f t="shared" si="60"/>
        <v>1235175</v>
      </c>
      <c r="G267" s="111">
        <v>0</v>
      </c>
      <c r="H267" s="111">
        <v>0</v>
      </c>
      <c r="I267" s="65">
        <f>(G267-H267)*'16-PlantAdditions'!$E$94</f>
        <v>0</v>
      </c>
      <c r="J267" s="65">
        <f t="shared" si="61"/>
        <v>40977198.88545125</v>
      </c>
      <c r="K267" s="65">
        <f>J267-J257</f>
        <v>30017225</v>
      </c>
      <c r="L267" s="927"/>
      <c r="M267" s="927"/>
    </row>
    <row r="268" spans="1:13" s="932" customFormat="1" x14ac:dyDescent="0.2">
      <c r="A268" s="811">
        <f t="shared" si="59"/>
        <v>201</v>
      </c>
      <c r="B268" s="892" t="s">
        <v>218</v>
      </c>
      <c r="C268" s="893">
        <f t="shared" si="62"/>
        <v>2013</v>
      </c>
      <c r="D268" s="111">
        <v>1865000</v>
      </c>
      <c r="E268" s="65">
        <f>D268*'16-PlantAdditions'!$E$94</f>
        <v>139875</v>
      </c>
      <c r="F268" s="65">
        <f t="shared" si="60"/>
        <v>2004875</v>
      </c>
      <c r="G268" s="111">
        <v>0</v>
      </c>
      <c r="H268" s="111">
        <v>0</v>
      </c>
      <c r="I268" s="65">
        <f>(G268-H268)*'16-PlantAdditions'!$E$94</f>
        <v>0</v>
      </c>
      <c r="J268" s="65">
        <f t="shared" si="61"/>
        <v>42982073.88545125</v>
      </c>
      <c r="K268" s="65">
        <f>J268-J257</f>
        <v>32022100</v>
      </c>
    </row>
    <row r="269" spans="1:13" s="932" customFormat="1" x14ac:dyDescent="0.2">
      <c r="A269" s="811">
        <f t="shared" si="59"/>
        <v>202</v>
      </c>
      <c r="B269" s="892" t="s">
        <v>208</v>
      </c>
      <c r="C269" s="893">
        <f t="shared" si="62"/>
        <v>2013</v>
      </c>
      <c r="D269" s="111">
        <v>6614000</v>
      </c>
      <c r="E269" s="65">
        <f>D269*'16-PlantAdditions'!$E$94</f>
        <v>496050</v>
      </c>
      <c r="F269" s="65">
        <f t="shared" si="60"/>
        <v>7110050</v>
      </c>
      <c r="G269" s="111">
        <v>0</v>
      </c>
      <c r="H269" s="111">
        <v>0</v>
      </c>
      <c r="I269" s="65">
        <f>(G269-H269)*'16-PlantAdditions'!$E$94</f>
        <v>0</v>
      </c>
      <c r="J269" s="65">
        <f t="shared" si="61"/>
        <v>50092123.88545125</v>
      </c>
      <c r="K269" s="65">
        <f>J269-J257</f>
        <v>39132150</v>
      </c>
    </row>
    <row r="270" spans="1:13" s="932" customFormat="1" x14ac:dyDescent="0.2">
      <c r="A270" s="811">
        <f t="shared" si="59"/>
        <v>203</v>
      </c>
      <c r="B270" s="892" t="s">
        <v>209</v>
      </c>
      <c r="C270" s="893">
        <f>C269+1</f>
        <v>2014</v>
      </c>
      <c r="D270" s="111">
        <v>4077000</v>
      </c>
      <c r="E270" s="65">
        <f>D270*'16-PlantAdditions'!$E$94</f>
        <v>305775</v>
      </c>
      <c r="F270" s="65">
        <f t="shared" si="60"/>
        <v>4382775</v>
      </c>
      <c r="G270" s="111">
        <v>0</v>
      </c>
      <c r="H270" s="111">
        <v>0</v>
      </c>
      <c r="I270" s="65">
        <f>(G270-H270)*'16-PlantAdditions'!$E$94</f>
        <v>0</v>
      </c>
      <c r="J270" s="65">
        <f t="shared" si="61"/>
        <v>54474898.88545125</v>
      </c>
      <c r="K270" s="65">
        <f>J270-J257</f>
        <v>43514925</v>
      </c>
    </row>
    <row r="271" spans="1:13" s="932" customFormat="1" x14ac:dyDescent="0.2">
      <c r="A271" s="811">
        <f t="shared" si="59"/>
        <v>204</v>
      </c>
      <c r="B271" s="895" t="s">
        <v>210</v>
      </c>
      <c r="C271" s="893">
        <f>C270</f>
        <v>2014</v>
      </c>
      <c r="D271" s="111">
        <v>4077000</v>
      </c>
      <c r="E271" s="65">
        <f>D271*'16-PlantAdditions'!$E$94</f>
        <v>305775</v>
      </c>
      <c r="F271" s="65">
        <f t="shared" si="60"/>
        <v>4382775</v>
      </c>
      <c r="G271" s="111">
        <v>0</v>
      </c>
      <c r="H271" s="111">
        <v>0</v>
      </c>
      <c r="I271" s="65">
        <f>(G271-H271)*'16-PlantAdditions'!$E$94</f>
        <v>0</v>
      </c>
      <c r="J271" s="65">
        <f t="shared" si="61"/>
        <v>58857673.88545125</v>
      </c>
      <c r="K271" s="65">
        <f>J271-J257</f>
        <v>47897700</v>
      </c>
    </row>
    <row r="272" spans="1:13" s="932" customFormat="1" x14ac:dyDescent="0.2">
      <c r="A272" s="811">
        <f t="shared" si="59"/>
        <v>205</v>
      </c>
      <c r="B272" s="895" t="s">
        <v>223</v>
      </c>
      <c r="C272" s="893">
        <f t="shared" ref="C272:C278" si="63">C271</f>
        <v>2014</v>
      </c>
      <c r="D272" s="111">
        <v>4077000</v>
      </c>
      <c r="E272" s="65">
        <f>D272*'16-PlantAdditions'!$E$94</f>
        <v>305775</v>
      </c>
      <c r="F272" s="65">
        <f t="shared" si="60"/>
        <v>4382775</v>
      </c>
      <c r="G272" s="111">
        <v>0</v>
      </c>
      <c r="H272" s="111">
        <v>0</v>
      </c>
      <c r="I272" s="65">
        <f>(G272-H272)*'16-PlantAdditions'!$E$94</f>
        <v>0</v>
      </c>
      <c r="J272" s="65">
        <f t="shared" si="61"/>
        <v>63240448.88545125</v>
      </c>
      <c r="K272" s="65">
        <f>J272-J257</f>
        <v>52280475</v>
      </c>
    </row>
    <row r="273" spans="1:11" s="932" customFormat="1" x14ac:dyDescent="0.2">
      <c r="A273" s="811">
        <f t="shared" si="59"/>
        <v>206</v>
      </c>
      <c r="B273" s="892" t="s">
        <v>211</v>
      </c>
      <c r="C273" s="893">
        <f t="shared" si="63"/>
        <v>2014</v>
      </c>
      <c r="D273" s="111">
        <v>4077000</v>
      </c>
      <c r="E273" s="65">
        <f>D273*'16-PlantAdditions'!$E$94</f>
        <v>305775</v>
      </c>
      <c r="F273" s="65">
        <f t="shared" si="60"/>
        <v>4382775</v>
      </c>
      <c r="G273" s="111">
        <v>0</v>
      </c>
      <c r="H273" s="111">
        <v>0</v>
      </c>
      <c r="I273" s="65">
        <f>(G273-H273)*'16-PlantAdditions'!$E$94</f>
        <v>0</v>
      </c>
      <c r="J273" s="65">
        <f t="shared" si="61"/>
        <v>67623223.885451257</v>
      </c>
      <c r="K273" s="65">
        <f>J273-J257</f>
        <v>56663250.000000007</v>
      </c>
    </row>
    <row r="274" spans="1:11" s="932" customFormat="1" x14ac:dyDescent="0.2">
      <c r="A274" s="811">
        <f t="shared" si="59"/>
        <v>207</v>
      </c>
      <c r="B274" s="895" t="s">
        <v>212</v>
      </c>
      <c r="C274" s="893">
        <f t="shared" si="63"/>
        <v>2014</v>
      </c>
      <c r="D274" s="111">
        <v>4077000</v>
      </c>
      <c r="E274" s="65">
        <f>D274*'16-PlantAdditions'!$E$94</f>
        <v>305775</v>
      </c>
      <c r="F274" s="65">
        <f t="shared" si="60"/>
        <v>4382775</v>
      </c>
      <c r="G274" s="111">
        <v>0</v>
      </c>
      <c r="H274" s="111">
        <v>0</v>
      </c>
      <c r="I274" s="65">
        <f>(G274-H274)*'16-PlantAdditions'!$E$94</f>
        <v>0</v>
      </c>
      <c r="J274" s="65">
        <f t="shared" si="61"/>
        <v>72005998.885451257</v>
      </c>
      <c r="K274" s="65">
        <f>J274-J257</f>
        <v>61046025.000000007</v>
      </c>
    </row>
    <row r="275" spans="1:11" s="932" customFormat="1" x14ac:dyDescent="0.2">
      <c r="A275" s="811">
        <f t="shared" si="59"/>
        <v>208</v>
      </c>
      <c r="B275" s="895" t="s">
        <v>1877</v>
      </c>
      <c r="C275" s="893">
        <f t="shared" si="63"/>
        <v>2014</v>
      </c>
      <c r="D275" s="111">
        <v>4077000</v>
      </c>
      <c r="E275" s="65">
        <f>D275*'16-PlantAdditions'!$E$94</f>
        <v>305775</v>
      </c>
      <c r="F275" s="65">
        <f t="shared" si="60"/>
        <v>4382775</v>
      </c>
      <c r="G275" s="111">
        <v>0</v>
      </c>
      <c r="H275" s="111">
        <v>0</v>
      </c>
      <c r="I275" s="65">
        <f>(G275-H275)*'16-PlantAdditions'!$E$94</f>
        <v>0</v>
      </c>
      <c r="J275" s="65">
        <f t="shared" si="61"/>
        <v>76388773.885451257</v>
      </c>
      <c r="K275" s="65">
        <f>J275-J257</f>
        <v>65428800.000000007</v>
      </c>
    </row>
    <row r="276" spans="1:11" s="932" customFormat="1" x14ac:dyDescent="0.2">
      <c r="A276" s="811">
        <f t="shared" si="59"/>
        <v>209</v>
      </c>
      <c r="B276" s="892" t="s">
        <v>214</v>
      </c>
      <c r="C276" s="893">
        <f t="shared" si="63"/>
        <v>2014</v>
      </c>
      <c r="D276" s="111">
        <v>3701000</v>
      </c>
      <c r="E276" s="65">
        <f>D276*'16-PlantAdditions'!$E$94</f>
        <v>277575</v>
      </c>
      <c r="F276" s="65">
        <f t="shared" si="60"/>
        <v>3978575</v>
      </c>
      <c r="G276" s="111">
        <v>0</v>
      </c>
      <c r="H276" s="111">
        <v>0</v>
      </c>
      <c r="I276" s="65">
        <f>(G276-H276)*'16-PlantAdditions'!$E$94</f>
        <v>0</v>
      </c>
      <c r="J276" s="65">
        <f t="shared" si="61"/>
        <v>80367348.885451257</v>
      </c>
      <c r="K276" s="65">
        <f>J276-J257</f>
        <v>69407375</v>
      </c>
    </row>
    <row r="277" spans="1:11" s="932" customFormat="1" x14ac:dyDescent="0.2">
      <c r="A277" s="811">
        <f t="shared" si="59"/>
        <v>210</v>
      </c>
      <c r="B277" s="895" t="s">
        <v>215</v>
      </c>
      <c r="C277" s="893">
        <f t="shared" si="63"/>
        <v>2014</v>
      </c>
      <c r="D277" s="111">
        <v>2730000</v>
      </c>
      <c r="E277" s="65">
        <f>D277*'16-PlantAdditions'!$E$94</f>
        <v>204750</v>
      </c>
      <c r="F277" s="65">
        <f t="shared" si="60"/>
        <v>2934750</v>
      </c>
      <c r="G277" s="111">
        <v>0</v>
      </c>
      <c r="H277" s="111">
        <v>0</v>
      </c>
      <c r="I277" s="65">
        <f>(G277-H277)*'16-PlantAdditions'!$E$94</f>
        <v>0</v>
      </c>
      <c r="J277" s="65">
        <f t="shared" si="61"/>
        <v>83302098.885451257</v>
      </c>
      <c r="K277" s="65">
        <f>J277-J257</f>
        <v>72342125</v>
      </c>
    </row>
    <row r="278" spans="1:11" s="932" customFormat="1" x14ac:dyDescent="0.2">
      <c r="A278" s="811">
        <f t="shared" si="59"/>
        <v>211</v>
      </c>
      <c r="B278" s="895" t="s">
        <v>216</v>
      </c>
      <c r="C278" s="893">
        <f t="shared" si="63"/>
        <v>2014</v>
      </c>
      <c r="D278" s="111">
        <v>0</v>
      </c>
      <c r="E278" s="65">
        <f>D278*'16-PlantAdditions'!$E$94</f>
        <v>0</v>
      </c>
      <c r="F278" s="65">
        <f t="shared" si="60"/>
        <v>0</v>
      </c>
      <c r="G278" s="111">
        <v>0</v>
      </c>
      <c r="H278" s="111">
        <v>0</v>
      </c>
      <c r="I278" s="65">
        <f>(G278-H278)*'16-PlantAdditions'!$E$94</f>
        <v>0</v>
      </c>
      <c r="J278" s="65">
        <f t="shared" si="61"/>
        <v>83302098.885451257</v>
      </c>
      <c r="K278" s="116">
        <f>J278-J257</f>
        <v>72342125</v>
      </c>
    </row>
    <row r="279" spans="1:11" s="932" customFormat="1" x14ac:dyDescent="0.2">
      <c r="A279" s="811">
        <f>A278+1</f>
        <v>212</v>
      </c>
      <c r="B279"/>
      <c r="C279" s="931" t="s">
        <v>2084</v>
      </c>
      <c r="D279"/>
      <c r="E279"/>
      <c r="F279"/>
      <c r="G279"/>
      <c r="H279"/>
      <c r="I279"/>
      <c r="J279"/>
      <c r="K279" s="76">
        <f>AVERAGE(K266:K278)</f>
        <v>51605871.153846152</v>
      </c>
    </row>
    <row r="280" spans="1:11" s="932" customFormat="1" x14ac:dyDescent="0.2">
      <c r="A280" s="811"/>
      <c r="B280"/>
      <c r="C280" s="931"/>
      <c r="D280"/>
      <c r="E280"/>
      <c r="F280"/>
      <c r="G280"/>
      <c r="H280"/>
      <c r="I280"/>
      <c r="J280"/>
      <c r="K280" s="76"/>
    </row>
    <row r="281" spans="1:11" s="932" customFormat="1" x14ac:dyDescent="0.2">
      <c r="B281" s="933" t="s">
        <v>2624</v>
      </c>
      <c r="D281" s="1195" t="s">
        <v>2625</v>
      </c>
      <c r="E281" s="1195"/>
    </row>
    <row r="282" spans="1:11" s="932" customFormat="1" x14ac:dyDescent="0.2">
      <c r="D282" s="934"/>
      <c r="E282" s="934"/>
      <c r="F282" s="934"/>
      <c r="G282" s="811" t="str">
        <f>G51</f>
        <v>Unloaded</v>
      </c>
      <c r="H282" s="934"/>
      <c r="I282" s="934"/>
    </row>
    <row r="283" spans="1:11" s="932" customFormat="1" x14ac:dyDescent="0.2">
      <c r="A283" s="929"/>
      <c r="B283" s="929"/>
      <c r="C283" s="929"/>
      <c r="D283" s="929" t="str">
        <f>D$52</f>
        <v>Forecast</v>
      </c>
      <c r="E283" s="929" t="str">
        <f t="shared" ref="E283:J283" si="64">E$52</f>
        <v>Corporate</v>
      </c>
      <c r="F283" s="929" t="str">
        <f t="shared" si="64"/>
        <v xml:space="preserve">Total </v>
      </c>
      <c r="G283" s="811" t="str">
        <f t="shared" ref="G283:G284" si="65">G52</f>
        <v>Total</v>
      </c>
      <c r="H283" s="929" t="str">
        <f t="shared" si="64"/>
        <v>Prior Period</v>
      </c>
      <c r="I283" s="929" t="str">
        <f t="shared" si="64"/>
        <v>Over Heads</v>
      </c>
      <c r="J283" s="929" t="str">
        <f t="shared" si="64"/>
        <v>Forecast</v>
      </c>
      <c r="K283" s="811" t="str">
        <f>K$52</f>
        <v>Forecast Period</v>
      </c>
    </row>
    <row r="284" spans="1:11" s="932" customFormat="1" x14ac:dyDescent="0.2">
      <c r="A284" s="53" t="s">
        <v>369</v>
      </c>
      <c r="B284" s="891" t="s">
        <v>220</v>
      </c>
      <c r="C284" s="891" t="s">
        <v>221</v>
      </c>
      <c r="D284" s="927" t="str">
        <f>D$53</f>
        <v>Expenditures</v>
      </c>
      <c r="E284" s="927" t="str">
        <f t="shared" ref="E284:J284" si="66">E$53</f>
        <v>Overheads</v>
      </c>
      <c r="F284" s="927" t="str">
        <f t="shared" si="66"/>
        <v>CWIP Exp</v>
      </c>
      <c r="G284" s="3" t="str">
        <f t="shared" si="65"/>
        <v>Plant Adds</v>
      </c>
      <c r="H284" s="927" t="str">
        <f t="shared" si="66"/>
        <v>CWIP Closed</v>
      </c>
      <c r="I284" s="927" t="str">
        <f t="shared" si="66"/>
        <v>Closed to PIS</v>
      </c>
      <c r="J284" s="927" t="str">
        <f t="shared" si="66"/>
        <v>Period CWIP</v>
      </c>
      <c r="K284" s="927" t="str">
        <f>K$53</f>
        <v>Incremental CWIP</v>
      </c>
    </row>
    <row r="285" spans="1:11" s="932" customFormat="1" x14ac:dyDescent="0.2">
      <c r="A285" s="811">
        <f>A279+1</f>
        <v>213</v>
      </c>
      <c r="B285" s="892" t="s">
        <v>208</v>
      </c>
      <c r="C285" s="893">
        <v>2012</v>
      </c>
      <c r="D285" s="936" t="s">
        <v>86</v>
      </c>
      <c r="E285" s="936" t="s">
        <v>86</v>
      </c>
      <c r="F285" s="936" t="s">
        <v>86</v>
      </c>
      <c r="G285" s="936" t="s">
        <v>86</v>
      </c>
      <c r="H285" s="936" t="s">
        <v>86</v>
      </c>
      <c r="I285" s="936" t="s">
        <v>86</v>
      </c>
      <c r="J285" s="65">
        <f>F45</f>
        <v>2144420.4</v>
      </c>
      <c r="K285" s="936" t="s">
        <v>86</v>
      </c>
    </row>
    <row r="286" spans="1:11" s="932" customFormat="1" x14ac:dyDescent="0.2">
      <c r="A286" s="811">
        <f>A285+1</f>
        <v>214</v>
      </c>
      <c r="B286" s="892" t="s">
        <v>209</v>
      </c>
      <c r="C286" s="893">
        <f>C285+1</f>
        <v>2013</v>
      </c>
      <c r="D286" s="111">
        <v>141696.11000000002</v>
      </c>
      <c r="E286" s="65">
        <f>D286*'16-PlantAdditions'!$E$94</f>
        <v>10627.208250000001</v>
      </c>
      <c r="F286" s="65">
        <f>E286+D286</f>
        <v>152323.31825000001</v>
      </c>
      <c r="G286" s="111">
        <v>0</v>
      </c>
      <c r="H286" s="111">
        <v>0</v>
      </c>
      <c r="I286" s="65">
        <f>(G286-H286)*'16-PlantAdditions'!$E$94</f>
        <v>0</v>
      </c>
      <c r="J286" s="65">
        <f>J285+F286-G286-I286</f>
        <v>2296743.7182499999</v>
      </c>
      <c r="K286" s="65">
        <f>J286-J285</f>
        <v>152323.31825000001</v>
      </c>
    </row>
    <row r="287" spans="1:11" s="932" customFormat="1" x14ac:dyDescent="0.2">
      <c r="A287" s="811">
        <f t="shared" ref="A287:A306" si="67">A286+1</f>
        <v>215</v>
      </c>
      <c r="B287" s="895" t="s">
        <v>210</v>
      </c>
      <c r="C287" s="893">
        <f>C286</f>
        <v>2013</v>
      </c>
      <c r="D287" s="111">
        <v>234470.97</v>
      </c>
      <c r="E287" s="65">
        <f>D287*'16-PlantAdditions'!$E$94</f>
        <v>17585.322749999999</v>
      </c>
      <c r="F287" s="65">
        <f t="shared" ref="F287:F306" si="68">E287+D287</f>
        <v>252056.29274999999</v>
      </c>
      <c r="G287" s="111">
        <v>0</v>
      </c>
      <c r="H287" s="111">
        <v>0</v>
      </c>
      <c r="I287" s="65">
        <f>(G287-H287)*'16-PlantAdditions'!$E$94</f>
        <v>0</v>
      </c>
      <c r="J287" s="65">
        <f t="shared" ref="J287:J306" si="69">J286+F287-G287-I287</f>
        <v>2548800.0109999999</v>
      </c>
      <c r="K287" s="65">
        <f>J287-J$171</f>
        <v>2622087.9540562066</v>
      </c>
    </row>
    <row r="288" spans="1:11" s="932" customFormat="1" x14ac:dyDescent="0.2">
      <c r="A288" s="811">
        <f t="shared" si="67"/>
        <v>216</v>
      </c>
      <c r="B288" s="895" t="s">
        <v>223</v>
      </c>
      <c r="C288" s="893">
        <f t="shared" ref="C288:C297" si="70">C287</f>
        <v>2013</v>
      </c>
      <c r="D288" s="111">
        <v>330494.28000000003</v>
      </c>
      <c r="E288" s="65">
        <f>D288*'16-PlantAdditions'!$E$94</f>
        <v>24787.071</v>
      </c>
      <c r="F288" s="65">
        <f t="shared" si="68"/>
        <v>355281.35100000002</v>
      </c>
      <c r="G288" s="111">
        <v>0</v>
      </c>
      <c r="H288" s="111">
        <v>0</v>
      </c>
      <c r="I288" s="65">
        <f>(G288-H288)*'16-PlantAdditions'!$E$94</f>
        <v>0</v>
      </c>
      <c r="J288" s="65">
        <f t="shared" si="69"/>
        <v>2904081.3619999997</v>
      </c>
      <c r="K288" s="65">
        <f>J288-J285</f>
        <v>759660.96199999982</v>
      </c>
    </row>
    <row r="289" spans="1:12" s="932" customFormat="1" x14ac:dyDescent="0.2">
      <c r="A289" s="811">
        <f t="shared" si="67"/>
        <v>217</v>
      </c>
      <c r="B289" s="892" t="s">
        <v>211</v>
      </c>
      <c r="C289" s="893">
        <f t="shared" si="70"/>
        <v>2013</v>
      </c>
      <c r="D289" s="111">
        <v>442140</v>
      </c>
      <c r="E289" s="65">
        <f>D289*'16-PlantAdditions'!$E$94</f>
        <v>33160.5</v>
      </c>
      <c r="F289" s="65">
        <f t="shared" si="68"/>
        <v>475300.5</v>
      </c>
      <c r="G289" s="111">
        <v>0</v>
      </c>
      <c r="H289" s="111">
        <v>0</v>
      </c>
      <c r="I289" s="65">
        <f>(G289-H289)*'16-PlantAdditions'!$E$94</f>
        <v>0</v>
      </c>
      <c r="J289" s="65">
        <f t="shared" si="69"/>
        <v>3379381.8619999997</v>
      </c>
      <c r="K289" s="65">
        <f>J289-J285</f>
        <v>1234961.4619999998</v>
      </c>
    </row>
    <row r="290" spans="1:12" s="932" customFormat="1" x14ac:dyDescent="0.2">
      <c r="A290" s="811">
        <f t="shared" si="67"/>
        <v>218</v>
      </c>
      <c r="B290" s="895" t="s">
        <v>212</v>
      </c>
      <c r="C290" s="893">
        <f t="shared" si="70"/>
        <v>2013</v>
      </c>
      <c r="D290" s="111">
        <v>632685.00000000012</v>
      </c>
      <c r="E290" s="65">
        <f>D290*'16-PlantAdditions'!$E$94</f>
        <v>47451.375000000007</v>
      </c>
      <c r="F290" s="65">
        <f t="shared" si="68"/>
        <v>680136.37500000012</v>
      </c>
      <c r="G290" s="111">
        <v>0</v>
      </c>
      <c r="H290" s="111">
        <v>0</v>
      </c>
      <c r="I290" s="65">
        <f>(G290-H290)*'16-PlantAdditions'!$E$94</f>
        <v>0</v>
      </c>
      <c r="J290" s="65">
        <f t="shared" si="69"/>
        <v>4059518.2369999997</v>
      </c>
      <c r="K290" s="65">
        <f>J290-J285</f>
        <v>1915097.8369999998</v>
      </c>
    </row>
    <row r="291" spans="1:12" s="932" customFormat="1" x14ac:dyDescent="0.2">
      <c r="A291" s="811">
        <f t="shared" si="67"/>
        <v>219</v>
      </c>
      <c r="B291" s="895" t="s">
        <v>1877</v>
      </c>
      <c r="C291" s="893">
        <f t="shared" si="70"/>
        <v>2013</v>
      </c>
      <c r="D291" s="111">
        <v>618486</v>
      </c>
      <c r="E291" s="65">
        <f>D291*'16-PlantAdditions'!$E$94</f>
        <v>46386.45</v>
      </c>
      <c r="F291" s="65">
        <f t="shared" si="68"/>
        <v>664872.44999999995</v>
      </c>
      <c r="G291" s="111">
        <v>0</v>
      </c>
      <c r="H291" s="111">
        <v>0</v>
      </c>
      <c r="I291" s="65">
        <f>(G291-H291)*'16-PlantAdditions'!$E$94</f>
        <v>0</v>
      </c>
      <c r="J291" s="65">
        <f t="shared" si="69"/>
        <v>4724390.6869999999</v>
      </c>
      <c r="K291" s="65">
        <f>J291-J285</f>
        <v>2579970.287</v>
      </c>
    </row>
    <row r="292" spans="1:12" s="932" customFormat="1" x14ac:dyDescent="0.2">
      <c r="A292" s="811">
        <f t="shared" si="67"/>
        <v>220</v>
      </c>
      <c r="B292" s="892" t="s">
        <v>214</v>
      </c>
      <c r="C292" s="893">
        <f t="shared" si="70"/>
        <v>2013</v>
      </c>
      <c r="D292" s="111">
        <v>636695.99999999988</v>
      </c>
      <c r="E292" s="65">
        <f>D292*'16-PlantAdditions'!$E$94</f>
        <v>47752.19999999999</v>
      </c>
      <c r="F292" s="65">
        <f t="shared" si="68"/>
        <v>684448.19999999984</v>
      </c>
      <c r="G292" s="111">
        <v>0</v>
      </c>
      <c r="H292" s="111">
        <v>0</v>
      </c>
      <c r="I292" s="65">
        <f>(G292-H292)*'16-PlantAdditions'!$E$94</f>
        <v>0</v>
      </c>
      <c r="J292" s="65">
        <f t="shared" si="69"/>
        <v>5408838.8870000001</v>
      </c>
      <c r="K292" s="65">
        <f>J292-J285</f>
        <v>3264418.4870000002</v>
      </c>
      <c r="L292" s="929"/>
    </row>
    <row r="293" spans="1:12" s="932" customFormat="1" x14ac:dyDescent="0.2">
      <c r="A293" s="811">
        <f t="shared" si="67"/>
        <v>221</v>
      </c>
      <c r="B293" s="895" t="s">
        <v>215</v>
      </c>
      <c r="C293" s="893">
        <f t="shared" si="70"/>
        <v>2013</v>
      </c>
      <c r="D293" s="111">
        <v>649925.99999999988</v>
      </c>
      <c r="E293" s="65">
        <f>D293*'16-PlantAdditions'!$E$94</f>
        <v>48744.44999999999</v>
      </c>
      <c r="F293" s="65">
        <f t="shared" si="68"/>
        <v>698670.44999999984</v>
      </c>
      <c r="G293" s="111">
        <v>0</v>
      </c>
      <c r="H293" s="111">
        <v>0</v>
      </c>
      <c r="I293" s="65">
        <f>(G293-H293)*'16-PlantAdditions'!$E$94</f>
        <v>0</v>
      </c>
      <c r="J293" s="65">
        <f t="shared" si="69"/>
        <v>6107509.3370000003</v>
      </c>
      <c r="K293" s="65">
        <f>J293-J285</f>
        <v>3963088.9370000004</v>
      </c>
      <c r="L293" s="929"/>
    </row>
    <row r="294" spans="1:12" s="932" customFormat="1" x14ac:dyDescent="0.2">
      <c r="A294" s="811">
        <f t="shared" si="67"/>
        <v>222</v>
      </c>
      <c r="B294" s="895" t="s">
        <v>216</v>
      </c>
      <c r="C294" s="893">
        <f t="shared" si="70"/>
        <v>2013</v>
      </c>
      <c r="D294" s="111">
        <v>618636</v>
      </c>
      <c r="E294" s="65">
        <f>D294*'16-PlantAdditions'!$E$94</f>
        <v>46397.7</v>
      </c>
      <c r="F294" s="65">
        <f t="shared" si="68"/>
        <v>665033.69999999995</v>
      </c>
      <c r="G294" s="111">
        <v>0</v>
      </c>
      <c r="H294" s="111">
        <v>0</v>
      </c>
      <c r="I294" s="65">
        <f>(G294-H294)*'16-PlantAdditions'!$E$94</f>
        <v>0</v>
      </c>
      <c r="J294" s="65">
        <f t="shared" si="69"/>
        <v>6772543.0370000005</v>
      </c>
      <c r="K294" s="65">
        <f>J294-J285</f>
        <v>4628122.6370000001</v>
      </c>
      <c r="L294" s="929"/>
    </row>
    <row r="295" spans="1:12" s="932" customFormat="1" x14ac:dyDescent="0.2">
      <c r="A295" s="811">
        <f t="shared" si="67"/>
        <v>223</v>
      </c>
      <c r="B295" s="892" t="s">
        <v>219</v>
      </c>
      <c r="C295" s="893">
        <f t="shared" si="70"/>
        <v>2013</v>
      </c>
      <c r="D295" s="111">
        <v>650076</v>
      </c>
      <c r="E295" s="65">
        <f>D295*'16-PlantAdditions'!$E$94</f>
        <v>48755.7</v>
      </c>
      <c r="F295" s="65">
        <f t="shared" si="68"/>
        <v>698831.7</v>
      </c>
      <c r="G295" s="111">
        <v>0</v>
      </c>
      <c r="H295" s="111">
        <v>0</v>
      </c>
      <c r="I295" s="65">
        <f>(G295-H295)*'16-PlantAdditions'!$E$94</f>
        <v>0</v>
      </c>
      <c r="J295" s="65">
        <f t="shared" si="69"/>
        <v>7471374.7370000007</v>
      </c>
      <c r="K295" s="65">
        <f>J295-J285</f>
        <v>5326954.3370000012</v>
      </c>
      <c r="L295" s="927"/>
    </row>
    <row r="296" spans="1:12" s="932" customFormat="1" x14ac:dyDescent="0.2">
      <c r="A296" s="811">
        <f t="shared" si="67"/>
        <v>224</v>
      </c>
      <c r="B296" s="892" t="s">
        <v>218</v>
      </c>
      <c r="C296" s="893">
        <f t="shared" si="70"/>
        <v>2013</v>
      </c>
      <c r="D296" s="111">
        <v>646305.99999999988</v>
      </c>
      <c r="E296" s="65">
        <f>D296*'16-PlantAdditions'!$E$94</f>
        <v>48472.94999999999</v>
      </c>
      <c r="F296" s="65">
        <f t="shared" si="68"/>
        <v>694778.94999999984</v>
      </c>
      <c r="G296" s="111">
        <v>0</v>
      </c>
      <c r="H296" s="111">
        <v>0</v>
      </c>
      <c r="I296" s="65">
        <f>(G296-H296)*'16-PlantAdditions'!$E$94</f>
        <v>0</v>
      </c>
      <c r="J296" s="65">
        <f t="shared" si="69"/>
        <v>8166153.6870000008</v>
      </c>
      <c r="K296" s="65">
        <f>J296-J285</f>
        <v>6021733.2870000005</v>
      </c>
    </row>
    <row r="297" spans="1:12" s="932" customFormat="1" x14ac:dyDescent="0.2">
      <c r="A297" s="811">
        <f t="shared" si="67"/>
        <v>225</v>
      </c>
      <c r="B297" s="892" t="s">
        <v>208</v>
      </c>
      <c r="C297" s="893">
        <f t="shared" si="70"/>
        <v>2013</v>
      </c>
      <c r="D297" s="111">
        <v>648444.49</v>
      </c>
      <c r="E297" s="65">
        <f>D297*'16-PlantAdditions'!$E$94</f>
        <v>48633.336749999995</v>
      </c>
      <c r="F297" s="65">
        <f t="shared" si="68"/>
        <v>697077.82675000001</v>
      </c>
      <c r="G297" s="111">
        <v>0</v>
      </c>
      <c r="H297" s="111">
        <v>0</v>
      </c>
      <c r="I297" s="65">
        <f>(G297-H297)*'16-PlantAdditions'!$E$94</f>
        <v>0</v>
      </c>
      <c r="J297" s="65">
        <f t="shared" si="69"/>
        <v>8863231.5137500018</v>
      </c>
      <c r="K297" s="65">
        <f>J297-J285</f>
        <v>6718811.1137500014</v>
      </c>
    </row>
    <row r="298" spans="1:12" s="932" customFormat="1" x14ac:dyDescent="0.2">
      <c r="A298" s="811">
        <f t="shared" si="67"/>
        <v>226</v>
      </c>
      <c r="B298" s="892" t="s">
        <v>209</v>
      </c>
      <c r="C298" s="893">
        <f>C297+1</f>
        <v>2014</v>
      </c>
      <c r="D298" s="111">
        <v>703161.27777777775</v>
      </c>
      <c r="E298" s="65">
        <f>D298*'16-PlantAdditions'!$E$94</f>
        <v>52737.095833333333</v>
      </c>
      <c r="F298" s="65">
        <f t="shared" si="68"/>
        <v>755898.37361111108</v>
      </c>
      <c r="G298" s="111">
        <v>0</v>
      </c>
      <c r="H298" s="111">
        <v>0</v>
      </c>
      <c r="I298" s="65">
        <f>(G298-H298)*'16-PlantAdditions'!$E$94</f>
        <v>0</v>
      </c>
      <c r="J298" s="65">
        <f t="shared" si="69"/>
        <v>9619129.887361113</v>
      </c>
      <c r="K298" s="65">
        <f>J298-J285</f>
        <v>7474709.4873611126</v>
      </c>
    </row>
    <row r="299" spans="1:12" s="932" customFormat="1" x14ac:dyDescent="0.2">
      <c r="A299" s="811">
        <f t="shared" si="67"/>
        <v>227</v>
      </c>
      <c r="B299" s="895" t="s">
        <v>210</v>
      </c>
      <c r="C299" s="893">
        <f>C298</f>
        <v>2014</v>
      </c>
      <c r="D299" s="111">
        <v>702004.96198830416</v>
      </c>
      <c r="E299" s="65">
        <f>D299*'16-PlantAdditions'!$E$94</f>
        <v>52650.372149122813</v>
      </c>
      <c r="F299" s="65">
        <f t="shared" si="68"/>
        <v>754655.33413742692</v>
      </c>
      <c r="G299" s="111">
        <v>0</v>
      </c>
      <c r="H299" s="111">
        <v>0</v>
      </c>
      <c r="I299" s="65">
        <f>(G299-H299)*'16-PlantAdditions'!$E$94</f>
        <v>0</v>
      </c>
      <c r="J299" s="65">
        <f t="shared" si="69"/>
        <v>10373785.22149854</v>
      </c>
      <c r="K299" s="65">
        <f>J299-J285</f>
        <v>8229364.8214985393</v>
      </c>
    </row>
    <row r="300" spans="1:12" s="932" customFormat="1" x14ac:dyDescent="0.2">
      <c r="A300" s="811">
        <f t="shared" si="67"/>
        <v>228</v>
      </c>
      <c r="B300" s="895" t="s">
        <v>223</v>
      </c>
      <c r="C300" s="893">
        <f t="shared" ref="C300:C306" si="71">C299</f>
        <v>2014</v>
      </c>
      <c r="D300" s="111">
        <v>719633.90935672517</v>
      </c>
      <c r="E300" s="65">
        <f>D300*'16-PlantAdditions'!$E$94</f>
        <v>53972.543201754386</v>
      </c>
      <c r="F300" s="65">
        <f t="shared" si="68"/>
        <v>773606.4525584795</v>
      </c>
      <c r="G300" s="111">
        <v>0</v>
      </c>
      <c r="H300" s="111">
        <v>0</v>
      </c>
      <c r="I300" s="65">
        <f>(G300-H300)*'16-PlantAdditions'!$E$94</f>
        <v>0</v>
      </c>
      <c r="J300" s="65">
        <f t="shared" si="69"/>
        <v>11147391.67405702</v>
      </c>
      <c r="K300" s="65">
        <f>J300-J285</f>
        <v>9002971.2740570195</v>
      </c>
    </row>
    <row r="301" spans="1:12" s="932" customFormat="1" x14ac:dyDescent="0.2">
      <c r="A301" s="811">
        <f t="shared" si="67"/>
        <v>229</v>
      </c>
      <c r="B301" s="892" t="s">
        <v>211</v>
      </c>
      <c r="C301" s="893">
        <f t="shared" si="71"/>
        <v>2014</v>
      </c>
      <c r="D301" s="111">
        <v>649187.8567251463</v>
      </c>
      <c r="E301" s="65">
        <f>D301*'16-PlantAdditions'!$E$94</f>
        <v>48689.089254385974</v>
      </c>
      <c r="F301" s="65">
        <f t="shared" si="68"/>
        <v>697876.94597953232</v>
      </c>
      <c r="G301" s="111">
        <v>0</v>
      </c>
      <c r="H301" s="111">
        <v>0</v>
      </c>
      <c r="I301" s="65">
        <f>(G301-H301)*'16-PlantAdditions'!$E$94</f>
        <v>0</v>
      </c>
      <c r="J301" s="65">
        <f t="shared" si="69"/>
        <v>11845268.620036552</v>
      </c>
      <c r="K301" s="65">
        <f>J301-J285</f>
        <v>9700848.2200365514</v>
      </c>
    </row>
    <row r="302" spans="1:12" s="932" customFormat="1" x14ac:dyDescent="0.2">
      <c r="A302" s="811">
        <f t="shared" si="67"/>
        <v>230</v>
      </c>
      <c r="B302" s="895" t="s">
        <v>212</v>
      </c>
      <c r="C302" s="893">
        <f t="shared" si="71"/>
        <v>2014</v>
      </c>
      <c r="D302" s="111">
        <v>645187.8567251463</v>
      </c>
      <c r="E302" s="65">
        <f>D302*'16-PlantAdditions'!$E$94</f>
        <v>48389.089254385974</v>
      </c>
      <c r="F302" s="65">
        <f t="shared" si="68"/>
        <v>693576.94597953232</v>
      </c>
      <c r="G302" s="111">
        <v>0</v>
      </c>
      <c r="H302" s="111">
        <v>0</v>
      </c>
      <c r="I302" s="65">
        <f>(G302-H302)*'16-PlantAdditions'!$E$94</f>
        <v>0</v>
      </c>
      <c r="J302" s="65">
        <f t="shared" si="69"/>
        <v>12538845.566016084</v>
      </c>
      <c r="K302" s="65">
        <f>J302-J285</f>
        <v>10394425.166016083</v>
      </c>
    </row>
    <row r="303" spans="1:12" s="932" customFormat="1" x14ac:dyDescent="0.2">
      <c r="A303" s="811">
        <f t="shared" si="67"/>
        <v>231</v>
      </c>
      <c r="B303" s="895" t="s">
        <v>1877</v>
      </c>
      <c r="C303" s="893">
        <f t="shared" si="71"/>
        <v>2014</v>
      </c>
      <c r="D303" s="111">
        <v>645187.8567251463</v>
      </c>
      <c r="E303" s="65">
        <f>D303*'16-PlantAdditions'!$E$94</f>
        <v>48389.089254385974</v>
      </c>
      <c r="F303" s="65">
        <f t="shared" si="68"/>
        <v>693576.94597953232</v>
      </c>
      <c r="G303" s="111">
        <v>0</v>
      </c>
      <c r="H303" s="111">
        <v>0</v>
      </c>
      <c r="I303" s="65">
        <f>(G303-H303)*'16-PlantAdditions'!$E$94</f>
        <v>0</v>
      </c>
      <c r="J303" s="65">
        <f t="shared" si="69"/>
        <v>13232422.511995615</v>
      </c>
      <c r="K303" s="65">
        <f>J303-J285</f>
        <v>11088002.111995615</v>
      </c>
    </row>
    <row r="304" spans="1:12" s="932" customFormat="1" x14ac:dyDescent="0.2">
      <c r="A304" s="811">
        <f t="shared" si="67"/>
        <v>232</v>
      </c>
      <c r="B304" s="892" t="s">
        <v>214</v>
      </c>
      <c r="C304" s="893">
        <f t="shared" si="71"/>
        <v>2014</v>
      </c>
      <c r="D304" s="111">
        <v>702282.06725146202</v>
      </c>
      <c r="E304" s="65">
        <f>D304*'16-PlantAdditions'!$E$94</f>
        <v>52671.155043859653</v>
      </c>
      <c r="F304" s="65">
        <f t="shared" si="68"/>
        <v>754953.22229532164</v>
      </c>
      <c r="G304" s="111">
        <v>0</v>
      </c>
      <c r="H304" s="111">
        <v>0</v>
      </c>
      <c r="I304" s="65">
        <f>(G304-H304)*'16-PlantAdditions'!$E$94</f>
        <v>0</v>
      </c>
      <c r="J304" s="65">
        <f t="shared" si="69"/>
        <v>13987375.734290937</v>
      </c>
      <c r="K304" s="65">
        <f>J304-J285</f>
        <v>11842955.334290937</v>
      </c>
    </row>
    <row r="305" spans="1:11" s="932" customFormat="1" x14ac:dyDescent="0.2">
      <c r="A305" s="811">
        <f t="shared" si="67"/>
        <v>233</v>
      </c>
      <c r="B305" s="895" t="s">
        <v>215</v>
      </c>
      <c r="C305" s="893">
        <f t="shared" si="71"/>
        <v>2014</v>
      </c>
      <c r="D305" s="111">
        <v>962282.06725146202</v>
      </c>
      <c r="E305" s="65">
        <f>D305*'16-PlantAdditions'!$E$94</f>
        <v>72171.155043859646</v>
      </c>
      <c r="F305" s="65">
        <f t="shared" si="68"/>
        <v>1034453.2222953216</v>
      </c>
      <c r="G305" s="111">
        <v>0</v>
      </c>
      <c r="H305" s="111">
        <v>0</v>
      </c>
      <c r="I305" s="65">
        <f>(G305-H305)*'16-PlantAdditions'!$E$94</f>
        <v>0</v>
      </c>
      <c r="J305" s="65">
        <f t="shared" si="69"/>
        <v>15021828.956586258</v>
      </c>
      <c r="K305" s="65">
        <f>J305-J285</f>
        <v>12877408.556586258</v>
      </c>
    </row>
    <row r="306" spans="1:11" s="932" customFormat="1" x14ac:dyDescent="0.2">
      <c r="A306" s="811">
        <f t="shared" si="67"/>
        <v>234</v>
      </c>
      <c r="B306" s="895" t="s">
        <v>216</v>
      </c>
      <c r="C306" s="893">
        <f t="shared" si="71"/>
        <v>2014</v>
      </c>
      <c r="D306" s="111">
        <v>704282.06725146202</v>
      </c>
      <c r="E306" s="65">
        <f>D306*'16-PlantAdditions'!$E$94</f>
        <v>52821.155043859653</v>
      </c>
      <c r="F306" s="65">
        <f t="shared" si="68"/>
        <v>757103.22229532164</v>
      </c>
      <c r="G306" s="111">
        <v>0</v>
      </c>
      <c r="H306" s="111">
        <v>0</v>
      </c>
      <c r="I306" s="65">
        <f>(G306-H306)*'16-PlantAdditions'!$E$94</f>
        <v>0</v>
      </c>
      <c r="J306" s="65">
        <f t="shared" si="69"/>
        <v>15778932.17888158</v>
      </c>
      <c r="K306" s="116">
        <f>J306-J285</f>
        <v>13634511.77888158</v>
      </c>
    </row>
    <row r="307" spans="1:11" s="932" customFormat="1" x14ac:dyDescent="0.2">
      <c r="A307" s="811">
        <f>A306+1</f>
        <v>235</v>
      </c>
      <c r="B307"/>
      <c r="C307" s="931" t="s">
        <v>2084</v>
      </c>
      <c r="D307"/>
      <c r="E307"/>
      <c r="F307"/>
      <c r="G307"/>
      <c r="H307"/>
      <c r="I307"/>
      <c r="J307"/>
      <c r="K307" s="76">
        <f>AVERAGE(K294:K306)</f>
        <v>8995447.5481133591</v>
      </c>
    </row>
    <row r="308" spans="1:11" s="932" customFormat="1" x14ac:dyDescent="0.2">
      <c r="A308" s="811"/>
      <c r="B308"/>
      <c r="C308" s="931"/>
      <c r="D308"/>
      <c r="E308"/>
      <c r="F308"/>
      <c r="G308"/>
      <c r="H308"/>
      <c r="I308"/>
      <c r="J308"/>
      <c r="K308" s="76"/>
    </row>
    <row r="309" spans="1:11" s="932" customFormat="1" x14ac:dyDescent="0.2">
      <c r="B309" s="933" t="s">
        <v>2626</v>
      </c>
      <c r="D309" s="1195" t="s">
        <v>2627</v>
      </c>
      <c r="E309" s="1195"/>
    </row>
    <row r="310" spans="1:11" s="932" customFormat="1" x14ac:dyDescent="0.2">
      <c r="D310" s="934"/>
      <c r="E310" s="934"/>
      <c r="F310" s="934"/>
      <c r="G310" s="811" t="str">
        <f>G51</f>
        <v>Unloaded</v>
      </c>
      <c r="H310" s="934"/>
      <c r="I310" s="934"/>
    </row>
    <row r="311" spans="1:11" s="932" customFormat="1" x14ac:dyDescent="0.2">
      <c r="A311" s="929"/>
      <c r="B311" s="929"/>
      <c r="C311" s="929"/>
      <c r="D311" s="929" t="str">
        <f>D$52</f>
        <v>Forecast</v>
      </c>
      <c r="E311" s="929" t="str">
        <f t="shared" ref="E311:J311" si="72">E$52</f>
        <v>Corporate</v>
      </c>
      <c r="F311" s="929" t="str">
        <f t="shared" si="72"/>
        <v xml:space="preserve">Total </v>
      </c>
      <c r="G311" s="811" t="str">
        <f t="shared" ref="G311:G312" si="73">G52</f>
        <v>Total</v>
      </c>
      <c r="H311" s="929" t="str">
        <f t="shared" si="72"/>
        <v>Prior Period</v>
      </c>
      <c r="I311" s="929" t="str">
        <f t="shared" si="72"/>
        <v>Over Heads</v>
      </c>
      <c r="J311" s="929" t="str">
        <f t="shared" si="72"/>
        <v>Forecast</v>
      </c>
      <c r="K311" s="811" t="str">
        <f>K$52</f>
        <v>Forecast Period</v>
      </c>
    </row>
    <row r="312" spans="1:11" s="932" customFormat="1" x14ac:dyDescent="0.2">
      <c r="A312" s="53" t="s">
        <v>369</v>
      </c>
      <c r="B312" s="891" t="s">
        <v>220</v>
      </c>
      <c r="C312" s="891" t="s">
        <v>221</v>
      </c>
      <c r="D312" s="927" t="str">
        <f>D$53</f>
        <v>Expenditures</v>
      </c>
      <c r="E312" s="927" t="str">
        <f t="shared" ref="E312:J312" si="74">E$53</f>
        <v>Overheads</v>
      </c>
      <c r="F312" s="927" t="str">
        <f t="shared" si="74"/>
        <v>CWIP Exp</v>
      </c>
      <c r="G312" s="3" t="str">
        <f t="shared" si="73"/>
        <v>Plant Adds</v>
      </c>
      <c r="H312" s="927" t="str">
        <f t="shared" si="74"/>
        <v>CWIP Closed</v>
      </c>
      <c r="I312" s="927" t="str">
        <f t="shared" si="74"/>
        <v>Closed to PIS</v>
      </c>
      <c r="J312" s="927" t="str">
        <f t="shared" si="74"/>
        <v>Period CWIP</v>
      </c>
      <c r="K312" s="927" t="str">
        <f>K$53</f>
        <v>Incremental CWIP</v>
      </c>
    </row>
    <row r="313" spans="1:11" s="932" customFormat="1" x14ac:dyDescent="0.2">
      <c r="A313" s="811">
        <f>A307+1</f>
        <v>236</v>
      </c>
      <c r="B313" s="892" t="s">
        <v>208</v>
      </c>
      <c r="C313" s="893">
        <v>2012</v>
      </c>
      <c r="D313" s="936" t="s">
        <v>86</v>
      </c>
      <c r="E313" s="936" t="s">
        <v>86</v>
      </c>
      <c r="F313" s="936" t="s">
        <v>86</v>
      </c>
      <c r="G313" s="936" t="s">
        <v>86</v>
      </c>
      <c r="H313" s="936" t="s">
        <v>86</v>
      </c>
      <c r="I313" s="936" t="s">
        <v>86</v>
      </c>
      <c r="J313" s="65">
        <f>G45</f>
        <v>4824458.0572965704</v>
      </c>
      <c r="K313" s="936" t="s">
        <v>86</v>
      </c>
    </row>
    <row r="314" spans="1:11" s="932" customFormat="1" x14ac:dyDescent="0.2">
      <c r="A314" s="811">
        <f>A313+1</f>
        <v>237</v>
      </c>
      <c r="B314" s="892" t="s">
        <v>209</v>
      </c>
      <c r="C314" s="893">
        <f>C313+1</f>
        <v>2013</v>
      </c>
      <c r="D314" s="111">
        <v>247155</v>
      </c>
      <c r="E314" s="65">
        <f>D314*'16-PlantAdditions'!$E$94</f>
        <v>18536.625</v>
      </c>
      <c r="F314" s="65">
        <f>E314+D314</f>
        <v>265691.625</v>
      </c>
      <c r="G314" s="111">
        <v>0</v>
      </c>
      <c r="H314" s="111">
        <v>0</v>
      </c>
      <c r="I314" s="65">
        <f>(G314-H314)*'16-PlantAdditions'!$E$94</f>
        <v>0</v>
      </c>
      <c r="J314" s="65">
        <f>J313+F314-G314-I314</f>
        <v>5090149.6822965704</v>
      </c>
      <c r="K314" s="65">
        <f>J314-J313</f>
        <v>265691.625</v>
      </c>
    </row>
    <row r="315" spans="1:11" s="932" customFormat="1" x14ac:dyDescent="0.2">
      <c r="A315" s="811">
        <f t="shared" ref="A315:A334" si="75">A314+1</f>
        <v>238</v>
      </c>
      <c r="B315" s="895" t="s">
        <v>210</v>
      </c>
      <c r="C315" s="893">
        <f>C314</f>
        <v>2013</v>
      </c>
      <c r="D315" s="111">
        <v>325897</v>
      </c>
      <c r="E315" s="65">
        <f>D315*'16-PlantAdditions'!$E$94</f>
        <v>24442.274999999998</v>
      </c>
      <c r="F315" s="65">
        <f t="shared" ref="F315:F334" si="76">E315+D315</f>
        <v>350339.27500000002</v>
      </c>
      <c r="G315" s="111">
        <v>0</v>
      </c>
      <c r="H315" s="111">
        <v>0</v>
      </c>
      <c r="I315" s="65">
        <f>(G315-H315)*'16-PlantAdditions'!$E$94</f>
        <v>0</v>
      </c>
      <c r="J315" s="65">
        <f t="shared" ref="J315:J334" si="77">J314+F315-G315-I315</f>
        <v>5440488.9572965708</v>
      </c>
      <c r="K315" s="65">
        <f>J315-J$171</f>
        <v>5513776.9003527779</v>
      </c>
    </row>
    <row r="316" spans="1:11" s="932" customFormat="1" x14ac:dyDescent="0.2">
      <c r="A316" s="811">
        <f t="shared" si="75"/>
        <v>239</v>
      </c>
      <c r="B316" s="895" t="s">
        <v>223</v>
      </c>
      <c r="C316" s="893">
        <f t="shared" ref="C316:C325" si="78">C315</f>
        <v>2013</v>
      </c>
      <c r="D316" s="111">
        <v>562183.28300000005</v>
      </c>
      <c r="E316" s="65">
        <f>D316*'16-PlantAdditions'!$E$94</f>
        <v>42163.746225000003</v>
      </c>
      <c r="F316" s="65">
        <f t="shared" si="76"/>
        <v>604347.02922500006</v>
      </c>
      <c r="G316" s="111">
        <v>0</v>
      </c>
      <c r="H316" s="111">
        <v>0</v>
      </c>
      <c r="I316" s="65">
        <f>(G316-H316)*'16-PlantAdditions'!$E$94</f>
        <v>0</v>
      </c>
      <c r="J316" s="65">
        <f t="shared" si="77"/>
        <v>6044835.9865215709</v>
      </c>
      <c r="K316" s="65">
        <f>J316-J313</f>
        <v>1220377.9292250006</v>
      </c>
    </row>
    <row r="317" spans="1:11" s="932" customFormat="1" x14ac:dyDescent="0.2">
      <c r="A317" s="811">
        <f t="shared" si="75"/>
        <v>240</v>
      </c>
      <c r="B317" s="892" t="s">
        <v>211</v>
      </c>
      <c r="C317" s="893">
        <f t="shared" si="78"/>
        <v>2013</v>
      </c>
      <c r="D317" s="111">
        <v>811507.745</v>
      </c>
      <c r="E317" s="65">
        <f>D317*'16-PlantAdditions'!$E$94</f>
        <v>60863.080875</v>
      </c>
      <c r="F317" s="65">
        <f t="shared" si="76"/>
        <v>872370.82587499998</v>
      </c>
      <c r="G317" s="111">
        <v>0</v>
      </c>
      <c r="H317" s="111">
        <v>0</v>
      </c>
      <c r="I317" s="65">
        <f>(G317-H317)*'16-PlantAdditions'!$E$94</f>
        <v>0</v>
      </c>
      <c r="J317" s="65">
        <f t="shared" si="77"/>
        <v>6917206.812396571</v>
      </c>
      <c r="K317" s="65">
        <f>J317-J313</f>
        <v>2092748.7551000006</v>
      </c>
    </row>
    <row r="318" spans="1:11" s="932" customFormat="1" x14ac:dyDescent="0.2">
      <c r="A318" s="811">
        <f t="shared" si="75"/>
        <v>241</v>
      </c>
      <c r="B318" s="895" t="s">
        <v>212</v>
      </c>
      <c r="C318" s="893">
        <f t="shared" si="78"/>
        <v>2013</v>
      </c>
      <c r="D318" s="111">
        <v>606902.64500000002</v>
      </c>
      <c r="E318" s="65">
        <f>D318*'16-PlantAdditions'!$E$94</f>
        <v>45517.698375</v>
      </c>
      <c r="F318" s="65">
        <f t="shared" si="76"/>
        <v>652420.34337500005</v>
      </c>
      <c r="G318" s="111">
        <v>0</v>
      </c>
      <c r="H318" s="111">
        <v>0</v>
      </c>
      <c r="I318" s="65">
        <f>(G318-H318)*'16-PlantAdditions'!$E$94</f>
        <v>0</v>
      </c>
      <c r="J318" s="65">
        <f t="shared" si="77"/>
        <v>7569627.1557715712</v>
      </c>
      <c r="K318" s="65">
        <f>J318-J313</f>
        <v>2745169.0984750008</v>
      </c>
    </row>
    <row r="319" spans="1:11" s="932" customFormat="1" x14ac:dyDescent="0.2">
      <c r="A319" s="811">
        <f t="shared" si="75"/>
        <v>242</v>
      </c>
      <c r="B319" s="895" t="s">
        <v>1877</v>
      </c>
      <c r="C319" s="893">
        <f t="shared" si="78"/>
        <v>2013</v>
      </c>
      <c r="D319" s="111">
        <v>678384.08299999998</v>
      </c>
      <c r="E319" s="65">
        <f>D319*'16-PlantAdditions'!$E$94</f>
        <v>50878.806225</v>
      </c>
      <c r="F319" s="65">
        <f t="shared" si="76"/>
        <v>729262.88922499993</v>
      </c>
      <c r="G319" s="111">
        <v>0</v>
      </c>
      <c r="H319" s="111">
        <v>0</v>
      </c>
      <c r="I319" s="65">
        <f>(G319-H319)*'16-PlantAdditions'!$E$94</f>
        <v>0</v>
      </c>
      <c r="J319" s="65">
        <f t="shared" si="77"/>
        <v>8298890.0449965708</v>
      </c>
      <c r="K319" s="65">
        <f>J319-J313</f>
        <v>3474431.9877000004</v>
      </c>
    </row>
    <row r="320" spans="1:11" s="932" customFormat="1" x14ac:dyDescent="0.2">
      <c r="A320" s="811">
        <f t="shared" si="75"/>
        <v>243</v>
      </c>
      <c r="B320" s="892" t="s">
        <v>214</v>
      </c>
      <c r="C320" s="893">
        <f t="shared" si="78"/>
        <v>2013</v>
      </c>
      <c r="D320" s="111">
        <v>783250.28299999994</v>
      </c>
      <c r="E320" s="65">
        <f>D320*'16-PlantAdditions'!$E$94</f>
        <v>58743.771224999997</v>
      </c>
      <c r="F320" s="65">
        <f t="shared" si="76"/>
        <v>841994.05422499997</v>
      </c>
      <c r="G320" s="111">
        <v>0</v>
      </c>
      <c r="H320" s="111">
        <v>0</v>
      </c>
      <c r="I320" s="65">
        <f>(G320-H320)*'16-PlantAdditions'!$E$94</f>
        <v>0</v>
      </c>
      <c r="J320" s="65">
        <f t="shared" si="77"/>
        <v>9140884.0992215704</v>
      </c>
      <c r="K320" s="65">
        <f>J320-J313</f>
        <v>4316426.041925</v>
      </c>
    </row>
    <row r="321" spans="1:11" s="932" customFormat="1" x14ac:dyDescent="0.2">
      <c r="A321" s="811">
        <f t="shared" si="75"/>
        <v>244</v>
      </c>
      <c r="B321" s="895" t="s">
        <v>215</v>
      </c>
      <c r="C321" s="893">
        <f t="shared" si="78"/>
        <v>2013</v>
      </c>
      <c r="D321" s="111">
        <v>780968.28300000005</v>
      </c>
      <c r="E321" s="65">
        <f>D321*'16-PlantAdditions'!$E$94</f>
        <v>58572.621225000003</v>
      </c>
      <c r="F321" s="65">
        <f t="shared" si="76"/>
        <v>839540.90422500006</v>
      </c>
      <c r="G321" s="111">
        <v>0</v>
      </c>
      <c r="H321" s="111">
        <v>0</v>
      </c>
      <c r="I321" s="65">
        <f>(G321-H321)*'16-PlantAdditions'!$E$94</f>
        <v>0</v>
      </c>
      <c r="J321" s="65">
        <f t="shared" si="77"/>
        <v>9980425.0034465697</v>
      </c>
      <c r="K321" s="65">
        <f>J321-J313</f>
        <v>5155966.9461499993</v>
      </c>
    </row>
    <row r="322" spans="1:11" s="932" customFormat="1" x14ac:dyDescent="0.2">
      <c r="A322" s="811">
        <f t="shared" si="75"/>
        <v>245</v>
      </c>
      <c r="B322" s="895" t="s">
        <v>216</v>
      </c>
      <c r="C322" s="893">
        <f t="shared" si="78"/>
        <v>2013</v>
      </c>
      <c r="D322" s="111">
        <v>731088.08299999998</v>
      </c>
      <c r="E322" s="65">
        <f>D322*'16-PlantAdditions'!$E$94</f>
        <v>54831.606224999996</v>
      </c>
      <c r="F322" s="65">
        <f t="shared" si="76"/>
        <v>785919.68922499998</v>
      </c>
      <c r="G322" s="111">
        <v>0</v>
      </c>
      <c r="H322" s="111">
        <v>0</v>
      </c>
      <c r="I322" s="65">
        <f>(G322-H322)*'16-PlantAdditions'!$E$94</f>
        <v>0</v>
      </c>
      <c r="J322" s="65">
        <f t="shared" si="77"/>
        <v>10766344.692671569</v>
      </c>
      <c r="K322" s="65">
        <f>J322-J313</f>
        <v>5941886.6353749987</v>
      </c>
    </row>
    <row r="323" spans="1:11" s="932" customFormat="1" x14ac:dyDescent="0.2">
      <c r="A323" s="811">
        <f t="shared" si="75"/>
        <v>246</v>
      </c>
      <c r="B323" s="892" t="s">
        <v>219</v>
      </c>
      <c r="C323" s="893">
        <f t="shared" si="78"/>
        <v>2013</v>
      </c>
      <c r="D323" s="111">
        <v>774163.08299999998</v>
      </c>
      <c r="E323" s="65">
        <f>D323*'16-PlantAdditions'!$E$94</f>
        <v>58062.231224999996</v>
      </c>
      <c r="F323" s="65">
        <f t="shared" si="76"/>
        <v>832225.31422499998</v>
      </c>
      <c r="G323" s="111">
        <v>0</v>
      </c>
      <c r="H323" s="111">
        <v>0</v>
      </c>
      <c r="I323" s="65">
        <f>(G323-H323)*'16-PlantAdditions'!$E$94</f>
        <v>0</v>
      </c>
      <c r="J323" s="65">
        <f t="shared" si="77"/>
        <v>11598570.006896568</v>
      </c>
      <c r="K323" s="65">
        <f>J323-J313</f>
        <v>6774111.9495999981</v>
      </c>
    </row>
    <row r="324" spans="1:11" s="932" customFormat="1" x14ac:dyDescent="0.2">
      <c r="A324" s="811">
        <f t="shared" si="75"/>
        <v>247</v>
      </c>
      <c r="B324" s="892" t="s">
        <v>218</v>
      </c>
      <c r="C324" s="893">
        <f t="shared" si="78"/>
        <v>2013</v>
      </c>
      <c r="D324" s="111">
        <v>762932.81599999999</v>
      </c>
      <c r="E324" s="65">
        <f>D324*'16-PlantAdditions'!$E$94</f>
        <v>57219.961199999998</v>
      </c>
      <c r="F324" s="65">
        <f t="shared" si="76"/>
        <v>820152.77720000001</v>
      </c>
      <c r="G324" s="111">
        <v>0</v>
      </c>
      <c r="H324" s="111">
        <v>0</v>
      </c>
      <c r="I324" s="65">
        <f>(G324-H324)*'16-PlantAdditions'!$E$94</f>
        <v>0</v>
      </c>
      <c r="J324" s="65">
        <f t="shared" si="77"/>
        <v>12418722.784096569</v>
      </c>
      <c r="K324" s="65">
        <f>J324-J313</f>
        <v>7594264.7267999984</v>
      </c>
    </row>
    <row r="325" spans="1:11" s="932" customFormat="1" x14ac:dyDescent="0.2">
      <c r="A325" s="811">
        <f t="shared" si="75"/>
        <v>248</v>
      </c>
      <c r="B325" s="892" t="s">
        <v>208</v>
      </c>
      <c r="C325" s="893">
        <f t="shared" si="78"/>
        <v>2013</v>
      </c>
      <c r="D325" s="111">
        <v>935567.2159999999</v>
      </c>
      <c r="E325" s="65">
        <f>D325*'16-PlantAdditions'!$E$94</f>
        <v>70167.541199999992</v>
      </c>
      <c r="F325" s="65">
        <f t="shared" si="76"/>
        <v>1005734.7571999999</v>
      </c>
      <c r="G325" s="111">
        <v>0</v>
      </c>
      <c r="H325" s="111">
        <v>0</v>
      </c>
      <c r="I325" s="65">
        <f>(G325-H325)*'16-PlantAdditions'!$E$94</f>
        <v>0</v>
      </c>
      <c r="J325" s="65">
        <f t="shared" si="77"/>
        <v>13424457.541296568</v>
      </c>
      <c r="K325" s="65">
        <f>J325-J313</f>
        <v>8599999.4839999974</v>
      </c>
    </row>
    <row r="326" spans="1:11" s="932" customFormat="1" x14ac:dyDescent="0.2">
      <c r="A326" s="811">
        <f t="shared" si="75"/>
        <v>249</v>
      </c>
      <c r="B326" s="892" t="s">
        <v>209</v>
      </c>
      <c r="C326" s="893">
        <f>C325+1</f>
        <v>2014</v>
      </c>
      <c r="D326" s="111">
        <v>931479.1</v>
      </c>
      <c r="E326" s="65">
        <f>D326*'16-PlantAdditions'!$E$94</f>
        <v>69860.932499999995</v>
      </c>
      <c r="F326" s="65">
        <f t="shared" si="76"/>
        <v>1001340.0325</v>
      </c>
      <c r="G326" s="111">
        <v>0</v>
      </c>
      <c r="H326" s="111">
        <v>0</v>
      </c>
      <c r="I326" s="65">
        <f>(G326-H326)*'16-PlantAdditions'!$E$94</f>
        <v>0</v>
      </c>
      <c r="J326" s="65">
        <f t="shared" si="77"/>
        <v>14425797.573796568</v>
      </c>
      <c r="K326" s="65">
        <f>J326-J313</f>
        <v>9601339.516499998</v>
      </c>
    </row>
    <row r="327" spans="1:11" s="932" customFormat="1" x14ac:dyDescent="0.2">
      <c r="A327" s="811">
        <f t="shared" si="75"/>
        <v>250</v>
      </c>
      <c r="B327" s="895" t="s">
        <v>210</v>
      </c>
      <c r="C327" s="893">
        <f>C326</f>
        <v>2014</v>
      </c>
      <c r="D327" s="111">
        <v>972779.09</v>
      </c>
      <c r="E327" s="65">
        <f>D327*'16-PlantAdditions'!$E$94</f>
        <v>72958.431749999989</v>
      </c>
      <c r="F327" s="65">
        <f t="shared" si="76"/>
        <v>1045737.52175</v>
      </c>
      <c r="G327" s="111">
        <v>0</v>
      </c>
      <c r="H327" s="111">
        <v>0</v>
      </c>
      <c r="I327" s="65">
        <f>(G327-H327)*'16-PlantAdditions'!$E$94</f>
        <v>0</v>
      </c>
      <c r="J327" s="65">
        <f t="shared" si="77"/>
        <v>15471535.095546568</v>
      </c>
      <c r="K327" s="65">
        <f>J327-J313</f>
        <v>10647077.038249997</v>
      </c>
    </row>
    <row r="328" spans="1:11" s="932" customFormat="1" x14ac:dyDescent="0.2">
      <c r="A328" s="811">
        <f t="shared" si="75"/>
        <v>251</v>
      </c>
      <c r="B328" s="895" t="s">
        <v>223</v>
      </c>
      <c r="C328" s="893">
        <f t="shared" ref="C328:C334" si="79">C327</f>
        <v>2014</v>
      </c>
      <c r="D328" s="111">
        <v>1144379.1000000001</v>
      </c>
      <c r="E328" s="65">
        <f>D328*'16-PlantAdditions'!$E$94</f>
        <v>85828.43250000001</v>
      </c>
      <c r="F328" s="65">
        <f t="shared" si="76"/>
        <v>1230207.5325000002</v>
      </c>
      <c r="G328" s="111">
        <v>0</v>
      </c>
      <c r="H328" s="111">
        <v>0</v>
      </c>
      <c r="I328" s="65">
        <f>(G328-H328)*'16-PlantAdditions'!$E$94</f>
        <v>0</v>
      </c>
      <c r="J328" s="65">
        <f t="shared" si="77"/>
        <v>16701742.628046568</v>
      </c>
      <c r="K328" s="65">
        <f>J328-J313</f>
        <v>11877284.570749998</v>
      </c>
    </row>
    <row r="329" spans="1:11" s="932" customFormat="1" x14ac:dyDescent="0.2">
      <c r="A329" s="811">
        <f t="shared" si="75"/>
        <v>252</v>
      </c>
      <c r="B329" s="892" t="s">
        <v>211</v>
      </c>
      <c r="C329" s="893">
        <f t="shared" si="79"/>
        <v>2014</v>
      </c>
      <c r="D329" s="111">
        <v>781740.9</v>
      </c>
      <c r="E329" s="65">
        <f>D329*'16-PlantAdditions'!$E$94</f>
        <v>58630.567499999997</v>
      </c>
      <c r="F329" s="65">
        <f t="shared" si="76"/>
        <v>840371.46750000003</v>
      </c>
      <c r="G329" s="111">
        <v>0</v>
      </c>
      <c r="H329" s="111">
        <v>0</v>
      </c>
      <c r="I329" s="65">
        <f>(G329-H329)*'16-PlantAdditions'!$E$94</f>
        <v>0</v>
      </c>
      <c r="J329" s="65">
        <f t="shared" si="77"/>
        <v>17542114.09554657</v>
      </c>
      <c r="K329" s="65">
        <f>J329-J313</f>
        <v>12717656.038249999</v>
      </c>
    </row>
    <row r="330" spans="1:11" s="932" customFormat="1" x14ac:dyDescent="0.2">
      <c r="A330" s="811">
        <f t="shared" si="75"/>
        <v>253</v>
      </c>
      <c r="B330" s="895" t="s">
        <v>212</v>
      </c>
      <c r="C330" s="893">
        <f t="shared" si="79"/>
        <v>2014</v>
      </c>
      <c r="D330" s="111">
        <v>775374.1</v>
      </c>
      <c r="E330" s="65">
        <f>D330*'16-PlantAdditions'!$E$94</f>
        <v>58153.057499999995</v>
      </c>
      <c r="F330" s="65">
        <f t="shared" si="76"/>
        <v>833527.15749999997</v>
      </c>
      <c r="G330" s="111">
        <v>0</v>
      </c>
      <c r="H330" s="111">
        <v>0</v>
      </c>
      <c r="I330" s="65">
        <f>(G330-H330)*'16-PlantAdditions'!$E$94</f>
        <v>0</v>
      </c>
      <c r="J330" s="65">
        <f t="shared" si="77"/>
        <v>18375641.253046568</v>
      </c>
      <c r="K330" s="65">
        <f>J330-J313</f>
        <v>13551183.195749998</v>
      </c>
    </row>
    <row r="331" spans="1:11" s="932" customFormat="1" x14ac:dyDescent="0.2">
      <c r="A331" s="811">
        <f t="shared" si="75"/>
        <v>254</v>
      </c>
      <c r="B331" s="895" t="s">
        <v>1877</v>
      </c>
      <c r="C331" s="893">
        <f t="shared" si="79"/>
        <v>2014</v>
      </c>
      <c r="D331" s="111">
        <v>774374.1</v>
      </c>
      <c r="E331" s="65">
        <f>D331*'16-PlantAdditions'!$E$94</f>
        <v>58078.057499999995</v>
      </c>
      <c r="F331" s="65">
        <f t="shared" si="76"/>
        <v>832452.15749999997</v>
      </c>
      <c r="G331" s="111">
        <v>0</v>
      </c>
      <c r="H331" s="111">
        <v>0</v>
      </c>
      <c r="I331" s="65">
        <f>(G331-H331)*'16-PlantAdditions'!$E$94</f>
        <v>0</v>
      </c>
      <c r="J331" s="65">
        <f t="shared" si="77"/>
        <v>19208093.410546567</v>
      </c>
      <c r="K331" s="65">
        <f>J331-J313</f>
        <v>14383635.353249997</v>
      </c>
    </row>
    <row r="332" spans="1:11" s="932" customFormat="1" x14ac:dyDescent="0.2">
      <c r="A332" s="811">
        <f t="shared" si="75"/>
        <v>255</v>
      </c>
      <c r="B332" s="892" t="s">
        <v>214</v>
      </c>
      <c r="C332" s="893">
        <f t="shared" si="79"/>
        <v>2014</v>
      </c>
      <c r="D332" s="111">
        <v>762390.5</v>
      </c>
      <c r="E332" s="65">
        <f>D332*'16-PlantAdditions'!$E$94</f>
        <v>57179.287499999999</v>
      </c>
      <c r="F332" s="65">
        <f t="shared" si="76"/>
        <v>819569.78749999998</v>
      </c>
      <c r="G332" s="111">
        <v>0</v>
      </c>
      <c r="H332" s="111">
        <v>0</v>
      </c>
      <c r="I332" s="65">
        <f>(G332-H332)*'16-PlantAdditions'!$E$94</f>
        <v>0</v>
      </c>
      <c r="J332" s="65">
        <f t="shared" si="77"/>
        <v>20027663.198046569</v>
      </c>
      <c r="K332" s="65">
        <f>J332-J313</f>
        <v>15203205.140749998</v>
      </c>
    </row>
    <row r="333" spans="1:11" s="932" customFormat="1" x14ac:dyDescent="0.2">
      <c r="A333" s="811">
        <f t="shared" si="75"/>
        <v>256</v>
      </c>
      <c r="B333" s="895" t="s">
        <v>215</v>
      </c>
      <c r="C333" s="893">
        <f t="shared" si="79"/>
        <v>2014</v>
      </c>
      <c r="D333" s="111">
        <v>756473.7</v>
      </c>
      <c r="E333" s="65">
        <f>D333*'16-PlantAdditions'!$E$94</f>
        <v>56735.527499999997</v>
      </c>
      <c r="F333" s="65">
        <f t="shared" si="76"/>
        <v>813209.22749999992</v>
      </c>
      <c r="G333" s="111">
        <v>0</v>
      </c>
      <c r="H333" s="111">
        <v>0</v>
      </c>
      <c r="I333" s="65">
        <f>(G333-H333)*'16-PlantAdditions'!$E$94</f>
        <v>0</v>
      </c>
      <c r="J333" s="65">
        <f t="shared" si="77"/>
        <v>20840872.425546568</v>
      </c>
      <c r="K333" s="65">
        <f>J333-J313</f>
        <v>16016414.368249997</v>
      </c>
    </row>
    <row r="334" spans="1:11" s="932" customFormat="1" x14ac:dyDescent="0.2">
      <c r="A334" s="811">
        <f t="shared" si="75"/>
        <v>257</v>
      </c>
      <c r="B334" s="895" t="s">
        <v>216</v>
      </c>
      <c r="C334" s="893">
        <f t="shared" si="79"/>
        <v>2014</v>
      </c>
      <c r="D334" s="111">
        <v>766473.7</v>
      </c>
      <c r="E334" s="65">
        <f>D334*'16-PlantAdditions'!$E$94</f>
        <v>57485.527499999997</v>
      </c>
      <c r="F334" s="65">
        <f t="shared" si="76"/>
        <v>823959.22749999992</v>
      </c>
      <c r="G334" s="111">
        <v>0</v>
      </c>
      <c r="H334" s="111">
        <v>0</v>
      </c>
      <c r="I334" s="65">
        <f>(G334-H334)*'16-PlantAdditions'!$E$94</f>
        <v>0</v>
      </c>
      <c r="J334" s="65">
        <f t="shared" si="77"/>
        <v>21664831.653046567</v>
      </c>
      <c r="K334" s="116">
        <f>J334-J313</f>
        <v>16840373.595749997</v>
      </c>
    </row>
    <row r="335" spans="1:11" s="932" customFormat="1" x14ac:dyDescent="0.2">
      <c r="A335" s="811">
        <f>A334+1</f>
        <v>258</v>
      </c>
      <c r="B335"/>
      <c r="C335" s="931" t="s">
        <v>2084</v>
      </c>
      <c r="D335"/>
      <c r="E335"/>
      <c r="F335"/>
      <c r="G335"/>
      <c r="H335"/>
      <c r="I335"/>
      <c r="J335"/>
      <c r="K335" s="76">
        <f>AVERAGE(K322:K334)</f>
        <v>11519110.124098074</v>
      </c>
    </row>
    <row r="336" spans="1:11" s="932" customFormat="1" x14ac:dyDescent="0.2">
      <c r="A336" s="811"/>
      <c r="B336"/>
      <c r="C336" s="931"/>
      <c r="D336"/>
      <c r="E336"/>
      <c r="F336"/>
      <c r="G336"/>
      <c r="H336"/>
      <c r="I336"/>
      <c r="J336"/>
      <c r="K336" s="76"/>
    </row>
    <row r="337" spans="1:11" s="932" customFormat="1" x14ac:dyDescent="0.2">
      <c r="B337" s="933" t="s">
        <v>2628</v>
      </c>
      <c r="D337" s="939" t="s">
        <v>2629</v>
      </c>
      <c r="E337" s="939"/>
      <c r="F337" s="940"/>
    </row>
    <row r="338" spans="1:11" s="932" customFormat="1" x14ac:dyDescent="0.2">
      <c r="A338" s="927"/>
      <c r="B338" s="927"/>
      <c r="C338" s="927"/>
      <c r="D338" s="927" t="s">
        <v>403</v>
      </c>
      <c r="E338" s="927" t="s">
        <v>387</v>
      </c>
      <c r="F338" s="927" t="s">
        <v>388</v>
      </c>
      <c r="G338" s="927" t="s">
        <v>389</v>
      </c>
      <c r="H338" s="927" t="s">
        <v>390</v>
      </c>
      <c r="I338" s="927" t="s">
        <v>391</v>
      </c>
      <c r="J338" s="927" t="s">
        <v>392</v>
      </c>
      <c r="K338" s="927" t="s">
        <v>606</v>
      </c>
    </row>
    <row r="339" spans="1:11" s="932" customFormat="1" ht="25.9" customHeight="1" x14ac:dyDescent="0.2">
      <c r="D339" s="934"/>
      <c r="E339" s="935" t="s">
        <v>2649</v>
      </c>
      <c r="F339" s="936" t="s">
        <v>2609</v>
      </c>
      <c r="G339" s="642"/>
      <c r="H339" s="934"/>
      <c r="I339" s="935" t="s">
        <v>2650</v>
      </c>
      <c r="J339" s="935" t="s">
        <v>2610</v>
      </c>
      <c r="K339" s="935" t="s">
        <v>2611</v>
      </c>
    </row>
    <row r="340" spans="1:11" s="932" customFormat="1" x14ac:dyDescent="0.2">
      <c r="D340" s="934"/>
      <c r="E340" s="935"/>
      <c r="F340" s="936"/>
      <c r="G340" s="4" t="str">
        <f>G51</f>
        <v>Unloaded</v>
      </c>
      <c r="H340" s="934"/>
      <c r="I340" s="935"/>
      <c r="J340" s="935"/>
      <c r="K340" s="935"/>
    </row>
    <row r="341" spans="1:11" s="932" customFormat="1" x14ac:dyDescent="0.2">
      <c r="A341" s="929"/>
      <c r="B341" s="929"/>
      <c r="C341" s="929"/>
      <c r="D341" s="929" t="str">
        <f>D$52</f>
        <v>Forecast</v>
      </c>
      <c r="E341" s="929" t="str">
        <f t="shared" ref="E341:J341" si="80">E$52</f>
        <v>Corporate</v>
      </c>
      <c r="F341" s="929" t="str">
        <f t="shared" si="80"/>
        <v xml:space="preserve">Total </v>
      </c>
      <c r="G341" s="4" t="str">
        <f t="shared" ref="G341:G342" si="81">G52</f>
        <v>Total</v>
      </c>
      <c r="H341" s="929" t="str">
        <f t="shared" si="80"/>
        <v>Prior Period</v>
      </c>
      <c r="I341" s="929" t="str">
        <f t="shared" si="80"/>
        <v>Over Heads</v>
      </c>
      <c r="J341" s="929" t="str">
        <f t="shared" si="80"/>
        <v>Forecast</v>
      </c>
      <c r="K341" s="929" t="str">
        <f>K$52</f>
        <v>Forecast Period</v>
      </c>
    </row>
    <row r="342" spans="1:11" s="932" customFormat="1" x14ac:dyDescent="0.2">
      <c r="A342" s="53" t="s">
        <v>369</v>
      </c>
      <c r="B342" s="891" t="s">
        <v>220</v>
      </c>
      <c r="C342" s="891" t="s">
        <v>221</v>
      </c>
      <c r="D342" s="927" t="str">
        <f>D$53</f>
        <v>Expenditures</v>
      </c>
      <c r="E342" s="927" t="str">
        <f t="shared" ref="E342:J342" si="82">E$53</f>
        <v>Overheads</v>
      </c>
      <c r="F342" s="927" t="str">
        <f t="shared" si="82"/>
        <v>CWIP Exp</v>
      </c>
      <c r="G342" s="86" t="str">
        <f t="shared" si="81"/>
        <v>Plant Adds</v>
      </c>
      <c r="H342" s="927" t="str">
        <f t="shared" si="82"/>
        <v>CWIP Closed</v>
      </c>
      <c r="I342" s="927" t="str">
        <f t="shared" si="82"/>
        <v>Closed to PIS</v>
      </c>
      <c r="J342" s="927" t="str">
        <f t="shared" si="82"/>
        <v>Period CWIP</v>
      </c>
      <c r="K342" s="927" t="str">
        <f>K$53</f>
        <v>Incremental CWIP</v>
      </c>
    </row>
    <row r="343" spans="1:11" s="932" customFormat="1" x14ac:dyDescent="0.2">
      <c r="A343" s="811">
        <f>A335+1</f>
        <v>259</v>
      </c>
      <c r="B343" s="892" t="s">
        <v>208</v>
      </c>
      <c r="C343" s="893">
        <v>2012</v>
      </c>
      <c r="D343" s="936" t="s">
        <v>86</v>
      </c>
      <c r="E343" s="936" t="s">
        <v>86</v>
      </c>
      <c r="F343" s="936" t="s">
        <v>86</v>
      </c>
      <c r="G343" s="936" t="s">
        <v>86</v>
      </c>
      <c r="H343" s="936" t="s">
        <v>86</v>
      </c>
      <c r="I343" s="936" t="s">
        <v>86</v>
      </c>
      <c r="J343" s="65">
        <v>0</v>
      </c>
      <c r="K343" s="936" t="s">
        <v>86</v>
      </c>
    </row>
    <row r="344" spans="1:11" s="932" customFormat="1" x14ac:dyDescent="0.2">
      <c r="A344" s="811">
        <f>A343+1</f>
        <v>260</v>
      </c>
      <c r="B344" s="892" t="s">
        <v>209</v>
      </c>
      <c r="C344" s="893">
        <f>C343+1</f>
        <v>2013</v>
      </c>
      <c r="D344" s="111"/>
      <c r="E344" s="65">
        <f>D344*'16-PlantAdditions'!$E$94</f>
        <v>0</v>
      </c>
      <c r="F344" s="65">
        <f>E344+D344</f>
        <v>0</v>
      </c>
      <c r="G344" s="111"/>
      <c r="H344" s="111"/>
      <c r="I344" s="65">
        <f>(G344-H344)*'16-PlantAdditions'!$E$94</f>
        <v>0</v>
      </c>
      <c r="J344" s="65">
        <f>J343+F344-G344-I344</f>
        <v>0</v>
      </c>
      <c r="K344" s="65">
        <f>J344-J343</f>
        <v>0</v>
      </c>
    </row>
    <row r="345" spans="1:11" s="932" customFormat="1" x14ac:dyDescent="0.2">
      <c r="A345" s="811">
        <f t="shared" ref="A345:A364" si="83">A344+1</f>
        <v>261</v>
      </c>
      <c r="B345" s="895" t="s">
        <v>210</v>
      </c>
      <c r="C345" s="893">
        <f>C344</f>
        <v>2013</v>
      </c>
      <c r="D345" s="111"/>
      <c r="E345" s="65">
        <f>D345*'16-PlantAdditions'!$E$94</f>
        <v>0</v>
      </c>
      <c r="F345" s="65">
        <f t="shared" ref="F345:F364" si="84">E345+D345</f>
        <v>0</v>
      </c>
      <c r="G345" s="111"/>
      <c r="H345" s="111"/>
      <c r="I345" s="65">
        <f>(G345-H345)*'16-PlantAdditions'!$E$94</f>
        <v>0</v>
      </c>
      <c r="J345" s="65">
        <f t="shared" ref="J345:J364" si="85">J344+F345-G345-I345</f>
        <v>0</v>
      </c>
      <c r="K345" s="65">
        <f>J345-J$171</f>
        <v>73287.943056206728</v>
      </c>
    </row>
    <row r="346" spans="1:11" s="932" customFormat="1" x14ac:dyDescent="0.2">
      <c r="A346" s="811">
        <f t="shared" si="83"/>
        <v>262</v>
      </c>
      <c r="B346" s="895" t="s">
        <v>223</v>
      </c>
      <c r="C346" s="893">
        <f t="shared" ref="C346:C355" si="86">C345</f>
        <v>2013</v>
      </c>
      <c r="D346" s="111"/>
      <c r="E346" s="65">
        <f>D346*'16-PlantAdditions'!$E$94</f>
        <v>0</v>
      </c>
      <c r="F346" s="65">
        <f t="shared" si="84"/>
        <v>0</v>
      </c>
      <c r="G346" s="111"/>
      <c r="H346" s="111"/>
      <c r="I346" s="65">
        <f>(G346-H346)*'16-PlantAdditions'!$E$94</f>
        <v>0</v>
      </c>
      <c r="J346" s="65">
        <f t="shared" si="85"/>
        <v>0</v>
      </c>
      <c r="K346" s="65">
        <f>J346-J343</f>
        <v>0</v>
      </c>
    </row>
    <row r="347" spans="1:11" s="932" customFormat="1" x14ac:dyDescent="0.2">
      <c r="A347" s="811">
        <f t="shared" si="83"/>
        <v>263</v>
      </c>
      <c r="B347" s="892" t="s">
        <v>211</v>
      </c>
      <c r="C347" s="893">
        <f t="shared" si="86"/>
        <v>2013</v>
      </c>
      <c r="D347" s="111"/>
      <c r="E347" s="65">
        <f>D347*'16-PlantAdditions'!$E$94</f>
        <v>0</v>
      </c>
      <c r="F347" s="65">
        <f t="shared" si="84"/>
        <v>0</v>
      </c>
      <c r="G347" s="111"/>
      <c r="H347" s="111"/>
      <c r="I347" s="65">
        <f>(G347-H347)*'16-PlantAdditions'!$E$94</f>
        <v>0</v>
      </c>
      <c r="J347" s="65">
        <f t="shared" si="85"/>
        <v>0</v>
      </c>
      <c r="K347" s="65">
        <f>J347-J343</f>
        <v>0</v>
      </c>
    </row>
    <row r="348" spans="1:11" s="932" customFormat="1" x14ac:dyDescent="0.2">
      <c r="A348" s="811">
        <f t="shared" si="83"/>
        <v>264</v>
      </c>
      <c r="B348" s="895" t="s">
        <v>212</v>
      </c>
      <c r="C348" s="893">
        <f t="shared" si="86"/>
        <v>2013</v>
      </c>
      <c r="D348" s="111"/>
      <c r="E348" s="65">
        <f>D348*'16-PlantAdditions'!$E$94</f>
        <v>0</v>
      </c>
      <c r="F348" s="65">
        <f t="shared" si="84"/>
        <v>0</v>
      </c>
      <c r="G348" s="111"/>
      <c r="H348" s="111"/>
      <c r="I348" s="65">
        <f>(G348-H348)*'16-PlantAdditions'!$E$94</f>
        <v>0</v>
      </c>
      <c r="J348" s="65">
        <f t="shared" si="85"/>
        <v>0</v>
      </c>
      <c r="K348" s="65">
        <f>J348-J343</f>
        <v>0</v>
      </c>
    </row>
    <row r="349" spans="1:11" s="932" customFormat="1" x14ac:dyDescent="0.2">
      <c r="A349" s="811">
        <f t="shared" si="83"/>
        <v>265</v>
      </c>
      <c r="B349" s="895" t="s">
        <v>1877</v>
      </c>
      <c r="C349" s="893">
        <f t="shared" si="86"/>
        <v>2013</v>
      </c>
      <c r="D349" s="111"/>
      <c r="E349" s="65">
        <f>D349*'16-PlantAdditions'!$E$94</f>
        <v>0</v>
      </c>
      <c r="F349" s="65">
        <f t="shared" si="84"/>
        <v>0</v>
      </c>
      <c r="G349" s="111"/>
      <c r="H349" s="111"/>
      <c r="I349" s="65">
        <f>(G349-H349)*'16-PlantAdditions'!$E$94</f>
        <v>0</v>
      </c>
      <c r="J349" s="65">
        <f t="shared" si="85"/>
        <v>0</v>
      </c>
      <c r="K349" s="65">
        <f>J349-J343</f>
        <v>0</v>
      </c>
    </row>
    <row r="350" spans="1:11" s="932" customFormat="1" x14ac:dyDescent="0.2">
      <c r="A350" s="811">
        <f t="shared" si="83"/>
        <v>266</v>
      </c>
      <c r="B350" s="892" t="s">
        <v>214</v>
      </c>
      <c r="C350" s="893">
        <f t="shared" si="86"/>
        <v>2013</v>
      </c>
      <c r="D350" s="111"/>
      <c r="E350" s="65">
        <f>D350*'16-PlantAdditions'!$E$94</f>
        <v>0</v>
      </c>
      <c r="F350" s="65">
        <f t="shared" si="84"/>
        <v>0</v>
      </c>
      <c r="G350" s="111"/>
      <c r="H350" s="111"/>
      <c r="I350" s="65">
        <f>(G350-H350)*'16-PlantAdditions'!$E$94</f>
        <v>0</v>
      </c>
      <c r="J350" s="65">
        <f t="shared" si="85"/>
        <v>0</v>
      </c>
      <c r="K350" s="65">
        <f>J350-J343</f>
        <v>0</v>
      </c>
    </row>
    <row r="351" spans="1:11" s="932" customFormat="1" x14ac:dyDescent="0.2">
      <c r="A351" s="811">
        <f t="shared" si="83"/>
        <v>267</v>
      </c>
      <c r="B351" s="895" t="s">
        <v>215</v>
      </c>
      <c r="C351" s="893">
        <f t="shared" si="86"/>
        <v>2013</v>
      </c>
      <c r="D351" s="111"/>
      <c r="E351" s="65">
        <f>D351*'16-PlantAdditions'!$E$94</f>
        <v>0</v>
      </c>
      <c r="F351" s="65">
        <f t="shared" si="84"/>
        <v>0</v>
      </c>
      <c r="G351" s="111"/>
      <c r="H351" s="111"/>
      <c r="I351" s="65">
        <f>(G351-H351)*'16-PlantAdditions'!$E$94</f>
        <v>0</v>
      </c>
      <c r="J351" s="65">
        <f t="shared" si="85"/>
        <v>0</v>
      </c>
      <c r="K351" s="65">
        <f>J351-J343</f>
        <v>0</v>
      </c>
    </row>
    <row r="352" spans="1:11" s="932" customFormat="1" x14ac:dyDescent="0.2">
      <c r="A352" s="811">
        <f t="shared" si="83"/>
        <v>268</v>
      </c>
      <c r="B352" s="895" t="s">
        <v>216</v>
      </c>
      <c r="C352" s="893">
        <f t="shared" si="86"/>
        <v>2013</v>
      </c>
      <c r="D352" s="111"/>
      <c r="E352" s="65">
        <f>D352*'16-PlantAdditions'!$E$94</f>
        <v>0</v>
      </c>
      <c r="F352" s="65">
        <f t="shared" si="84"/>
        <v>0</v>
      </c>
      <c r="G352" s="111"/>
      <c r="H352" s="111"/>
      <c r="I352" s="65">
        <f>(G352-H352)*'16-PlantAdditions'!$E$94</f>
        <v>0</v>
      </c>
      <c r="J352" s="65">
        <f t="shared" si="85"/>
        <v>0</v>
      </c>
      <c r="K352" s="65">
        <f>J352-J343</f>
        <v>0</v>
      </c>
    </row>
    <row r="353" spans="1:11" s="932" customFormat="1" x14ac:dyDescent="0.2">
      <c r="A353" s="811">
        <f t="shared" si="83"/>
        <v>269</v>
      </c>
      <c r="B353" s="892" t="s">
        <v>219</v>
      </c>
      <c r="C353" s="893">
        <f t="shared" si="86"/>
        <v>2013</v>
      </c>
      <c r="D353" s="111"/>
      <c r="E353" s="65">
        <f>D353*'16-PlantAdditions'!$E$94</f>
        <v>0</v>
      </c>
      <c r="F353" s="65">
        <f t="shared" si="84"/>
        <v>0</v>
      </c>
      <c r="G353" s="111"/>
      <c r="H353" s="111"/>
      <c r="I353" s="65">
        <f>(G353-H353)*'16-PlantAdditions'!$E$94</f>
        <v>0</v>
      </c>
      <c r="J353" s="65">
        <f t="shared" si="85"/>
        <v>0</v>
      </c>
      <c r="K353" s="65">
        <f>J353-J343</f>
        <v>0</v>
      </c>
    </row>
    <row r="354" spans="1:11" s="932" customFormat="1" x14ac:dyDescent="0.2">
      <c r="A354" s="811">
        <f t="shared" si="83"/>
        <v>270</v>
      </c>
      <c r="B354" s="892" t="s">
        <v>218</v>
      </c>
      <c r="C354" s="893">
        <f t="shared" si="86"/>
        <v>2013</v>
      </c>
      <c r="D354" s="111"/>
      <c r="E354" s="65">
        <f>D354*'16-PlantAdditions'!$E$94</f>
        <v>0</v>
      </c>
      <c r="F354" s="65">
        <f t="shared" si="84"/>
        <v>0</v>
      </c>
      <c r="G354" s="111"/>
      <c r="H354" s="111"/>
      <c r="I354" s="65">
        <f>(G354-H354)*'16-PlantAdditions'!$E$94</f>
        <v>0</v>
      </c>
      <c r="J354" s="65">
        <f t="shared" si="85"/>
        <v>0</v>
      </c>
      <c r="K354" s="65">
        <f>J354-J343</f>
        <v>0</v>
      </c>
    </row>
    <row r="355" spans="1:11" s="932" customFormat="1" x14ac:dyDescent="0.2">
      <c r="A355" s="811">
        <f t="shared" si="83"/>
        <v>271</v>
      </c>
      <c r="B355" s="892" t="s">
        <v>208</v>
      </c>
      <c r="C355" s="893">
        <f t="shared" si="86"/>
        <v>2013</v>
      </c>
      <c r="D355" s="111"/>
      <c r="E355" s="65">
        <f>D355*'16-PlantAdditions'!$E$94</f>
        <v>0</v>
      </c>
      <c r="F355" s="65">
        <f t="shared" si="84"/>
        <v>0</v>
      </c>
      <c r="G355" s="111"/>
      <c r="H355" s="111"/>
      <c r="I355" s="65">
        <f>(G355-H355)*'16-PlantAdditions'!$E$94</f>
        <v>0</v>
      </c>
      <c r="J355" s="65">
        <f t="shared" si="85"/>
        <v>0</v>
      </c>
      <c r="K355" s="65">
        <f>J355-J343</f>
        <v>0</v>
      </c>
    </row>
    <row r="356" spans="1:11" s="932" customFormat="1" x14ac:dyDescent="0.2">
      <c r="A356" s="811">
        <f t="shared" si="83"/>
        <v>272</v>
      </c>
      <c r="B356" s="892" t="s">
        <v>209</v>
      </c>
      <c r="C356" s="893">
        <f>C355+1</f>
        <v>2014</v>
      </c>
      <c r="D356" s="111"/>
      <c r="E356" s="65">
        <f>D356*'16-PlantAdditions'!$E$94</f>
        <v>0</v>
      </c>
      <c r="F356" s="65">
        <f t="shared" si="84"/>
        <v>0</v>
      </c>
      <c r="G356" s="111"/>
      <c r="H356" s="111"/>
      <c r="I356" s="65">
        <f>(G356-H356)*'16-PlantAdditions'!$E$94</f>
        <v>0</v>
      </c>
      <c r="J356" s="65">
        <f t="shared" si="85"/>
        <v>0</v>
      </c>
      <c r="K356" s="65">
        <f>J356-J343</f>
        <v>0</v>
      </c>
    </row>
    <row r="357" spans="1:11" s="932" customFormat="1" x14ac:dyDescent="0.2">
      <c r="A357" s="811">
        <f t="shared" si="83"/>
        <v>273</v>
      </c>
      <c r="B357" s="895" t="s">
        <v>210</v>
      </c>
      <c r="C357" s="893">
        <f>C356</f>
        <v>2014</v>
      </c>
      <c r="D357" s="111"/>
      <c r="E357" s="65">
        <f>D357*'16-PlantAdditions'!$E$94</f>
        <v>0</v>
      </c>
      <c r="F357" s="65">
        <f t="shared" si="84"/>
        <v>0</v>
      </c>
      <c r="G357" s="111"/>
      <c r="H357" s="111"/>
      <c r="I357" s="65">
        <f>(G357-H357)*'16-PlantAdditions'!$E$94</f>
        <v>0</v>
      </c>
      <c r="J357" s="65">
        <f t="shared" si="85"/>
        <v>0</v>
      </c>
      <c r="K357" s="65">
        <f>J357-J343</f>
        <v>0</v>
      </c>
    </row>
    <row r="358" spans="1:11" s="932" customFormat="1" x14ac:dyDescent="0.2">
      <c r="A358" s="811">
        <f t="shared" si="83"/>
        <v>274</v>
      </c>
      <c r="B358" s="895" t="s">
        <v>223</v>
      </c>
      <c r="C358" s="893">
        <f t="shared" ref="C358:C364" si="87">C357</f>
        <v>2014</v>
      </c>
      <c r="D358" s="111"/>
      <c r="E358" s="65">
        <f>D358*'16-PlantAdditions'!$E$94</f>
        <v>0</v>
      </c>
      <c r="F358" s="65">
        <f t="shared" si="84"/>
        <v>0</v>
      </c>
      <c r="G358" s="111"/>
      <c r="H358" s="111"/>
      <c r="I358" s="65">
        <f>(G358-H358)*'16-PlantAdditions'!$E$94</f>
        <v>0</v>
      </c>
      <c r="J358" s="65">
        <f t="shared" si="85"/>
        <v>0</v>
      </c>
      <c r="K358" s="65">
        <f>J358-J343</f>
        <v>0</v>
      </c>
    </row>
    <row r="359" spans="1:11" s="932" customFormat="1" x14ac:dyDescent="0.2">
      <c r="A359" s="811">
        <f t="shared" si="83"/>
        <v>275</v>
      </c>
      <c r="B359" s="892" t="s">
        <v>211</v>
      </c>
      <c r="C359" s="893">
        <f t="shared" si="87"/>
        <v>2014</v>
      </c>
      <c r="D359" s="111"/>
      <c r="E359" s="65">
        <f>D359*'16-PlantAdditions'!$E$94</f>
        <v>0</v>
      </c>
      <c r="F359" s="65">
        <f t="shared" si="84"/>
        <v>0</v>
      </c>
      <c r="G359" s="111"/>
      <c r="H359" s="111"/>
      <c r="I359" s="65">
        <f>(G359-H359)*'16-PlantAdditions'!$E$94</f>
        <v>0</v>
      </c>
      <c r="J359" s="65">
        <f t="shared" si="85"/>
        <v>0</v>
      </c>
      <c r="K359" s="65">
        <f>J359-J343</f>
        <v>0</v>
      </c>
    </row>
    <row r="360" spans="1:11" s="932" customFormat="1" x14ac:dyDescent="0.2">
      <c r="A360" s="811">
        <f t="shared" si="83"/>
        <v>276</v>
      </c>
      <c r="B360" s="895" t="s">
        <v>212</v>
      </c>
      <c r="C360" s="893">
        <f t="shared" si="87"/>
        <v>2014</v>
      </c>
      <c r="D360" s="111"/>
      <c r="E360" s="65">
        <f>D360*'16-PlantAdditions'!$E$94</f>
        <v>0</v>
      </c>
      <c r="F360" s="65">
        <f t="shared" si="84"/>
        <v>0</v>
      </c>
      <c r="G360" s="111"/>
      <c r="H360" s="111"/>
      <c r="I360" s="65">
        <f>(G360-H360)*'16-PlantAdditions'!$E$94</f>
        <v>0</v>
      </c>
      <c r="J360" s="65">
        <f t="shared" si="85"/>
        <v>0</v>
      </c>
      <c r="K360" s="65">
        <f>J360-J343</f>
        <v>0</v>
      </c>
    </row>
    <row r="361" spans="1:11" s="932" customFormat="1" x14ac:dyDescent="0.2">
      <c r="A361" s="811">
        <f t="shared" si="83"/>
        <v>277</v>
      </c>
      <c r="B361" s="895" t="s">
        <v>1877</v>
      </c>
      <c r="C361" s="893">
        <f t="shared" si="87"/>
        <v>2014</v>
      </c>
      <c r="D361" s="111"/>
      <c r="E361" s="65">
        <f>D361*'16-PlantAdditions'!$E$94</f>
        <v>0</v>
      </c>
      <c r="F361" s="65">
        <f t="shared" si="84"/>
        <v>0</v>
      </c>
      <c r="G361" s="111"/>
      <c r="H361" s="111"/>
      <c r="I361" s="65">
        <f>(G361-H361)*'16-PlantAdditions'!$E$94</f>
        <v>0</v>
      </c>
      <c r="J361" s="65">
        <f t="shared" si="85"/>
        <v>0</v>
      </c>
      <c r="K361" s="65">
        <f>J361-J343</f>
        <v>0</v>
      </c>
    </row>
    <row r="362" spans="1:11" s="932" customFormat="1" x14ac:dyDescent="0.2">
      <c r="A362" s="811">
        <f t="shared" si="83"/>
        <v>278</v>
      </c>
      <c r="B362" s="892" t="s">
        <v>214</v>
      </c>
      <c r="C362" s="893">
        <f t="shared" si="87"/>
        <v>2014</v>
      </c>
      <c r="D362" s="111"/>
      <c r="E362" s="65">
        <f>D362*'16-PlantAdditions'!$E$94</f>
        <v>0</v>
      </c>
      <c r="F362" s="65">
        <f t="shared" si="84"/>
        <v>0</v>
      </c>
      <c r="G362" s="111"/>
      <c r="H362" s="111"/>
      <c r="I362" s="65">
        <f>(G362-H362)*'16-PlantAdditions'!$E$94</f>
        <v>0</v>
      </c>
      <c r="J362" s="65">
        <f t="shared" si="85"/>
        <v>0</v>
      </c>
      <c r="K362" s="65">
        <f>J362-J343</f>
        <v>0</v>
      </c>
    </row>
    <row r="363" spans="1:11" s="932" customFormat="1" x14ac:dyDescent="0.2">
      <c r="A363" s="811">
        <f t="shared" si="83"/>
        <v>279</v>
      </c>
      <c r="B363" s="895" t="s">
        <v>215</v>
      </c>
      <c r="C363" s="893">
        <f t="shared" si="87"/>
        <v>2014</v>
      </c>
      <c r="D363" s="111"/>
      <c r="E363" s="65">
        <f>D363*'16-PlantAdditions'!$E$94</f>
        <v>0</v>
      </c>
      <c r="F363" s="65">
        <f t="shared" si="84"/>
        <v>0</v>
      </c>
      <c r="G363" s="111"/>
      <c r="H363" s="111"/>
      <c r="I363" s="65">
        <f>(G363-H363)*'16-PlantAdditions'!$E$94</f>
        <v>0</v>
      </c>
      <c r="J363" s="65">
        <f t="shared" si="85"/>
        <v>0</v>
      </c>
      <c r="K363" s="65">
        <f>J363-J343</f>
        <v>0</v>
      </c>
    </row>
    <row r="364" spans="1:11" s="932" customFormat="1" x14ac:dyDescent="0.2">
      <c r="A364" s="811">
        <f t="shared" si="83"/>
        <v>280</v>
      </c>
      <c r="B364" s="895" t="s">
        <v>216</v>
      </c>
      <c r="C364" s="893">
        <f t="shared" si="87"/>
        <v>2014</v>
      </c>
      <c r="D364" s="111"/>
      <c r="E364" s="65">
        <f>D364*'16-PlantAdditions'!$E$94</f>
        <v>0</v>
      </c>
      <c r="F364" s="65">
        <f t="shared" si="84"/>
        <v>0</v>
      </c>
      <c r="G364" s="111"/>
      <c r="H364" s="111"/>
      <c r="I364" s="65">
        <f>(G364-H364)*'16-PlantAdditions'!$E$94</f>
        <v>0</v>
      </c>
      <c r="J364" s="65">
        <f t="shared" si="85"/>
        <v>0</v>
      </c>
      <c r="K364" s="116">
        <f>J364-J343</f>
        <v>0</v>
      </c>
    </row>
    <row r="365" spans="1:11" s="932" customFormat="1" x14ac:dyDescent="0.2">
      <c r="A365" s="811">
        <f>A364+1</f>
        <v>281</v>
      </c>
      <c r="B365"/>
      <c r="C365" s="931" t="s">
        <v>2084</v>
      </c>
      <c r="H365" s="936"/>
      <c r="I365" s="936"/>
      <c r="K365" s="76">
        <f>AVERAGE(K352:K364)</f>
        <v>0</v>
      </c>
    </row>
    <row r="366" spans="1:11" s="932" customFormat="1" x14ac:dyDescent="0.2">
      <c r="A366" s="811"/>
      <c r="B366"/>
      <c r="C366" s="931"/>
      <c r="H366" s="936"/>
      <c r="I366" s="936"/>
      <c r="K366" s="76"/>
    </row>
    <row r="367" spans="1:11" s="932" customFormat="1" x14ac:dyDescent="0.2">
      <c r="A367" s="811"/>
      <c r="B367"/>
      <c r="C367" s="931"/>
      <c r="H367" s="936"/>
      <c r="I367" s="936"/>
      <c r="K367" s="76"/>
    </row>
    <row r="368" spans="1:11" s="932" customFormat="1" x14ac:dyDescent="0.2">
      <c r="A368" s="929"/>
      <c r="B368" s="900" t="s">
        <v>265</v>
      </c>
      <c r="C368"/>
      <c r="D368"/>
      <c r="E368"/>
      <c r="F368"/>
      <c r="G368"/>
      <c r="H368"/>
      <c r="I368"/>
    </row>
    <row r="369" spans="1:9" s="932" customFormat="1" x14ac:dyDescent="0.2">
      <c r="A369" s="929"/>
      <c r="B369" s="895" t="s">
        <v>2147</v>
      </c>
    </row>
    <row r="370" spans="1:9" s="932" customFormat="1" x14ac:dyDescent="0.2">
      <c r="A370" s="929"/>
      <c r="B370" s="895" t="s">
        <v>2877</v>
      </c>
      <c r="C370"/>
      <c r="D370"/>
      <c r="E370"/>
      <c r="F370"/>
      <c r="G370"/>
      <c r="H370"/>
      <c r="I370"/>
    </row>
    <row r="371" spans="1:9" s="932" customFormat="1" x14ac:dyDescent="0.2">
      <c r="A371" s="929"/>
      <c r="C371"/>
      <c r="D371"/>
      <c r="E371"/>
      <c r="F371"/>
      <c r="G371"/>
      <c r="H371"/>
      <c r="I371"/>
    </row>
    <row r="372" spans="1:9" s="932" customFormat="1" x14ac:dyDescent="0.2">
      <c r="A372" s="929"/>
      <c r="B372" s="1" t="s">
        <v>429</v>
      </c>
      <c r="C372"/>
      <c r="D372"/>
      <c r="E372"/>
      <c r="F372"/>
      <c r="G372"/>
      <c r="H372"/>
      <c r="I372"/>
    </row>
    <row r="373" spans="1:9" s="932" customFormat="1" x14ac:dyDescent="0.2">
      <c r="A373" s="929"/>
      <c r="B373" s="626" t="s">
        <v>1100</v>
      </c>
      <c r="C373"/>
      <c r="D373"/>
      <c r="E373"/>
      <c r="F373"/>
      <c r="G373"/>
      <c r="H373"/>
      <c r="I373"/>
    </row>
    <row r="374" spans="1:9" s="932" customFormat="1" x14ac:dyDescent="0.2">
      <c r="A374" s="929"/>
      <c r="B374" s="626" t="s">
        <v>2878</v>
      </c>
      <c r="C374"/>
      <c r="D374"/>
      <c r="E374"/>
      <c r="F374"/>
      <c r="G374"/>
      <c r="H374"/>
      <c r="I374"/>
    </row>
    <row r="375" spans="1:9" s="932" customFormat="1" x14ac:dyDescent="0.2">
      <c r="A375" s="929"/>
      <c r="B375" s="628" t="s">
        <v>2630</v>
      </c>
      <c r="C375" s="14"/>
      <c r="D375" s="14"/>
      <c r="E375" s="14"/>
      <c r="F375" s="14"/>
      <c r="G375" s="14"/>
      <c r="H375" s="14"/>
      <c r="I375" s="14"/>
    </row>
    <row r="376" spans="1:9" s="932" customFormat="1" x14ac:dyDescent="0.2">
      <c r="A376" s="929"/>
      <c r="B376" s="625"/>
      <c r="C376" s="14"/>
      <c r="D376" s="14"/>
      <c r="E376" s="14"/>
      <c r="F376" s="14"/>
      <c r="G376" s="14"/>
      <c r="H376" s="14"/>
      <c r="I376" s="14"/>
    </row>
    <row r="377" spans="1:9" s="932" customFormat="1" x14ac:dyDescent="0.2">
      <c r="A377" s="929"/>
      <c r="B377" s="895"/>
      <c r="C377" s="941"/>
      <c r="H377" s="936"/>
      <c r="I377" s="936"/>
    </row>
    <row r="378" spans="1:9" s="932" customFormat="1" x14ac:dyDescent="0.2">
      <c r="A378" s="929"/>
      <c r="B378" s="895"/>
      <c r="C378" s="941"/>
      <c r="H378" s="936"/>
      <c r="I378" s="936"/>
    </row>
    <row r="379" spans="1:9" s="932" customFormat="1" x14ac:dyDescent="0.2">
      <c r="A379" s="929"/>
      <c r="B379" s="895"/>
      <c r="C379" s="941"/>
      <c r="H379" s="936"/>
      <c r="I379" s="936"/>
    </row>
    <row r="380" spans="1:9" s="932" customFormat="1" x14ac:dyDescent="0.2">
      <c r="A380" s="929"/>
      <c r="B380" s="895"/>
      <c r="C380" s="941"/>
      <c r="H380" s="936"/>
      <c r="I380" s="936"/>
    </row>
    <row r="381" spans="1:9" s="932" customFormat="1" x14ac:dyDescent="0.2">
      <c r="A381" s="929"/>
      <c r="B381" s="895"/>
      <c r="C381" s="941"/>
      <c r="D381" s="942"/>
      <c r="E381" s="942"/>
      <c r="F381" s="942"/>
      <c r="G381" s="942"/>
      <c r="H381" s="936"/>
      <c r="I381" s="936"/>
    </row>
    <row r="382" spans="1:9" s="932" customFormat="1" x14ac:dyDescent="0.2">
      <c r="A382" s="929"/>
      <c r="C382" s="943"/>
      <c r="D382" s="944"/>
      <c r="E382" s="944"/>
      <c r="F382" s="944"/>
      <c r="G382" s="944"/>
      <c r="H382" s="936"/>
      <c r="I382" s="936"/>
    </row>
    <row r="383" spans="1:9" s="932" customFormat="1" x14ac:dyDescent="0.2"/>
    <row r="384" spans="1:9" s="932" customFormat="1" x14ac:dyDescent="0.2">
      <c r="B384" s="900"/>
    </row>
    <row r="385" spans="2:2" s="932" customFormat="1" x14ac:dyDescent="0.2">
      <c r="B385" s="895"/>
    </row>
    <row r="386" spans="2:2" s="932" customFormat="1" x14ac:dyDescent="0.2"/>
    <row r="387" spans="2:2" s="932" customFormat="1" x14ac:dyDescent="0.2">
      <c r="B387" s="945"/>
    </row>
    <row r="388" spans="2:2" s="932" customFormat="1" x14ac:dyDescent="0.2">
      <c r="B388" s="946"/>
    </row>
    <row r="389" spans="2:2" s="932" customFormat="1" x14ac:dyDescent="0.2">
      <c r="B389" s="946"/>
    </row>
    <row r="390" spans="2:2" s="932" customFormat="1" x14ac:dyDescent="0.2">
      <c r="B390" s="946"/>
    </row>
    <row r="391" spans="2:2" s="932" customFormat="1" x14ac:dyDescent="0.2">
      <c r="B391" s="947"/>
    </row>
  </sheetData>
  <mergeCells count="9">
    <mergeCell ref="D251:E251"/>
    <mergeCell ref="D281:E281"/>
    <mergeCell ref="D309:E309"/>
    <mergeCell ref="D79:E79"/>
    <mergeCell ref="D109:E109"/>
    <mergeCell ref="D137:E137"/>
    <mergeCell ref="D165:E165"/>
    <mergeCell ref="D195:E195"/>
    <mergeCell ref="D223:E223"/>
  </mergeCells>
  <pageMargins left="0.7" right="0.7" top="0.75" bottom="0.75" header="0.3" footer="0.3"/>
  <pageSetup scale="65" orientation="landscape" cellComments="asDisplayed" r:id="rId1"/>
  <headerFooter>
    <oddHeader>&amp;CSchedule 10
CWIP
&amp;"Arial,Bold"Exhibit G-2</oddHeader>
    <oddFooter>&amp;R&amp;A</oddFooter>
  </headerFooter>
  <rowBreaks count="6" manualBreakCount="6">
    <brk id="47" max="16383" man="1"/>
    <brk id="108" max="16383" man="1"/>
    <brk id="164" max="16383" man="1"/>
    <brk id="222" max="16383" man="1"/>
    <brk id="280" max="16383" man="1"/>
    <brk id="33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zoomScale="90" zoomScaleNormal="90" workbookViewId="0"/>
  </sheetViews>
  <sheetFormatPr defaultRowHeight="12.75" x14ac:dyDescent="0.2"/>
  <cols>
    <col min="1" max="1" width="4.7109375" customWidth="1"/>
    <col min="2" max="2" width="22.7109375" customWidth="1"/>
    <col min="3" max="3" width="8.7109375" customWidth="1"/>
    <col min="4" max="5" width="25.7109375" customWidth="1"/>
    <col min="6" max="6" width="22.7109375" customWidth="1"/>
  </cols>
  <sheetData>
    <row r="1" spans="1:6" x14ac:dyDescent="0.2">
      <c r="A1" s="38" t="s">
        <v>1460</v>
      </c>
      <c r="B1" s="125"/>
      <c r="C1" s="39"/>
      <c r="D1" s="39"/>
      <c r="E1" s="39"/>
      <c r="F1" s="39"/>
    </row>
    <row r="2" spans="1:6" x14ac:dyDescent="0.2">
      <c r="A2" s="127"/>
      <c r="B2" s="14"/>
      <c r="C2" s="128"/>
      <c r="D2" s="128"/>
      <c r="F2" s="44" t="s">
        <v>17</v>
      </c>
    </row>
    <row r="3" spans="1:6" x14ac:dyDescent="0.2">
      <c r="A3" s="127"/>
      <c r="B3" s="15" t="s">
        <v>559</v>
      </c>
      <c r="C3" s="128"/>
      <c r="D3" s="128"/>
      <c r="E3" s="128"/>
    </row>
    <row r="4" spans="1:6" x14ac:dyDescent="0.2">
      <c r="A4" s="127"/>
      <c r="B4" s="15" t="s">
        <v>438</v>
      </c>
      <c r="C4" s="128"/>
      <c r="D4" s="128"/>
      <c r="E4" s="128"/>
    </row>
    <row r="5" spans="1:6" x14ac:dyDescent="0.2">
      <c r="A5" s="127"/>
      <c r="B5" s="15" t="s">
        <v>443</v>
      </c>
      <c r="C5" s="128"/>
      <c r="D5" s="128"/>
      <c r="E5" s="128"/>
    </row>
    <row r="6" spans="1:6" x14ac:dyDescent="0.2">
      <c r="A6" s="127"/>
    </row>
    <row r="7" spans="1:6" x14ac:dyDescent="0.2">
      <c r="A7" s="53" t="s">
        <v>369</v>
      </c>
      <c r="B7" s="14"/>
      <c r="C7" s="128"/>
      <c r="D7" s="3" t="s">
        <v>441</v>
      </c>
      <c r="E7" s="126" t="s">
        <v>440</v>
      </c>
      <c r="F7" s="129" t="s">
        <v>207</v>
      </c>
    </row>
    <row r="8" spans="1:6" x14ac:dyDescent="0.2">
      <c r="A8" s="2">
        <v>1</v>
      </c>
      <c r="B8" s="15" t="s">
        <v>452</v>
      </c>
      <c r="D8" s="6">
        <v>480549</v>
      </c>
      <c r="E8" s="6">
        <v>16261747</v>
      </c>
      <c r="F8" s="13" t="s">
        <v>1476</v>
      </c>
    </row>
    <row r="9" spans="1:6" x14ac:dyDescent="0.2">
      <c r="A9" s="2"/>
      <c r="B9" s="15"/>
      <c r="D9" s="14"/>
      <c r="E9" s="12"/>
    </row>
    <row r="10" spans="1:6" x14ac:dyDescent="0.2">
      <c r="A10" s="2"/>
      <c r="B10" s="15" t="s">
        <v>446</v>
      </c>
      <c r="D10" s="14"/>
      <c r="E10" s="12"/>
    </row>
    <row r="11" spans="1:6" x14ac:dyDescent="0.2">
      <c r="A11" s="2"/>
      <c r="B11" s="15"/>
      <c r="D11" s="14"/>
      <c r="E11" s="12"/>
    </row>
    <row r="12" spans="1:6" x14ac:dyDescent="0.2">
      <c r="A12" s="2"/>
      <c r="B12" s="86" t="s">
        <v>403</v>
      </c>
      <c r="C12" s="86" t="s">
        <v>387</v>
      </c>
      <c r="D12" s="86" t="s">
        <v>388</v>
      </c>
      <c r="E12" s="86" t="s">
        <v>389</v>
      </c>
      <c r="F12" s="86" t="s">
        <v>390</v>
      </c>
    </row>
    <row r="13" spans="1:6" x14ac:dyDescent="0.2">
      <c r="A13" s="2"/>
      <c r="B13" s="15"/>
      <c r="C13" s="2" t="s">
        <v>449</v>
      </c>
      <c r="D13" s="14"/>
      <c r="E13" s="12"/>
    </row>
    <row r="14" spans="1:6" x14ac:dyDescent="0.2">
      <c r="A14" s="2"/>
      <c r="B14" s="53" t="s">
        <v>112</v>
      </c>
      <c r="C14" s="3" t="s">
        <v>448</v>
      </c>
      <c r="D14" s="3" t="s">
        <v>441</v>
      </c>
      <c r="E14" s="126" t="s">
        <v>440</v>
      </c>
      <c r="F14" s="126" t="s">
        <v>207</v>
      </c>
    </row>
    <row r="15" spans="1:6" x14ac:dyDescent="0.2">
      <c r="A15" s="2" t="s">
        <v>578</v>
      </c>
      <c r="B15" s="644" t="s">
        <v>3160</v>
      </c>
      <c r="C15" s="99" t="s">
        <v>3161</v>
      </c>
      <c r="D15" s="6">
        <v>0</v>
      </c>
      <c r="E15" s="6">
        <v>9942155</v>
      </c>
      <c r="F15" s="420" t="s">
        <v>33</v>
      </c>
    </row>
    <row r="16" spans="1:6" x14ac:dyDescent="0.2">
      <c r="A16" s="2" t="s">
        <v>579</v>
      </c>
      <c r="B16" s="644"/>
      <c r="C16" s="99"/>
      <c r="D16" s="6">
        <v>0</v>
      </c>
      <c r="E16" s="6">
        <v>0</v>
      </c>
      <c r="F16" s="99"/>
    </row>
    <row r="17" spans="1:6" x14ac:dyDescent="0.2">
      <c r="A17" s="2" t="s">
        <v>580</v>
      </c>
      <c r="B17" s="644"/>
      <c r="C17" s="99"/>
      <c r="D17" s="6">
        <v>0</v>
      </c>
      <c r="E17" s="6">
        <v>0</v>
      </c>
      <c r="F17" s="99"/>
    </row>
    <row r="18" spans="1:6" x14ac:dyDescent="0.2">
      <c r="A18" s="2" t="s">
        <v>581</v>
      </c>
      <c r="B18" s="644"/>
      <c r="C18" s="99"/>
      <c r="D18" s="6">
        <v>0</v>
      </c>
      <c r="E18" s="6">
        <v>0</v>
      </c>
      <c r="F18" s="99"/>
    </row>
    <row r="19" spans="1:6" x14ac:dyDescent="0.2">
      <c r="A19" s="2" t="s">
        <v>582</v>
      </c>
      <c r="B19" s="644"/>
      <c r="C19" s="99"/>
      <c r="D19" s="6">
        <v>0</v>
      </c>
      <c r="E19" s="6">
        <v>0</v>
      </c>
      <c r="F19" s="99"/>
    </row>
    <row r="20" spans="1:6" x14ac:dyDescent="0.2">
      <c r="A20" s="2" t="s">
        <v>583</v>
      </c>
      <c r="B20" s="644"/>
      <c r="C20" s="99"/>
      <c r="D20" s="6">
        <v>0</v>
      </c>
      <c r="E20" s="6">
        <v>0</v>
      </c>
      <c r="F20" s="99"/>
    </row>
    <row r="21" spans="1:6" x14ac:dyDescent="0.2">
      <c r="A21" s="2" t="s">
        <v>584</v>
      </c>
      <c r="B21" s="644"/>
      <c r="C21" s="99"/>
      <c r="D21" s="6">
        <v>0</v>
      </c>
      <c r="E21" s="6">
        <v>0</v>
      </c>
      <c r="F21" s="99"/>
    </row>
    <row r="22" spans="1:6" x14ac:dyDescent="0.2">
      <c r="A22" s="2" t="s">
        <v>585</v>
      </c>
      <c r="B22" s="644"/>
      <c r="C22" s="99"/>
      <c r="D22" s="6">
        <v>0</v>
      </c>
      <c r="E22" s="6">
        <v>0</v>
      </c>
      <c r="F22" s="99"/>
    </row>
    <row r="23" spans="1:6" x14ac:dyDescent="0.2">
      <c r="A23" s="194"/>
      <c r="B23" s="463" t="s">
        <v>574</v>
      </c>
      <c r="C23" s="99"/>
      <c r="D23" s="464"/>
      <c r="E23" s="464"/>
      <c r="F23" s="99"/>
    </row>
    <row r="24" spans="1:6" x14ac:dyDescent="0.2">
      <c r="A24" s="2">
        <v>3</v>
      </c>
      <c r="C24" s="12" t="s">
        <v>4</v>
      </c>
      <c r="D24" s="7">
        <f>SUM(D15:D22)</f>
        <v>0</v>
      </c>
      <c r="E24" s="7">
        <f>SUM(E15:E22)</f>
        <v>9942155</v>
      </c>
      <c r="F24" s="13" t="s">
        <v>587</v>
      </c>
    </row>
    <row r="25" spans="1:6" x14ac:dyDescent="0.2">
      <c r="C25" s="12"/>
    </row>
    <row r="26" spans="1:6" x14ac:dyDescent="0.2">
      <c r="C26" s="12"/>
      <c r="D26" s="3" t="s">
        <v>441</v>
      </c>
      <c r="E26" s="126" t="s">
        <v>440</v>
      </c>
      <c r="F26" s="129" t="s">
        <v>207</v>
      </c>
    </row>
    <row r="27" spans="1:6" x14ac:dyDescent="0.2">
      <c r="A27" s="2">
        <v>4</v>
      </c>
      <c r="B27" s="12" t="s">
        <v>442</v>
      </c>
      <c r="C27" s="12"/>
      <c r="D27" s="6">
        <v>0</v>
      </c>
      <c r="E27" s="6">
        <v>0</v>
      </c>
      <c r="F27" s="47" t="s">
        <v>439</v>
      </c>
    </row>
    <row r="28" spans="1:6" x14ac:dyDescent="0.2">
      <c r="A28" s="2">
        <v>5</v>
      </c>
      <c r="B28" s="12" t="s">
        <v>342</v>
      </c>
      <c r="D28" s="130">
        <f>'27-Allocators'!G15</f>
        <v>3.9273273898169321E-2</v>
      </c>
      <c r="E28" s="130">
        <f>'27-Allocators'!G15</f>
        <v>3.9273273898169321E-2</v>
      </c>
      <c r="F28" s="47" t="str">
        <f>"27-Allocators, L "&amp;'27-Allocators'!A15&amp;""</f>
        <v>27-Allocators, L 9</v>
      </c>
    </row>
    <row r="29" spans="1:6" x14ac:dyDescent="0.2">
      <c r="A29" s="2">
        <v>6</v>
      </c>
      <c r="B29" s="12" t="s">
        <v>450</v>
      </c>
      <c r="C29" s="12"/>
      <c r="D29" s="65">
        <f>D27*D28</f>
        <v>0</v>
      </c>
      <c r="E29" s="65">
        <f>E27*E28</f>
        <v>0</v>
      </c>
      <c r="F29" s="13" t="str">
        <f>"L "&amp;A27&amp;" * L "&amp;A28&amp;""</f>
        <v>L 4 * L 5</v>
      </c>
    </row>
    <row r="30" spans="1:6" x14ac:dyDescent="0.2">
      <c r="C30" s="12"/>
    </row>
    <row r="31" spans="1:6" x14ac:dyDescent="0.2">
      <c r="B31" s="12" t="s">
        <v>447</v>
      </c>
    </row>
    <row r="32" spans="1:6" x14ac:dyDescent="0.2">
      <c r="C32" s="32"/>
      <c r="D32" s="33"/>
      <c r="E32" s="35"/>
    </row>
    <row r="33" spans="1:6" x14ac:dyDescent="0.2">
      <c r="D33" s="3" t="s">
        <v>441</v>
      </c>
      <c r="E33" s="126" t="s">
        <v>440</v>
      </c>
      <c r="F33" s="129" t="s">
        <v>207</v>
      </c>
    </row>
    <row r="34" spans="1:6" x14ac:dyDescent="0.2">
      <c r="A34" s="2">
        <v>7</v>
      </c>
      <c r="C34" s="12"/>
      <c r="D34" s="6">
        <f>D8-D15</f>
        <v>480549</v>
      </c>
      <c r="E34" s="6">
        <f>E8-E15</f>
        <v>6319592</v>
      </c>
      <c r="F34" s="13" t="s">
        <v>404</v>
      </c>
    </row>
    <row r="37" spans="1:6" x14ac:dyDescent="0.2">
      <c r="B37" s="12" t="s">
        <v>451</v>
      </c>
      <c r="D37" s="3" t="s">
        <v>441</v>
      </c>
      <c r="E37" s="126" t="s">
        <v>440</v>
      </c>
      <c r="F37" s="129" t="s">
        <v>207</v>
      </c>
    </row>
    <row r="38" spans="1:6" x14ac:dyDescent="0.2">
      <c r="A38" s="2">
        <v>8</v>
      </c>
      <c r="D38" s="105">
        <f>D24+D29</f>
        <v>0</v>
      </c>
      <c r="E38" s="105">
        <f>E24+E29</f>
        <v>9942155</v>
      </c>
      <c r="F38" s="13" t="str">
        <f>"L "&amp;A24&amp;" + L "&amp;A29&amp;""</f>
        <v>L 3 + L 6</v>
      </c>
    </row>
    <row r="39" spans="1:6" x14ac:dyDescent="0.2">
      <c r="A39" s="2"/>
      <c r="D39" s="105"/>
      <c r="E39" s="105"/>
      <c r="F39" s="13"/>
    </row>
    <row r="40" spans="1:6" x14ac:dyDescent="0.2">
      <c r="B40" t="s">
        <v>453</v>
      </c>
    </row>
    <row r="41" spans="1:6" x14ac:dyDescent="0.2">
      <c r="A41" s="2">
        <v>9</v>
      </c>
      <c r="B41" s="12" t="s">
        <v>451</v>
      </c>
      <c r="D41" s="48">
        <f>(D38+E38)/2</f>
        <v>4971077.5</v>
      </c>
      <c r="E41" s="105"/>
      <c r="F41" s="13" t="str">
        <f>"Sum of Line "&amp;A38&amp;" / 2"</f>
        <v>Sum of Line 8 / 2</v>
      </c>
    </row>
    <row r="42" spans="1:6" x14ac:dyDescent="0.2">
      <c r="B42" s="12"/>
    </row>
    <row r="43" spans="1:6" x14ac:dyDescent="0.2">
      <c r="B43" s="1" t="s">
        <v>561</v>
      </c>
      <c r="C43" s="12"/>
    </row>
    <row r="44" spans="1:6" x14ac:dyDescent="0.2">
      <c r="C44" s="12"/>
    </row>
    <row r="45" spans="1:6" x14ac:dyDescent="0.2">
      <c r="A45" s="2"/>
      <c r="F45" s="129" t="s">
        <v>207</v>
      </c>
    </row>
    <row r="46" spans="1:6" x14ac:dyDescent="0.2">
      <c r="A46" s="2">
        <v>10</v>
      </c>
      <c r="B46" s="12" t="s">
        <v>560</v>
      </c>
      <c r="E46" s="111">
        <v>9724</v>
      </c>
      <c r="F46" s="13" t="s">
        <v>33</v>
      </c>
    </row>
    <row r="49" spans="2:2" x14ac:dyDescent="0.2">
      <c r="B49" s="1" t="s">
        <v>429</v>
      </c>
    </row>
    <row r="50" spans="2:2" x14ac:dyDescent="0.2">
      <c r="B50" s="12" t="s">
        <v>444</v>
      </c>
    </row>
    <row r="51" spans="2:2" x14ac:dyDescent="0.2">
      <c r="B51" s="12" t="s">
        <v>1467</v>
      </c>
    </row>
    <row r="52" spans="2:2" x14ac:dyDescent="0.2">
      <c r="B52" s="12" t="s">
        <v>1468</v>
      </c>
    </row>
    <row r="53" spans="2:2" x14ac:dyDescent="0.2">
      <c r="B53" s="12" t="s">
        <v>586</v>
      </c>
    </row>
    <row r="54" spans="2:2" x14ac:dyDescent="0.2">
      <c r="B54" s="12" t="str">
        <f>"2) For any Electric Plant Held for Future Use classified as General note amount on Line "&amp;A27&amp;"."</f>
        <v>2) For any Electric Plant Held for Future Use classified as General note amount on Line 4.</v>
      </c>
    </row>
    <row r="55" spans="2:2" x14ac:dyDescent="0.2">
      <c r="B55" s="12" t="s">
        <v>1469</v>
      </c>
    </row>
    <row r="56" spans="2:2" x14ac:dyDescent="0.2">
      <c r="B56" s="12" t="s">
        <v>445</v>
      </c>
    </row>
    <row r="57" spans="2:2" x14ac:dyDescent="0.2">
      <c r="B57" s="626" t="s">
        <v>2148</v>
      </c>
    </row>
    <row r="58" spans="2:2" x14ac:dyDescent="0.2">
      <c r="B58" s="12" t="s">
        <v>1466</v>
      </c>
    </row>
    <row r="59" spans="2:2" x14ac:dyDescent="0.2">
      <c r="B59" s="12"/>
    </row>
    <row r="60" spans="2:2" x14ac:dyDescent="0.2">
      <c r="B60" s="1" t="s">
        <v>265</v>
      </c>
    </row>
    <row r="61" spans="2:2" x14ac:dyDescent="0.2">
      <c r="B61" s="12" t="s">
        <v>1477</v>
      </c>
    </row>
  </sheetData>
  <pageMargins left="0.7" right="0.7" top="0.75" bottom="0.75" header="0.3" footer="0.3"/>
  <pageSetup scale="80" orientation="portrait" cellComments="asDisplayed" r:id="rId1"/>
  <headerFooter>
    <oddHeader>&amp;CSchedule 11
Plant Held for Future Use
&amp;"Arial,Bold"Exhibit G-2</oddHeader>
    <oddFooter>&amp;R11-PHFU</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zoomScale="85" zoomScaleNormal="85" workbookViewId="0"/>
  </sheetViews>
  <sheetFormatPr defaultRowHeight="12.75" x14ac:dyDescent="0.2"/>
  <cols>
    <col min="1" max="1" width="4.7109375" customWidth="1"/>
    <col min="2" max="2" width="6.7109375" customWidth="1"/>
    <col min="3" max="10" width="12.7109375" customWidth="1"/>
    <col min="12" max="12" width="9.140625" style="14"/>
  </cols>
  <sheetData>
    <row r="1" spans="1:10" x14ac:dyDescent="0.2">
      <c r="A1" s="1" t="s">
        <v>330</v>
      </c>
    </row>
    <row r="2" spans="1:10" x14ac:dyDescent="0.2">
      <c r="I2" s="743" t="s">
        <v>281</v>
      </c>
      <c r="J2" s="743"/>
    </row>
    <row r="3" spans="1:10" x14ac:dyDescent="0.2">
      <c r="B3" t="s">
        <v>355</v>
      </c>
    </row>
    <row r="5" spans="1:10" x14ac:dyDescent="0.2">
      <c r="B5" t="s">
        <v>350</v>
      </c>
    </row>
    <row r="6" spans="1:10" x14ac:dyDescent="0.2">
      <c r="B6" t="s">
        <v>356</v>
      </c>
    </row>
    <row r="7" spans="1:10" x14ac:dyDescent="0.2">
      <c r="F7" s="78" t="s">
        <v>259</v>
      </c>
      <c r="H7" s="78" t="s">
        <v>2445</v>
      </c>
    </row>
    <row r="8" spans="1:10" x14ac:dyDescent="0.2">
      <c r="B8" s="14" t="s">
        <v>2444</v>
      </c>
      <c r="C8" s="14"/>
      <c r="D8" s="14"/>
      <c r="E8" s="14"/>
      <c r="F8" s="644" t="s">
        <v>3162</v>
      </c>
      <c r="G8" s="99"/>
      <c r="H8" s="644" t="s">
        <v>3163</v>
      </c>
      <c r="I8" s="99"/>
    </row>
    <row r="9" spans="1:10" x14ac:dyDescent="0.2">
      <c r="B9" s="14"/>
      <c r="C9" s="14"/>
      <c r="D9" s="14"/>
      <c r="E9" s="14"/>
      <c r="F9" s="99"/>
      <c r="G9" s="99"/>
      <c r="H9" s="99"/>
      <c r="I9" s="99"/>
    </row>
    <row r="10" spans="1:10" x14ac:dyDescent="0.2">
      <c r="B10" s="14"/>
      <c r="C10" s="14"/>
      <c r="D10" s="14"/>
      <c r="E10" s="14"/>
      <c r="F10" s="519" t="s">
        <v>574</v>
      </c>
      <c r="G10" s="14"/>
      <c r="H10" s="519" t="s">
        <v>574</v>
      </c>
      <c r="I10" s="14"/>
    </row>
    <row r="12" spans="1:10" x14ac:dyDescent="0.2">
      <c r="B12" s="626" t="s">
        <v>427</v>
      </c>
    </row>
    <row r="13" spans="1:10" x14ac:dyDescent="0.2">
      <c r="B13" s="626"/>
    </row>
    <row r="14" spans="1:10" x14ac:dyDescent="0.2">
      <c r="B14" s="626" t="s">
        <v>425</v>
      </c>
    </row>
    <row r="15" spans="1:10" x14ac:dyDescent="0.2">
      <c r="B15" s="626" t="s">
        <v>426</v>
      </c>
    </row>
    <row r="16" spans="1:10" x14ac:dyDescent="0.2">
      <c r="B16" s="626"/>
      <c r="G16" s="811" t="s">
        <v>428</v>
      </c>
    </row>
    <row r="17" spans="1:10" x14ac:dyDescent="0.2">
      <c r="A17" s="53" t="s">
        <v>369</v>
      </c>
      <c r="G17" s="3" t="s">
        <v>73</v>
      </c>
      <c r="I17" s="53" t="s">
        <v>271</v>
      </c>
    </row>
    <row r="18" spans="1:10" x14ac:dyDescent="0.2">
      <c r="A18" s="811">
        <v>1</v>
      </c>
      <c r="F18" s="37" t="s">
        <v>351</v>
      </c>
      <c r="G18" s="65">
        <v>0</v>
      </c>
      <c r="I18" s="626" t="s">
        <v>437</v>
      </c>
    </row>
    <row r="19" spans="1:10" x14ac:dyDescent="0.2">
      <c r="A19" s="811">
        <v>2</v>
      </c>
      <c r="F19" s="624" t="s">
        <v>431</v>
      </c>
      <c r="G19" s="65">
        <v>0</v>
      </c>
      <c r="I19" s="626" t="s">
        <v>437</v>
      </c>
    </row>
    <row r="20" spans="1:10" x14ac:dyDescent="0.2">
      <c r="A20" s="811">
        <v>3</v>
      </c>
      <c r="F20" s="37" t="s">
        <v>353</v>
      </c>
      <c r="G20" s="65">
        <f>C30</f>
        <v>11028000</v>
      </c>
      <c r="I20" s="626" t="s">
        <v>437</v>
      </c>
    </row>
    <row r="21" spans="1:10" x14ac:dyDescent="0.2">
      <c r="A21" s="811">
        <v>4</v>
      </c>
      <c r="F21" s="37" t="s">
        <v>354</v>
      </c>
      <c r="G21" s="65">
        <f>(G19+G20)/2</f>
        <v>5514000</v>
      </c>
      <c r="I21" s="626" t="str">
        <f>"Average of Lines "&amp;A19&amp;" and "&amp;A20&amp;"."</f>
        <v>Average of Lines 2 and 3.</v>
      </c>
    </row>
    <row r="22" spans="1:10" x14ac:dyDescent="0.2">
      <c r="I22" s="626"/>
    </row>
    <row r="24" spans="1:10" x14ac:dyDescent="0.2">
      <c r="A24" s="811">
        <v>5</v>
      </c>
      <c r="C24" s="1" t="s">
        <v>572</v>
      </c>
      <c r="D24" s="644" t="s">
        <v>3162</v>
      </c>
      <c r="G24" s="159" t="s">
        <v>575</v>
      </c>
      <c r="H24" s="644" t="s">
        <v>573</v>
      </c>
      <c r="I24" s="813"/>
      <c r="J24" s="628"/>
    </row>
    <row r="25" spans="1:10" x14ac:dyDescent="0.2">
      <c r="A25" s="811"/>
      <c r="C25" s="1"/>
      <c r="D25" s="628"/>
      <c r="E25" s="14"/>
      <c r="G25" s="813"/>
      <c r="H25" s="628"/>
      <c r="I25" s="813"/>
      <c r="J25" s="628"/>
    </row>
    <row r="26" spans="1:10" x14ac:dyDescent="0.2">
      <c r="D26" s="115" t="s">
        <v>2194</v>
      </c>
      <c r="E26" s="115" t="s">
        <v>422</v>
      </c>
      <c r="F26" s="14"/>
      <c r="G26" s="14"/>
      <c r="H26" s="115" t="s">
        <v>2194</v>
      </c>
      <c r="I26" s="811" t="s">
        <v>422</v>
      </c>
      <c r="J26" s="115"/>
    </row>
    <row r="27" spans="1:10" x14ac:dyDescent="0.2">
      <c r="C27" s="811" t="s">
        <v>339</v>
      </c>
      <c r="D27" s="115" t="s">
        <v>422</v>
      </c>
      <c r="E27" s="115" t="s">
        <v>423</v>
      </c>
      <c r="F27" s="14"/>
      <c r="G27" s="115" t="s">
        <v>339</v>
      </c>
      <c r="H27" s="115" t="s">
        <v>422</v>
      </c>
      <c r="I27" s="811" t="s">
        <v>423</v>
      </c>
      <c r="J27" s="115"/>
    </row>
    <row r="28" spans="1:10" x14ac:dyDescent="0.2">
      <c r="C28" s="811" t="s">
        <v>422</v>
      </c>
      <c r="D28" s="115" t="s">
        <v>423</v>
      </c>
      <c r="E28" s="115" t="s">
        <v>424</v>
      </c>
      <c r="F28" s="14"/>
      <c r="G28" s="115" t="s">
        <v>422</v>
      </c>
      <c r="H28" s="115" t="s">
        <v>423</v>
      </c>
      <c r="I28" s="811" t="s">
        <v>424</v>
      </c>
      <c r="J28" s="115"/>
    </row>
    <row r="29" spans="1:10" x14ac:dyDescent="0.2">
      <c r="A29" s="811"/>
      <c r="B29" s="3" t="s">
        <v>221</v>
      </c>
      <c r="C29" s="3" t="s">
        <v>423</v>
      </c>
      <c r="D29" s="129" t="s">
        <v>2195</v>
      </c>
      <c r="E29" s="129" t="s">
        <v>363</v>
      </c>
      <c r="F29" s="14"/>
      <c r="G29" s="129" t="s">
        <v>423</v>
      </c>
      <c r="H29" s="129" t="s">
        <v>2195</v>
      </c>
      <c r="I29" s="3" t="s">
        <v>363</v>
      </c>
      <c r="J29" s="129"/>
    </row>
    <row r="30" spans="1:10" x14ac:dyDescent="0.2">
      <c r="A30" s="811">
        <v>6</v>
      </c>
      <c r="B30">
        <v>2011</v>
      </c>
      <c r="C30" s="111">
        <v>11028000</v>
      </c>
      <c r="D30" s="111">
        <v>11028000</v>
      </c>
      <c r="E30" s="99"/>
      <c r="G30" s="99"/>
      <c r="H30" s="99"/>
      <c r="I30" s="99"/>
      <c r="J30" s="14"/>
    </row>
    <row r="31" spans="1:10" x14ac:dyDescent="0.2">
      <c r="A31" s="811">
        <v>7</v>
      </c>
      <c r="B31">
        <v>2012</v>
      </c>
      <c r="C31" s="111"/>
      <c r="D31" s="99"/>
      <c r="E31" s="111">
        <v>11028000</v>
      </c>
      <c r="G31" s="99"/>
      <c r="H31" s="99"/>
      <c r="I31" s="99"/>
      <c r="J31" s="14"/>
    </row>
    <row r="32" spans="1:10" x14ac:dyDescent="0.2">
      <c r="A32" s="811">
        <v>8</v>
      </c>
      <c r="B32">
        <v>2013</v>
      </c>
      <c r="C32" s="99"/>
      <c r="D32" s="99"/>
      <c r="E32" s="99"/>
      <c r="G32" s="99"/>
      <c r="H32" s="99"/>
      <c r="I32" s="99"/>
      <c r="J32" s="14"/>
    </row>
    <row r="33" spans="1:10" x14ac:dyDescent="0.2">
      <c r="A33" s="811">
        <v>9</v>
      </c>
      <c r="B33">
        <v>2014</v>
      </c>
      <c r="C33" s="99"/>
      <c r="D33" s="99"/>
      <c r="E33" s="99"/>
      <c r="G33" s="99"/>
      <c r="H33" s="99"/>
      <c r="I33" s="99"/>
      <c r="J33" s="14"/>
    </row>
    <row r="34" spans="1:10" x14ac:dyDescent="0.2">
      <c r="A34" s="811">
        <v>10</v>
      </c>
      <c r="B34">
        <v>2015</v>
      </c>
      <c r="C34" s="99"/>
      <c r="D34" s="99"/>
      <c r="E34" s="99"/>
      <c r="G34" s="99"/>
      <c r="H34" s="99"/>
      <c r="I34" s="99"/>
      <c r="J34" s="14"/>
    </row>
    <row r="35" spans="1:10" x14ac:dyDescent="0.2">
      <c r="A35" s="811">
        <v>11</v>
      </c>
      <c r="B35">
        <v>2016</v>
      </c>
      <c r="C35" s="99"/>
      <c r="D35" s="99"/>
      <c r="E35" s="99"/>
      <c r="G35" s="99"/>
      <c r="H35" s="99"/>
      <c r="I35" s="99"/>
      <c r="J35" s="14"/>
    </row>
    <row r="36" spans="1:10" x14ac:dyDescent="0.2">
      <c r="A36" s="811">
        <v>12</v>
      </c>
      <c r="B36">
        <v>2017</v>
      </c>
      <c r="C36" s="99"/>
      <c r="D36" s="99"/>
      <c r="E36" s="99"/>
      <c r="G36" s="99"/>
      <c r="H36" s="99"/>
      <c r="I36" s="99"/>
      <c r="J36" s="14"/>
    </row>
    <row r="37" spans="1:10" x14ac:dyDescent="0.2">
      <c r="A37" s="811">
        <v>13</v>
      </c>
      <c r="B37">
        <v>2018</v>
      </c>
      <c r="C37" s="99"/>
      <c r="D37" s="99"/>
      <c r="E37" s="99"/>
      <c r="G37" s="99"/>
      <c r="H37" s="99"/>
      <c r="I37" s="99"/>
      <c r="J37" s="14"/>
    </row>
    <row r="38" spans="1:10" x14ac:dyDescent="0.2">
      <c r="A38" s="811">
        <v>14</v>
      </c>
      <c r="B38">
        <v>2019</v>
      </c>
      <c r="C38" s="99"/>
      <c r="D38" s="99"/>
      <c r="E38" s="99"/>
      <c r="G38" s="99"/>
      <c r="H38" s="99"/>
      <c r="I38" s="99"/>
      <c r="J38" s="14"/>
    </row>
    <row r="39" spans="1:10" x14ac:dyDescent="0.2">
      <c r="A39" s="811">
        <v>15</v>
      </c>
      <c r="B39">
        <v>2020</v>
      </c>
      <c r="C39" s="99"/>
      <c r="D39" s="99"/>
      <c r="E39" s="99"/>
      <c r="G39" s="99"/>
      <c r="H39" s="99"/>
      <c r="I39" s="99"/>
      <c r="J39" s="14"/>
    </row>
    <row r="40" spans="1:10" x14ac:dyDescent="0.2">
      <c r="A40" s="811">
        <v>16</v>
      </c>
      <c r="B40">
        <v>2021</v>
      </c>
      <c r="C40" s="99"/>
      <c r="D40" s="99"/>
      <c r="E40" s="99"/>
      <c r="G40" s="99"/>
      <c r="H40" s="99"/>
      <c r="I40" s="99"/>
      <c r="J40" s="14"/>
    </row>
    <row r="41" spans="1:10" x14ac:dyDescent="0.2">
      <c r="A41" s="811">
        <v>17</v>
      </c>
      <c r="B41">
        <v>2022</v>
      </c>
      <c r="C41" s="99"/>
      <c r="D41" s="99"/>
      <c r="E41" s="99"/>
      <c r="G41" s="99"/>
      <c r="H41" s="99"/>
      <c r="I41" s="99"/>
      <c r="J41" s="14"/>
    </row>
    <row r="42" spans="1:10" x14ac:dyDescent="0.2">
      <c r="A42" s="811">
        <v>18</v>
      </c>
      <c r="B42">
        <v>2023</v>
      </c>
      <c r="C42" s="99"/>
      <c r="D42" s="99"/>
      <c r="E42" s="99"/>
      <c r="G42" s="99"/>
      <c r="H42" s="99"/>
      <c r="I42" s="99"/>
      <c r="J42" s="14"/>
    </row>
    <row r="43" spans="1:10" x14ac:dyDescent="0.2">
      <c r="A43" s="811">
        <v>19</v>
      </c>
      <c r="B43">
        <v>2024</v>
      </c>
      <c r="C43" s="99"/>
      <c r="D43" s="99"/>
      <c r="E43" s="99"/>
      <c r="G43" s="99"/>
      <c r="H43" s="99"/>
      <c r="I43" s="99"/>
      <c r="J43" s="14"/>
    </row>
    <row r="44" spans="1:10" x14ac:dyDescent="0.2">
      <c r="A44" s="811">
        <v>20</v>
      </c>
      <c r="B44">
        <v>2025</v>
      </c>
      <c r="C44" s="99"/>
      <c r="D44" s="99"/>
      <c r="E44" s="99"/>
      <c r="G44" s="99"/>
      <c r="H44" s="99"/>
      <c r="I44" s="99"/>
      <c r="J44" s="14"/>
    </row>
    <row r="45" spans="1:10" x14ac:dyDescent="0.2">
      <c r="A45" s="811">
        <v>21</v>
      </c>
      <c r="B45">
        <v>2026</v>
      </c>
      <c r="C45" s="99"/>
      <c r="D45" s="99"/>
      <c r="E45" s="99"/>
      <c r="G45" s="99"/>
      <c r="H45" s="99"/>
      <c r="I45" s="99"/>
      <c r="J45" s="14"/>
    </row>
    <row r="46" spans="1:10" x14ac:dyDescent="0.2">
      <c r="A46" s="811">
        <v>22</v>
      </c>
      <c r="B46">
        <v>2027</v>
      </c>
      <c r="C46" s="99"/>
      <c r="D46" s="99"/>
      <c r="E46" s="99"/>
      <c r="G46" s="99"/>
      <c r="H46" s="99"/>
      <c r="I46" s="99"/>
      <c r="J46" s="14"/>
    </row>
    <row r="47" spans="1:10" x14ac:dyDescent="0.2">
      <c r="A47" s="811">
        <v>23</v>
      </c>
      <c r="B47">
        <v>2028</v>
      </c>
      <c r="C47" s="99"/>
      <c r="D47" s="99"/>
      <c r="E47" s="99"/>
      <c r="G47" s="99"/>
      <c r="H47" s="99"/>
      <c r="I47" s="99"/>
      <c r="J47" s="14"/>
    </row>
    <row r="48" spans="1:10" x14ac:dyDescent="0.2">
      <c r="A48" s="811">
        <v>24</v>
      </c>
      <c r="B48">
        <v>2029</v>
      </c>
      <c r="C48" s="99"/>
      <c r="D48" s="99"/>
      <c r="E48" s="99"/>
      <c r="G48" s="99"/>
      <c r="H48" s="99"/>
      <c r="I48" s="99"/>
      <c r="J48" s="14"/>
    </row>
    <row r="49" spans="1:10" x14ac:dyDescent="0.2">
      <c r="A49" s="811">
        <v>25</v>
      </c>
      <c r="B49">
        <v>2030</v>
      </c>
      <c r="C49" s="99"/>
      <c r="D49" s="99"/>
      <c r="E49" s="99"/>
      <c r="G49" s="99"/>
      <c r="H49" s="99"/>
      <c r="I49" s="99"/>
      <c r="J49" s="14"/>
    </row>
    <row r="50" spans="1:10" x14ac:dyDescent="0.2">
      <c r="A50" s="811">
        <v>26</v>
      </c>
      <c r="B50">
        <v>2031</v>
      </c>
      <c r="C50" s="99"/>
      <c r="D50" s="99"/>
      <c r="E50" s="99"/>
      <c r="G50" s="99"/>
      <c r="H50" s="99"/>
      <c r="I50" s="99"/>
      <c r="J50" s="14"/>
    </row>
    <row r="51" spans="1:10" x14ac:dyDescent="0.2">
      <c r="A51" s="811">
        <v>27</v>
      </c>
      <c r="B51">
        <v>2032</v>
      </c>
      <c r="C51" s="99"/>
      <c r="D51" s="99"/>
      <c r="E51" s="99"/>
      <c r="G51" s="99"/>
      <c r="H51" s="99"/>
      <c r="I51" s="99"/>
      <c r="J51" s="14"/>
    </row>
    <row r="52" spans="1:10" x14ac:dyDescent="0.2">
      <c r="A52" s="811">
        <v>28</v>
      </c>
      <c r="B52">
        <v>2033</v>
      </c>
      <c r="C52" s="99"/>
      <c r="D52" s="99"/>
      <c r="E52" s="99"/>
      <c r="G52" s="99"/>
      <c r="H52" s="99"/>
      <c r="I52" s="99"/>
      <c r="J52" s="14"/>
    </row>
    <row r="53" spans="1:10" x14ac:dyDescent="0.2">
      <c r="A53" s="811">
        <v>29</v>
      </c>
      <c r="B53">
        <v>2034</v>
      </c>
      <c r="C53" s="99"/>
      <c r="D53" s="99"/>
      <c r="E53" s="99"/>
      <c r="G53" s="99"/>
      <c r="H53" s="99"/>
      <c r="I53" s="99"/>
      <c r="J53" s="14"/>
    </row>
    <row r="54" spans="1:10" x14ac:dyDescent="0.2">
      <c r="A54" s="811">
        <v>30</v>
      </c>
      <c r="B54">
        <v>2035</v>
      </c>
      <c r="C54" s="99"/>
      <c r="D54" s="99"/>
      <c r="E54" s="99"/>
      <c r="G54" s="99"/>
      <c r="H54" s="99"/>
      <c r="I54" s="99"/>
      <c r="J54" s="14"/>
    </row>
    <row r="55" spans="1:10" x14ac:dyDescent="0.2">
      <c r="A55" s="811">
        <v>31</v>
      </c>
      <c r="B55" s="814" t="s">
        <v>574</v>
      </c>
    </row>
    <row r="56" spans="1:10" x14ac:dyDescent="0.2">
      <c r="A56" s="811"/>
      <c r="B56" s="814"/>
    </row>
    <row r="57" spans="1:10" x14ac:dyDescent="0.2">
      <c r="A57" s="811"/>
      <c r="B57" s="45" t="s">
        <v>265</v>
      </c>
      <c r="C57" s="14"/>
      <c r="D57" s="14"/>
      <c r="E57" s="14"/>
      <c r="F57" s="14"/>
      <c r="G57" s="14"/>
      <c r="H57" s="14"/>
      <c r="I57" s="14"/>
      <c r="J57" s="14"/>
    </row>
    <row r="58" spans="1:10" x14ac:dyDescent="0.2">
      <c r="A58" s="811"/>
      <c r="B58" s="628" t="s">
        <v>2196</v>
      </c>
      <c r="C58" s="14"/>
      <c r="D58" s="14"/>
      <c r="E58" s="14"/>
      <c r="F58" s="14"/>
      <c r="G58" s="14"/>
      <c r="H58" s="14"/>
      <c r="I58" s="14"/>
      <c r="J58" s="14"/>
    </row>
    <row r="59" spans="1:10" x14ac:dyDescent="0.2">
      <c r="A59" s="811"/>
      <c r="B59" s="14"/>
      <c r="C59" s="14"/>
      <c r="D59" s="14"/>
      <c r="E59" s="14"/>
      <c r="F59" s="14"/>
      <c r="G59" s="14"/>
      <c r="H59" s="14"/>
      <c r="I59" s="14"/>
      <c r="J59" s="14"/>
    </row>
    <row r="60" spans="1:10" x14ac:dyDescent="0.2">
      <c r="A60" s="811"/>
      <c r="B60" s="45" t="s">
        <v>429</v>
      </c>
      <c r="C60" s="14"/>
      <c r="D60" s="14"/>
      <c r="E60" s="14"/>
      <c r="F60" s="14"/>
      <c r="G60" s="14"/>
      <c r="H60" s="14"/>
      <c r="I60" s="14"/>
      <c r="J60" s="14"/>
    </row>
    <row r="61" spans="1:10" x14ac:dyDescent="0.2">
      <c r="A61" s="811"/>
      <c r="B61" s="628" t="s">
        <v>430</v>
      </c>
      <c r="C61" s="14"/>
      <c r="D61" s="14"/>
      <c r="E61" s="14"/>
      <c r="F61" s="14"/>
      <c r="G61" s="14"/>
      <c r="H61" s="14"/>
      <c r="I61" s="14"/>
      <c r="J61" s="14"/>
    </row>
    <row r="62" spans="1:10" x14ac:dyDescent="0.2">
      <c r="A62" s="811"/>
      <c r="B62" s="625" t="s">
        <v>2197</v>
      </c>
      <c r="C62" s="14"/>
      <c r="D62" s="14"/>
      <c r="E62" s="14"/>
      <c r="F62" s="14"/>
      <c r="G62" s="14"/>
      <c r="H62" s="14"/>
      <c r="I62" s="14"/>
      <c r="J62" s="14"/>
    </row>
    <row r="63" spans="1:10" x14ac:dyDescent="0.2">
      <c r="A63" s="811"/>
      <c r="B63" s="625" t="s">
        <v>2198</v>
      </c>
      <c r="C63" s="14"/>
      <c r="D63" s="14"/>
      <c r="E63" s="14"/>
      <c r="F63" s="14"/>
      <c r="G63" s="14"/>
      <c r="H63" s="14"/>
      <c r="I63" s="14"/>
      <c r="J63" s="14"/>
    </row>
    <row r="64" spans="1:10" x14ac:dyDescent="0.2">
      <c r="A64" s="811"/>
      <c r="B64" s="625" t="s">
        <v>435</v>
      </c>
      <c r="C64" s="14"/>
      <c r="D64" s="14"/>
      <c r="E64" s="14"/>
      <c r="F64" s="14"/>
      <c r="G64" s="14"/>
      <c r="H64" s="14"/>
      <c r="I64" s="14"/>
      <c r="J64" s="14"/>
    </row>
    <row r="65" spans="1:10" x14ac:dyDescent="0.2">
      <c r="A65" s="811"/>
      <c r="B65" s="625" t="s">
        <v>436</v>
      </c>
      <c r="C65" s="14"/>
      <c r="D65" s="14"/>
      <c r="E65" s="14"/>
      <c r="F65" s="14"/>
      <c r="G65" s="14"/>
      <c r="H65" s="14"/>
      <c r="I65" s="14"/>
      <c r="J65" s="14"/>
    </row>
    <row r="66" spans="1:10" x14ac:dyDescent="0.2">
      <c r="B66" s="625" t="s">
        <v>433</v>
      </c>
      <c r="C66" s="14"/>
      <c r="D66" s="14"/>
      <c r="E66" s="14"/>
      <c r="F66" s="14"/>
      <c r="G66" s="14"/>
      <c r="H66" s="14"/>
      <c r="I66" s="14"/>
      <c r="J66" s="14"/>
    </row>
    <row r="67" spans="1:10" x14ac:dyDescent="0.2">
      <c r="B67" s="1065" t="s">
        <v>576</v>
      </c>
      <c r="C67" s="14"/>
      <c r="D67" s="14"/>
      <c r="E67" s="14"/>
      <c r="F67" s="14"/>
      <c r="G67" s="14"/>
      <c r="H67" s="14"/>
      <c r="I67" s="14"/>
      <c r="J67" s="14"/>
    </row>
    <row r="68" spans="1:10" x14ac:dyDescent="0.2">
      <c r="B68" s="628" t="s">
        <v>434</v>
      </c>
      <c r="C68" s="14"/>
      <c r="D68" s="14"/>
      <c r="E68" s="14"/>
      <c r="F68" s="14"/>
      <c r="G68" s="14"/>
      <c r="H68" s="14"/>
      <c r="I68" s="14"/>
      <c r="J68" s="14"/>
    </row>
    <row r="69" spans="1:10" x14ac:dyDescent="0.2">
      <c r="B69" s="628" t="s">
        <v>577</v>
      </c>
      <c r="C69" s="14"/>
      <c r="D69" s="14"/>
      <c r="E69" s="14"/>
      <c r="F69" s="14"/>
      <c r="G69" s="14"/>
      <c r="H69" s="14"/>
      <c r="I69" s="14"/>
      <c r="J69" s="14"/>
    </row>
  </sheetData>
  <pageMargins left="0.7" right="0.7" top="0.75" bottom="0.75" header="0.3" footer="0.3"/>
  <pageSetup scale="80" orientation="portrait" cellComments="asDisplayed" r:id="rId1"/>
  <headerFooter>
    <oddHeader>&amp;CSchedule 12
Abandoned Plant
&amp;"Arial,Bold"Exhibit G-2</oddHeader>
    <oddFooter>&amp;R&amp;A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3"/>
  <sheetViews>
    <sheetView zoomScale="90" zoomScaleNormal="90" workbookViewId="0"/>
  </sheetViews>
  <sheetFormatPr defaultRowHeight="12.75" x14ac:dyDescent="0.2"/>
  <cols>
    <col min="1" max="1" width="4.7109375" customWidth="1"/>
    <col min="2" max="2" width="3.7109375" customWidth="1"/>
    <col min="3" max="3" width="14.7109375" customWidth="1"/>
    <col min="4" max="4" width="8.7109375" customWidth="1"/>
    <col min="5" max="5" width="15.28515625" customWidth="1"/>
    <col min="6" max="6" width="24.7109375" customWidth="1"/>
    <col min="7" max="7" width="35.7109375" customWidth="1"/>
  </cols>
  <sheetData>
    <row r="1" spans="1:7" x14ac:dyDescent="0.2">
      <c r="A1" s="1" t="s">
        <v>6</v>
      </c>
    </row>
    <row r="2" spans="1:7" x14ac:dyDescent="0.2">
      <c r="F2" s="44" t="s">
        <v>17</v>
      </c>
    </row>
    <row r="3" spans="1:7" x14ac:dyDescent="0.2">
      <c r="B3" s="1" t="s">
        <v>186</v>
      </c>
    </row>
    <row r="4" spans="1:7" x14ac:dyDescent="0.2">
      <c r="C4" s="12" t="s">
        <v>622</v>
      </c>
      <c r="E4" s="18"/>
      <c r="F4" s="28"/>
      <c r="G4" s="27"/>
    </row>
    <row r="5" spans="1:7" x14ac:dyDescent="0.2">
      <c r="C5" s="12" t="s">
        <v>623</v>
      </c>
      <c r="E5" s="18"/>
      <c r="F5" s="28"/>
      <c r="G5" s="27"/>
    </row>
    <row r="6" spans="1:7" x14ac:dyDescent="0.2">
      <c r="E6" s="18"/>
      <c r="F6" s="77"/>
      <c r="G6" s="27"/>
    </row>
    <row r="7" spans="1:7" x14ac:dyDescent="0.2">
      <c r="C7" s="21"/>
      <c r="D7" s="17"/>
      <c r="E7" s="26" t="s">
        <v>222</v>
      </c>
      <c r="F7" s="26" t="s">
        <v>2178</v>
      </c>
      <c r="G7" s="26"/>
    </row>
    <row r="8" spans="1:7" x14ac:dyDescent="0.2">
      <c r="A8" s="55" t="s">
        <v>359</v>
      </c>
      <c r="C8" s="25" t="s">
        <v>220</v>
      </c>
      <c r="D8" s="25" t="s">
        <v>221</v>
      </c>
      <c r="E8" s="25" t="s">
        <v>207</v>
      </c>
      <c r="F8" s="31" t="s">
        <v>2177</v>
      </c>
      <c r="G8" s="29" t="s">
        <v>196</v>
      </c>
    </row>
    <row r="9" spans="1:7" x14ac:dyDescent="0.2">
      <c r="A9" s="2">
        <v>1</v>
      </c>
      <c r="C9" s="19" t="s">
        <v>208</v>
      </c>
      <c r="D9" s="893">
        <v>2010</v>
      </c>
      <c r="E9" s="30" t="s">
        <v>621</v>
      </c>
      <c r="F9" s="1158">
        <v>310981122.37</v>
      </c>
      <c r="G9" s="30" t="s">
        <v>95</v>
      </c>
    </row>
    <row r="10" spans="1:7" x14ac:dyDescent="0.2">
      <c r="A10" s="115">
        <f>A9+1</f>
        <v>2</v>
      </c>
      <c r="B10" s="14"/>
      <c r="C10" s="1066" t="s">
        <v>209</v>
      </c>
      <c r="D10" s="893">
        <v>2011</v>
      </c>
      <c r="E10" s="726" t="s">
        <v>33</v>
      </c>
      <c r="F10" s="111">
        <v>309597986.24000001</v>
      </c>
      <c r="G10" s="30"/>
    </row>
    <row r="11" spans="1:7" x14ac:dyDescent="0.2">
      <c r="A11" s="115">
        <f t="shared" ref="A11:A21" si="0">A10+1</f>
        <v>3</v>
      </c>
      <c r="B11" s="14"/>
      <c r="C11" s="1066" t="s">
        <v>210</v>
      </c>
      <c r="D11" s="893">
        <v>2011</v>
      </c>
      <c r="E11" s="726" t="s">
        <v>33</v>
      </c>
      <c r="F11" s="111">
        <v>311641518.41000003</v>
      </c>
      <c r="G11" s="30"/>
    </row>
    <row r="12" spans="1:7" x14ac:dyDescent="0.2">
      <c r="A12" s="115">
        <f t="shared" si="0"/>
        <v>4</v>
      </c>
      <c r="B12" s="14"/>
      <c r="C12" s="1066" t="s">
        <v>223</v>
      </c>
      <c r="D12" s="893">
        <v>2011</v>
      </c>
      <c r="E12" s="726" t="s">
        <v>33</v>
      </c>
      <c r="F12" s="111">
        <v>308324177.13999999</v>
      </c>
      <c r="G12" s="30"/>
    </row>
    <row r="13" spans="1:7" x14ac:dyDescent="0.2">
      <c r="A13" s="115">
        <f t="shared" si="0"/>
        <v>5</v>
      </c>
      <c r="B13" s="14"/>
      <c r="C13" s="1066" t="s">
        <v>211</v>
      </c>
      <c r="D13" s="893">
        <v>2011</v>
      </c>
      <c r="E13" s="726" t="s">
        <v>33</v>
      </c>
      <c r="F13" s="111">
        <v>308960882.12</v>
      </c>
      <c r="G13" s="30"/>
    </row>
    <row r="14" spans="1:7" x14ac:dyDescent="0.2">
      <c r="A14" s="115">
        <f t="shared" si="0"/>
        <v>6</v>
      </c>
      <c r="B14" s="14"/>
      <c r="C14" s="1066" t="s">
        <v>212</v>
      </c>
      <c r="D14" s="893">
        <v>2011</v>
      </c>
      <c r="E14" s="726" t="s">
        <v>33</v>
      </c>
      <c r="F14" s="111">
        <v>311824633.76999998</v>
      </c>
      <c r="G14" s="30"/>
    </row>
    <row r="15" spans="1:7" x14ac:dyDescent="0.2">
      <c r="A15" s="115">
        <f t="shared" si="0"/>
        <v>7</v>
      </c>
      <c r="B15" s="14"/>
      <c r="C15" s="1066" t="s">
        <v>1877</v>
      </c>
      <c r="D15" s="893">
        <v>2011</v>
      </c>
      <c r="E15" s="726" t="s">
        <v>33</v>
      </c>
      <c r="F15" s="111">
        <v>310508431.58999997</v>
      </c>
      <c r="G15" s="30"/>
    </row>
    <row r="16" spans="1:7" x14ac:dyDescent="0.2">
      <c r="A16" s="115">
        <f t="shared" si="0"/>
        <v>8</v>
      </c>
      <c r="B16" s="14"/>
      <c r="C16" s="1066" t="s">
        <v>214</v>
      </c>
      <c r="D16" s="893">
        <v>2011</v>
      </c>
      <c r="E16" s="726" t="s">
        <v>33</v>
      </c>
      <c r="F16" s="111">
        <v>316033560.06999999</v>
      </c>
      <c r="G16" s="30"/>
    </row>
    <row r="17" spans="1:7" x14ac:dyDescent="0.2">
      <c r="A17" s="115">
        <f t="shared" si="0"/>
        <v>9</v>
      </c>
      <c r="B17" s="14"/>
      <c r="C17" s="1066" t="s">
        <v>215</v>
      </c>
      <c r="D17" s="893">
        <v>2011</v>
      </c>
      <c r="E17" s="726" t="s">
        <v>33</v>
      </c>
      <c r="F17" s="111">
        <v>314365810.36000001</v>
      </c>
      <c r="G17" s="30"/>
    </row>
    <row r="18" spans="1:7" x14ac:dyDescent="0.2">
      <c r="A18" s="115">
        <f t="shared" si="0"/>
        <v>10</v>
      </c>
      <c r="B18" s="14"/>
      <c r="C18" s="1066" t="s">
        <v>216</v>
      </c>
      <c r="D18" s="893">
        <v>2011</v>
      </c>
      <c r="E18" s="726" t="s">
        <v>33</v>
      </c>
      <c r="F18" s="111">
        <v>316331176.62</v>
      </c>
      <c r="G18" s="30"/>
    </row>
    <row r="19" spans="1:7" x14ac:dyDescent="0.2">
      <c r="A19" s="115">
        <f t="shared" si="0"/>
        <v>11</v>
      </c>
      <c r="B19" s="14"/>
      <c r="C19" s="1066" t="s">
        <v>219</v>
      </c>
      <c r="D19" s="893">
        <v>2011</v>
      </c>
      <c r="E19" s="726" t="s">
        <v>33</v>
      </c>
      <c r="F19" s="111">
        <v>320505216.07999998</v>
      </c>
      <c r="G19" s="30"/>
    </row>
    <row r="20" spans="1:7" x14ac:dyDescent="0.2">
      <c r="A20" s="115">
        <f t="shared" si="0"/>
        <v>12</v>
      </c>
      <c r="B20" s="14"/>
      <c r="C20" s="1066" t="s">
        <v>218</v>
      </c>
      <c r="D20" s="893">
        <v>2011</v>
      </c>
      <c r="E20" s="726" t="s">
        <v>33</v>
      </c>
      <c r="F20" s="715">
        <v>320987548.41000003</v>
      </c>
      <c r="G20" s="30"/>
    </row>
    <row r="21" spans="1:7" x14ac:dyDescent="0.2">
      <c r="A21" s="115">
        <f t="shared" si="0"/>
        <v>13</v>
      </c>
      <c r="B21" s="14"/>
      <c r="C21" s="21" t="s">
        <v>208</v>
      </c>
      <c r="D21" s="893">
        <v>2011</v>
      </c>
      <c r="E21" s="30" t="s">
        <v>620</v>
      </c>
      <c r="F21" s="1158">
        <v>326272688.58999997</v>
      </c>
      <c r="G21" s="16" t="s">
        <v>101</v>
      </c>
    </row>
    <row r="22" spans="1:7" x14ac:dyDescent="0.2">
      <c r="C22" s="22"/>
      <c r="D22" s="22"/>
      <c r="E22" s="18"/>
      <c r="G22" s="30"/>
    </row>
    <row r="23" spans="1:7" x14ac:dyDescent="0.2">
      <c r="A23" s="115">
        <f>A21+1</f>
        <v>14</v>
      </c>
      <c r="B23" s="14"/>
      <c r="C23" s="22"/>
      <c r="D23" s="22"/>
      <c r="E23" s="718" t="s">
        <v>2459</v>
      </c>
      <c r="F23" s="1067">
        <f>SUM(F9:F21)/13</f>
        <v>314333442.44384617</v>
      </c>
      <c r="G23" s="118" t="str">
        <f>"(Sum Line "&amp;A9&amp;" to Line "&amp;A21&amp;") / 13"</f>
        <v>(Sum Line 1 to Line 13) / 13</v>
      </c>
    </row>
    <row r="24" spans="1:7" x14ac:dyDescent="0.2">
      <c r="A24" s="115">
        <f>A23+1</f>
        <v>15</v>
      </c>
      <c r="B24" s="14"/>
      <c r="C24" s="22"/>
      <c r="D24" s="22"/>
      <c r="E24" s="34" t="s">
        <v>349</v>
      </c>
      <c r="F24" s="113">
        <f>'27-Allocators'!G15</f>
        <v>3.9273273898169321E-2</v>
      </c>
      <c r="G24" s="118" t="str">
        <f>"27-Allocators, Line "&amp;'27-Allocators'!A15&amp;""</f>
        <v>27-Allocators, Line 9</v>
      </c>
    </row>
    <row r="25" spans="1:7" x14ac:dyDescent="0.2">
      <c r="A25" s="14"/>
      <c r="B25" s="14"/>
      <c r="C25" s="14"/>
      <c r="D25" s="22"/>
      <c r="E25" s="34"/>
      <c r="F25" s="33"/>
      <c r="G25" s="118"/>
    </row>
    <row r="26" spans="1:7" x14ac:dyDescent="0.2">
      <c r="A26" s="115">
        <f>A24+1</f>
        <v>16</v>
      </c>
      <c r="B26" s="14"/>
      <c r="C26" s="22" t="s">
        <v>103</v>
      </c>
      <c r="D26" s="22"/>
      <c r="E26" s="381" t="s">
        <v>174</v>
      </c>
      <c r="F26" s="33">
        <f>F21*F24</f>
        <v>12813796.664487174</v>
      </c>
      <c r="G26" s="47" t="str">
        <f>"Line "&amp;A21&amp;" * Line "&amp;A24&amp;""</f>
        <v>Line 13 * Line 15</v>
      </c>
    </row>
    <row r="27" spans="1:7" x14ac:dyDescent="0.2">
      <c r="A27" s="115">
        <f>A26+1</f>
        <v>17</v>
      </c>
      <c r="B27" s="14"/>
      <c r="C27" s="22"/>
      <c r="D27" s="22"/>
      <c r="E27" s="718" t="s">
        <v>2460</v>
      </c>
      <c r="F27" s="33">
        <f>F23*F24</f>
        <v>12344903.380451612</v>
      </c>
      <c r="G27" s="47" t="str">
        <f>"Line "&amp;A23&amp;" * Line "&amp;A24&amp;""</f>
        <v>Line 14 * Line 15</v>
      </c>
    </row>
    <row r="28" spans="1:7" x14ac:dyDescent="0.2">
      <c r="A28" s="14"/>
      <c r="B28" s="14"/>
      <c r="C28" s="14"/>
      <c r="D28" s="14"/>
      <c r="E28" s="14"/>
      <c r="F28" s="14"/>
      <c r="G28" s="14"/>
    </row>
    <row r="29" spans="1:7" x14ac:dyDescent="0.2">
      <c r="A29" s="14"/>
      <c r="B29" s="45" t="s">
        <v>184</v>
      </c>
      <c r="C29" s="14"/>
      <c r="D29" s="14"/>
      <c r="E29" s="14"/>
      <c r="F29" s="14"/>
      <c r="G29" s="14"/>
    </row>
    <row r="30" spans="1:7" x14ac:dyDescent="0.2">
      <c r="A30" s="14"/>
      <c r="B30" s="14"/>
      <c r="C30" s="14" t="s">
        <v>7</v>
      </c>
      <c r="D30" s="14"/>
      <c r="E30" s="736"/>
      <c r="F30" s="28"/>
      <c r="G30" s="27"/>
    </row>
    <row r="31" spans="1:7" x14ac:dyDescent="0.2">
      <c r="A31" s="14"/>
      <c r="B31" s="14"/>
      <c r="C31" s="14" t="s">
        <v>2299</v>
      </c>
      <c r="D31" s="14"/>
      <c r="E31" s="736"/>
      <c r="F31" s="28"/>
      <c r="G31" s="27"/>
    </row>
    <row r="32" spans="1:7" x14ac:dyDescent="0.2">
      <c r="A32" s="14"/>
      <c r="B32" s="14"/>
      <c r="C32" s="21"/>
      <c r="D32" s="278"/>
      <c r="E32" s="493" t="s">
        <v>222</v>
      </c>
      <c r="F32" s="77" t="s">
        <v>277</v>
      </c>
      <c r="G32" s="493"/>
    </row>
    <row r="33" spans="1:7" x14ac:dyDescent="0.2">
      <c r="C33" s="25" t="s">
        <v>220</v>
      </c>
      <c r="D33" s="25" t="s">
        <v>221</v>
      </c>
      <c r="E33" s="25" t="s">
        <v>207</v>
      </c>
      <c r="F33" s="31" t="s">
        <v>2</v>
      </c>
      <c r="G33" s="29" t="s">
        <v>196</v>
      </c>
    </row>
    <row r="34" spans="1:7" x14ac:dyDescent="0.2">
      <c r="A34" s="115">
        <f>A27+1</f>
        <v>18</v>
      </c>
      <c r="B34" s="14"/>
      <c r="C34" s="304" t="s">
        <v>208</v>
      </c>
      <c r="D34" s="893">
        <v>2010</v>
      </c>
      <c r="E34" s="726" t="s">
        <v>2324</v>
      </c>
      <c r="F34" s="719">
        <f>F63</f>
        <v>49976455</v>
      </c>
      <c r="G34" s="726" t="str">
        <f>"See Note 1, "&amp;B63&amp;""</f>
        <v>See Note 1, c</v>
      </c>
    </row>
    <row r="35" spans="1:7" x14ac:dyDescent="0.2">
      <c r="A35" s="115">
        <f>A34+1</f>
        <v>19</v>
      </c>
      <c r="B35" s="14"/>
      <c r="C35" s="1066" t="s">
        <v>209</v>
      </c>
      <c r="D35" s="893">
        <v>2011</v>
      </c>
      <c r="E35" s="726" t="s">
        <v>33</v>
      </c>
      <c r="F35" s="833">
        <v>44663872</v>
      </c>
      <c r="G35" s="726"/>
    </row>
    <row r="36" spans="1:7" x14ac:dyDescent="0.2">
      <c r="A36" s="115">
        <f t="shared" ref="A36:A46" si="1">A35+1</f>
        <v>20</v>
      </c>
      <c r="B36" s="14"/>
      <c r="C36" s="1066" t="s">
        <v>210</v>
      </c>
      <c r="D36" s="893">
        <v>2011</v>
      </c>
      <c r="E36" s="726" t="s">
        <v>33</v>
      </c>
      <c r="F36" s="833">
        <v>40576138</v>
      </c>
      <c r="G36" s="726"/>
    </row>
    <row r="37" spans="1:7" x14ac:dyDescent="0.2">
      <c r="A37" s="115">
        <f t="shared" si="1"/>
        <v>21</v>
      </c>
      <c r="B37" s="14"/>
      <c r="C37" s="1066" t="s">
        <v>223</v>
      </c>
      <c r="D37" s="893">
        <v>2011</v>
      </c>
      <c r="E37" s="726" t="s">
        <v>33</v>
      </c>
      <c r="F37" s="833">
        <v>83821430</v>
      </c>
      <c r="G37" s="726"/>
    </row>
    <row r="38" spans="1:7" x14ac:dyDescent="0.2">
      <c r="A38" s="115">
        <f t="shared" si="1"/>
        <v>22</v>
      </c>
      <c r="B38" s="14"/>
      <c r="C38" s="1066" t="s">
        <v>211</v>
      </c>
      <c r="D38" s="893">
        <v>2011</v>
      </c>
      <c r="E38" s="726" t="s">
        <v>33</v>
      </c>
      <c r="F38" s="833">
        <v>64802863</v>
      </c>
      <c r="G38" s="726"/>
    </row>
    <row r="39" spans="1:7" x14ac:dyDescent="0.2">
      <c r="A39" s="115">
        <f t="shared" si="1"/>
        <v>23</v>
      </c>
      <c r="B39" s="14"/>
      <c r="C39" s="1066" t="s">
        <v>212</v>
      </c>
      <c r="D39" s="893">
        <v>2011</v>
      </c>
      <c r="E39" s="726" t="s">
        <v>33</v>
      </c>
      <c r="F39" s="833">
        <v>47091110</v>
      </c>
      <c r="G39" s="726"/>
    </row>
    <row r="40" spans="1:7" x14ac:dyDescent="0.2">
      <c r="A40" s="115">
        <f t="shared" si="1"/>
        <v>24</v>
      </c>
      <c r="B40" s="14"/>
      <c r="C40" s="1066" t="s">
        <v>1877</v>
      </c>
      <c r="D40" s="893">
        <v>2011</v>
      </c>
      <c r="E40" s="726" t="s">
        <v>33</v>
      </c>
      <c r="F40" s="833">
        <v>37834871</v>
      </c>
      <c r="G40" s="726"/>
    </row>
    <row r="41" spans="1:7" x14ac:dyDescent="0.2">
      <c r="A41" s="115">
        <f t="shared" si="1"/>
        <v>25</v>
      </c>
      <c r="B41" s="14"/>
      <c r="C41" s="1066" t="s">
        <v>214</v>
      </c>
      <c r="D41" s="893">
        <v>2011</v>
      </c>
      <c r="E41" s="726" t="s">
        <v>33</v>
      </c>
      <c r="F41" s="833">
        <v>31355618</v>
      </c>
      <c r="G41" s="726"/>
    </row>
    <row r="42" spans="1:7" x14ac:dyDescent="0.2">
      <c r="A42" s="115">
        <f t="shared" si="1"/>
        <v>26</v>
      </c>
      <c r="B42" s="14"/>
      <c r="C42" s="1066" t="s">
        <v>215</v>
      </c>
      <c r="D42" s="893">
        <v>2011</v>
      </c>
      <c r="E42" s="726" t="s">
        <v>33</v>
      </c>
      <c r="F42" s="833">
        <v>26528058</v>
      </c>
      <c r="G42" s="726"/>
    </row>
    <row r="43" spans="1:7" x14ac:dyDescent="0.2">
      <c r="A43" s="115">
        <f t="shared" si="1"/>
        <v>27</v>
      </c>
      <c r="B43" s="14"/>
      <c r="C43" s="1066" t="s">
        <v>216</v>
      </c>
      <c r="D43" s="893">
        <v>2011</v>
      </c>
      <c r="E43" s="726" t="s">
        <v>33</v>
      </c>
      <c r="F43" s="833">
        <v>61231498</v>
      </c>
      <c r="G43" s="726"/>
    </row>
    <row r="44" spans="1:7" x14ac:dyDescent="0.2">
      <c r="A44" s="115">
        <f t="shared" si="1"/>
        <v>28</v>
      </c>
      <c r="B44" s="14"/>
      <c r="C44" s="1066" t="s">
        <v>219</v>
      </c>
      <c r="D44" s="893">
        <v>2011</v>
      </c>
      <c r="E44" s="726" t="s">
        <v>33</v>
      </c>
      <c r="F44" s="833">
        <v>56892070</v>
      </c>
      <c r="G44" s="726"/>
    </row>
    <row r="45" spans="1:7" x14ac:dyDescent="0.2">
      <c r="A45" s="115">
        <f t="shared" si="1"/>
        <v>29</v>
      </c>
      <c r="B45" s="14"/>
      <c r="C45" s="1066" t="s">
        <v>218</v>
      </c>
      <c r="D45" s="893">
        <v>2011</v>
      </c>
      <c r="E45" s="726" t="s">
        <v>33</v>
      </c>
      <c r="F45" s="833">
        <v>51977249</v>
      </c>
      <c r="G45" s="726"/>
    </row>
    <row r="46" spans="1:7" x14ac:dyDescent="0.2">
      <c r="A46" s="115">
        <f t="shared" si="1"/>
        <v>30</v>
      </c>
      <c r="B46" s="14"/>
      <c r="C46" s="21" t="s">
        <v>208</v>
      </c>
      <c r="D46" s="893">
        <v>2011</v>
      </c>
      <c r="E46" s="726" t="s">
        <v>2301</v>
      </c>
      <c r="F46" s="33">
        <f>F69</f>
        <v>53865316</v>
      </c>
      <c r="G46" s="726" t="str">
        <f>"See Note 1, "&amp;B69&amp;""</f>
        <v>See Note 1, f</v>
      </c>
    </row>
    <row r="47" spans="1:7" x14ac:dyDescent="0.2">
      <c r="A47" s="14"/>
      <c r="B47" s="14"/>
      <c r="C47" s="21"/>
      <c r="D47" s="24"/>
      <c r="E47" s="23"/>
      <c r="F47" s="33"/>
      <c r="G47" s="16"/>
    </row>
    <row r="48" spans="1:7" x14ac:dyDescent="0.2">
      <c r="A48" s="14"/>
      <c r="B48" s="14"/>
      <c r="C48" s="900" t="s">
        <v>2297</v>
      </c>
      <c r="D48" s="900"/>
      <c r="E48" s="1068"/>
      <c r="F48" s="14"/>
      <c r="G48" s="30"/>
    </row>
    <row r="49" spans="1:8" x14ac:dyDescent="0.2">
      <c r="A49" s="115">
        <f>A46+1</f>
        <v>31</v>
      </c>
      <c r="B49" s="14"/>
      <c r="C49" s="22"/>
      <c r="D49" s="22"/>
      <c r="E49" s="943" t="s">
        <v>2298</v>
      </c>
      <c r="F49" s="1067">
        <f>SUM(F34:F46)/13</f>
        <v>50047426.769230768</v>
      </c>
      <c r="G49" s="118" t="str">
        <f>"(Sum Line "&amp;A34&amp;" to Line "&amp;A46&amp;") / 13"</f>
        <v>(Sum Line 18 to Line 30) / 13</v>
      </c>
    </row>
    <row r="50" spans="1:8" x14ac:dyDescent="0.2">
      <c r="A50" s="115">
        <f>A49+1</f>
        <v>32</v>
      </c>
      <c r="B50" s="14"/>
      <c r="C50" s="22"/>
      <c r="D50" s="22"/>
      <c r="E50" s="34" t="s">
        <v>349</v>
      </c>
      <c r="F50" s="36">
        <f>'27-Allocators'!G15</f>
        <v>3.9273273898169321E-2</v>
      </c>
      <c r="G50" s="118" t="str">
        <f>"27-Allocators, Line "&amp;'27-Allocators'!A15&amp;""</f>
        <v>27-Allocators, Line 9</v>
      </c>
    </row>
    <row r="51" spans="1:8" x14ac:dyDescent="0.2">
      <c r="A51" s="115">
        <f>A50+1</f>
        <v>33</v>
      </c>
      <c r="B51" s="14"/>
      <c r="C51" s="22"/>
      <c r="D51" s="22"/>
      <c r="E51" s="1069" t="s">
        <v>189</v>
      </c>
      <c r="F51" s="33">
        <f>F49*F50</f>
        <v>1965526.2994065713</v>
      </c>
      <c r="G51" s="47" t="str">
        <f>"Line "&amp;A49&amp;" * Line "&amp;A50&amp;""</f>
        <v>Line 31 * Line 32</v>
      </c>
    </row>
    <row r="52" spans="1:8" x14ac:dyDescent="0.2">
      <c r="A52" s="14"/>
      <c r="B52" s="14"/>
      <c r="C52" s="22" t="s">
        <v>276</v>
      </c>
      <c r="D52" s="22"/>
      <c r="E52" s="736"/>
      <c r="F52" s="14"/>
      <c r="G52" s="35"/>
    </row>
    <row r="53" spans="1:8" x14ac:dyDescent="0.2">
      <c r="A53" s="115">
        <f>A51+1</f>
        <v>34</v>
      </c>
      <c r="B53" s="14"/>
      <c r="C53" s="22"/>
      <c r="D53" s="22"/>
      <c r="E53" s="34" t="s">
        <v>174</v>
      </c>
      <c r="F53" s="33">
        <f>F46</f>
        <v>53865316</v>
      </c>
      <c r="G53" s="35" t="str">
        <f>"Line "&amp;A46&amp;""</f>
        <v>Line 30</v>
      </c>
    </row>
    <row r="54" spans="1:8" x14ac:dyDescent="0.2">
      <c r="A54" s="115">
        <f>A53+1</f>
        <v>35</v>
      </c>
      <c r="B54" s="14"/>
      <c r="C54" s="22"/>
      <c r="D54" s="22"/>
      <c r="E54" s="34" t="s">
        <v>349</v>
      </c>
      <c r="F54" s="36">
        <f>'27-Allocators'!G15</f>
        <v>3.9273273898169321E-2</v>
      </c>
      <c r="G54" s="118" t="str">
        <f>"27-Allocators, Line "&amp;'27-Allocators'!A15&amp;""</f>
        <v>27-Allocators, Line 9</v>
      </c>
    </row>
    <row r="55" spans="1:8" x14ac:dyDescent="0.2">
      <c r="A55" s="115">
        <f>A54+1</f>
        <v>36</v>
      </c>
      <c r="B55" s="14"/>
      <c r="C55" s="22"/>
      <c r="D55" s="22"/>
      <c r="E55" s="1069" t="s">
        <v>189</v>
      </c>
      <c r="F55" s="33">
        <f>F53*F54</f>
        <v>2115467.3088794425</v>
      </c>
      <c r="G55" s="47" t="str">
        <f>"Line "&amp;A53&amp;" * Line "&amp;A54&amp;""</f>
        <v>Line 34 * Line 35</v>
      </c>
    </row>
    <row r="56" spans="1:8" x14ac:dyDescent="0.2">
      <c r="A56" s="14"/>
      <c r="B56" s="1036" t="s">
        <v>265</v>
      </c>
      <c r="C56" s="15"/>
      <c r="D56" s="14"/>
      <c r="E56" s="14"/>
      <c r="F56" s="14"/>
      <c r="G56" s="14"/>
    </row>
    <row r="57" spans="1:8" x14ac:dyDescent="0.2">
      <c r="B57" t="s">
        <v>2174</v>
      </c>
      <c r="C57" s="626" t="str">
        <f>"Remove any amounts related to years prior to the effective date of the formula on "&amp;B62&amp;" and "&amp;B68&amp;" below."</f>
        <v>Remove any amounts related to years prior to the effective date of the formula on b and e below.</v>
      </c>
    </row>
    <row r="58" spans="1:8" x14ac:dyDescent="0.2">
      <c r="A58" s="2"/>
      <c r="E58" s="96"/>
      <c r="F58" s="7"/>
      <c r="G58" s="427"/>
      <c r="H58" s="1"/>
    </row>
    <row r="59" spans="1:8" x14ac:dyDescent="0.2">
      <c r="A59" s="2"/>
      <c r="C59" s="626" t="s">
        <v>2876</v>
      </c>
      <c r="E59" s="96"/>
      <c r="F59" s="77" t="s">
        <v>104</v>
      </c>
      <c r="G59" s="118"/>
    </row>
    <row r="60" spans="1:8" x14ac:dyDescent="0.2">
      <c r="A60" s="2"/>
      <c r="E60" s="96"/>
      <c r="F60" s="31" t="s">
        <v>2</v>
      </c>
      <c r="G60" s="428" t="s">
        <v>207</v>
      </c>
    </row>
    <row r="61" spans="1:8" x14ac:dyDescent="0.2">
      <c r="A61" s="807"/>
      <c r="B61" s="810" t="s">
        <v>2185</v>
      </c>
      <c r="C61" s="19"/>
      <c r="E61" s="624" t="s">
        <v>2175</v>
      </c>
      <c r="F61" s="1158">
        <v>132347508</v>
      </c>
      <c r="G61" s="30" t="s">
        <v>187</v>
      </c>
    </row>
    <row r="62" spans="1:8" x14ac:dyDescent="0.2">
      <c r="A62" s="807"/>
      <c r="B62" s="810" t="s">
        <v>2186</v>
      </c>
      <c r="E62" s="624" t="s">
        <v>2184</v>
      </c>
      <c r="F62" s="121">
        <v>82371053</v>
      </c>
      <c r="G62" s="630" t="s">
        <v>404</v>
      </c>
    </row>
    <row r="63" spans="1:8" x14ac:dyDescent="0.2">
      <c r="A63" s="807"/>
      <c r="B63" s="810" t="s">
        <v>2187</v>
      </c>
      <c r="E63" s="37" t="s">
        <v>2176</v>
      </c>
      <c r="F63" s="7">
        <f>F61-F62</f>
        <v>49976455</v>
      </c>
      <c r="G63" s="13" t="str">
        <f>""&amp;B61&amp;" - "&amp;B62&amp;""</f>
        <v>a - b</v>
      </c>
    </row>
    <row r="64" spans="1:8" x14ac:dyDescent="0.2">
      <c r="A64" s="807"/>
    </row>
    <row r="65" spans="1:7" x14ac:dyDescent="0.2">
      <c r="A65" s="807"/>
      <c r="C65" s="626" t="s">
        <v>2875</v>
      </c>
      <c r="E65" s="96"/>
      <c r="F65" s="77" t="s">
        <v>104</v>
      </c>
      <c r="G65" s="118"/>
    </row>
    <row r="66" spans="1:7" x14ac:dyDescent="0.2">
      <c r="A66" s="807"/>
      <c r="E66" s="96"/>
      <c r="F66" s="31" t="s">
        <v>2</v>
      </c>
      <c r="G66" s="428" t="s">
        <v>207</v>
      </c>
    </row>
    <row r="67" spans="1:7" x14ac:dyDescent="0.2">
      <c r="A67" s="807"/>
      <c r="B67" s="810" t="s">
        <v>2188</v>
      </c>
      <c r="C67" s="19"/>
      <c r="E67" s="624" t="s">
        <v>2175</v>
      </c>
      <c r="F67" s="1158">
        <v>111759392</v>
      </c>
      <c r="G67" s="30" t="s">
        <v>188</v>
      </c>
    </row>
    <row r="68" spans="1:7" x14ac:dyDescent="0.2">
      <c r="A68" s="807"/>
      <c r="B68" s="810" t="s">
        <v>2189</v>
      </c>
      <c r="E68" s="624" t="s">
        <v>2184</v>
      </c>
      <c r="F68" s="121">
        <v>57894076</v>
      </c>
      <c r="G68" s="630" t="s">
        <v>404</v>
      </c>
    </row>
    <row r="69" spans="1:7" x14ac:dyDescent="0.2">
      <c r="A69" s="807"/>
      <c r="B69" s="810" t="s">
        <v>2190</v>
      </c>
      <c r="D69" s="14"/>
      <c r="E69" s="624" t="s">
        <v>2231</v>
      </c>
      <c r="F69" s="7">
        <f>F67-F68</f>
        <v>53865316</v>
      </c>
      <c r="G69" s="13" t="str">
        <f>""&amp;B67&amp;" - "&amp;B68&amp;""</f>
        <v>d - e</v>
      </c>
    </row>
    <row r="73" spans="1:7" x14ac:dyDescent="0.2">
      <c r="F73" s="808"/>
    </row>
  </sheetData>
  <phoneticPr fontId="11" type="noConversion"/>
  <pageMargins left="0.75" right="0.75" top="1" bottom="1" header="0.5" footer="0.5"/>
  <pageSetup scale="75" orientation="portrait" cellComments="asDisplayed" r:id="rId1"/>
  <headerFooter alignWithMargins="0">
    <oddHeader>&amp;CSchedule 13
Working Capital
&amp;"Arial,Bold"Exhibit G-2</oddHeader>
    <oddFooter>&amp;R&amp;A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2"/>
  <sheetViews>
    <sheetView zoomScale="90" zoomScaleNormal="90" workbookViewId="0"/>
  </sheetViews>
  <sheetFormatPr defaultRowHeight="12.75" x14ac:dyDescent="0.2"/>
  <cols>
    <col min="1" max="1" width="4.7109375" customWidth="1"/>
    <col min="2" max="2" width="3.7109375" customWidth="1"/>
    <col min="3" max="3" width="16.7109375" customWidth="1"/>
    <col min="4" max="4" width="9.7109375" customWidth="1"/>
    <col min="5" max="8" width="15.7109375" customWidth="1"/>
    <col min="9" max="11" width="14.7109375" customWidth="1"/>
  </cols>
  <sheetData>
    <row r="1" spans="1:10" x14ac:dyDescent="0.2">
      <c r="A1" s="1" t="s">
        <v>279</v>
      </c>
    </row>
    <row r="2" spans="1:10" x14ac:dyDescent="0.2">
      <c r="A2" s="1" t="s">
        <v>280</v>
      </c>
    </row>
    <row r="3" spans="1:10" x14ac:dyDescent="0.2">
      <c r="B3" s="1"/>
      <c r="H3" s="192" t="s">
        <v>281</v>
      </c>
      <c r="I3" s="99"/>
      <c r="J3" s="58"/>
    </row>
    <row r="4" spans="1:10" x14ac:dyDescent="0.2">
      <c r="B4" s="1" t="s">
        <v>282</v>
      </c>
    </row>
    <row r="5" spans="1:10" x14ac:dyDescent="0.2">
      <c r="B5" s="57" t="s">
        <v>283</v>
      </c>
    </row>
    <row r="6" spans="1:10" x14ac:dyDescent="0.2">
      <c r="B6" s="57" t="s">
        <v>337</v>
      </c>
    </row>
    <row r="7" spans="1:10" x14ac:dyDescent="0.2">
      <c r="B7" s="107" t="s">
        <v>1102</v>
      </c>
    </row>
    <row r="8" spans="1:10" x14ac:dyDescent="0.2">
      <c r="B8" s="107" t="s">
        <v>1936</v>
      </c>
    </row>
    <row r="9" spans="1:10" x14ac:dyDescent="0.2">
      <c r="B9" s="107" t="s">
        <v>1937</v>
      </c>
      <c r="D9" s="1"/>
      <c r="E9" s="1"/>
    </row>
    <row r="10" spans="1:10" x14ac:dyDescent="0.2">
      <c r="B10" s="57"/>
    </row>
    <row r="11" spans="1:10" x14ac:dyDescent="0.2">
      <c r="B11" s="57"/>
      <c r="C11" s="12" t="s">
        <v>400</v>
      </c>
    </row>
    <row r="12" spans="1:10" x14ac:dyDescent="0.2">
      <c r="B12" s="57"/>
      <c r="C12" s="630" t="s">
        <v>1939</v>
      </c>
    </row>
    <row r="13" spans="1:10" x14ac:dyDescent="0.2">
      <c r="B13" s="57"/>
      <c r="C13" s="625" t="s">
        <v>2325</v>
      </c>
      <c r="D13" s="14"/>
      <c r="E13" s="14"/>
      <c r="F13" s="14"/>
      <c r="G13" s="14"/>
      <c r="H13" s="14"/>
    </row>
    <row r="14" spans="1:10" x14ac:dyDescent="0.2">
      <c r="B14" s="57"/>
      <c r="C14" s="630" t="s">
        <v>1940</v>
      </c>
    </row>
    <row r="15" spans="1:10" x14ac:dyDescent="0.2">
      <c r="B15" s="57"/>
      <c r="C15" s="706" t="s">
        <v>1941</v>
      </c>
    </row>
    <row r="16" spans="1:10" x14ac:dyDescent="0.2">
      <c r="B16" s="57"/>
      <c r="C16" s="630" t="s">
        <v>1943</v>
      </c>
    </row>
    <row r="17" spans="1:10" x14ac:dyDescent="0.2">
      <c r="B17" s="57"/>
      <c r="C17" s="630" t="s">
        <v>1942</v>
      </c>
    </row>
    <row r="18" spans="1:10" x14ac:dyDescent="0.2">
      <c r="B18" s="57"/>
      <c r="C18" s="13"/>
    </row>
    <row r="19" spans="1:10" x14ac:dyDescent="0.2">
      <c r="C19" s="1" t="s">
        <v>1101</v>
      </c>
    </row>
    <row r="20" spans="1:10" x14ac:dyDescent="0.2">
      <c r="C20" s="1"/>
      <c r="E20" s="3" t="s">
        <v>403</v>
      </c>
      <c r="F20" s="3" t="s">
        <v>387</v>
      </c>
      <c r="G20" s="3" t="s">
        <v>388</v>
      </c>
    </row>
    <row r="21" spans="1:10" x14ac:dyDescent="0.2">
      <c r="B21" s="1"/>
      <c r="F21" s="2" t="s">
        <v>73</v>
      </c>
      <c r="G21" s="2" t="s">
        <v>18</v>
      </c>
    </row>
    <row r="22" spans="1:10" x14ac:dyDescent="0.2">
      <c r="B22" s="1"/>
      <c r="E22" s="2" t="s">
        <v>73</v>
      </c>
      <c r="F22" s="4" t="s">
        <v>263</v>
      </c>
      <c r="G22" s="2" t="s">
        <v>336</v>
      </c>
    </row>
    <row r="23" spans="1:10" x14ac:dyDescent="0.2">
      <c r="B23" s="1"/>
      <c r="C23" s="12"/>
      <c r="E23" s="2" t="s">
        <v>262</v>
      </c>
      <c r="F23" s="2" t="s">
        <v>264</v>
      </c>
      <c r="G23" s="2" t="s">
        <v>1</v>
      </c>
    </row>
    <row r="24" spans="1:10" x14ac:dyDescent="0.2">
      <c r="B24" s="1"/>
      <c r="C24" s="2" t="s">
        <v>8</v>
      </c>
      <c r="E24" s="2" t="s">
        <v>275</v>
      </c>
      <c r="F24" s="2" t="s">
        <v>275</v>
      </c>
      <c r="G24" s="4" t="s">
        <v>10</v>
      </c>
    </row>
    <row r="25" spans="1:10" x14ac:dyDescent="0.2">
      <c r="A25" s="53" t="s">
        <v>369</v>
      </c>
      <c r="B25" s="1"/>
      <c r="C25" s="3" t="s">
        <v>259</v>
      </c>
      <c r="E25" s="3" t="s">
        <v>203</v>
      </c>
      <c r="F25" s="3" t="s">
        <v>203</v>
      </c>
      <c r="G25" s="3" t="s">
        <v>203</v>
      </c>
      <c r="H25" s="3" t="s">
        <v>265</v>
      </c>
      <c r="I25" s="52"/>
      <c r="J25" s="52"/>
    </row>
    <row r="26" spans="1:10" x14ac:dyDescent="0.2">
      <c r="A26" s="2">
        <v>1</v>
      </c>
      <c r="B26" s="1"/>
      <c r="C26" s="12" t="s">
        <v>378</v>
      </c>
      <c r="E26" s="7">
        <f>'10-CWIP'!E25</f>
        <v>1059868753.2391434</v>
      </c>
      <c r="F26" s="7">
        <f>'10-CWIP'!E26</f>
        <v>797729307.10367155</v>
      </c>
      <c r="G26" s="7">
        <f>'10-CWIP'!K107</f>
        <v>-397079410.34685886</v>
      </c>
      <c r="H26" s="47" t="str">
        <f>"10-CWIP Lines "&amp;'10-CWIP'!A25&amp;", "&amp;'10-CWIP'!A26&amp;", and "&amp;'10-CWIP'!A107&amp;""</f>
        <v>10-CWIP Lines 13, 14, and 74</v>
      </c>
    </row>
    <row r="27" spans="1:10" x14ac:dyDescent="0.2">
      <c r="A27" s="2">
        <f t="shared" ref="A27:A37" si="0">A26+1</f>
        <v>2</v>
      </c>
      <c r="B27" s="1"/>
      <c r="C27" s="12" t="s">
        <v>379</v>
      </c>
      <c r="E27" s="7">
        <f>'10-CWIP'!F25</f>
        <v>151361046.07106277</v>
      </c>
      <c r="F27" s="7">
        <f>'10-CWIP'!F26</f>
        <v>75044895.089562342</v>
      </c>
      <c r="G27" s="7">
        <f>'10-CWIP'!K135</f>
        <v>453532875.78553355</v>
      </c>
      <c r="H27" s="47" t="str">
        <f>"10-CWIP Lines "&amp;'10-CWIP'!A25&amp;", "&amp;'10-CWIP'!A26&amp;", and "&amp;'10-CWIP'!A135&amp;""</f>
        <v>10-CWIP Lines 13, 14, and 97</v>
      </c>
    </row>
    <row r="28" spans="1:10" x14ac:dyDescent="0.2">
      <c r="A28" s="2">
        <f t="shared" si="0"/>
        <v>3</v>
      </c>
      <c r="B28" s="1"/>
      <c r="C28" s="12" t="s">
        <v>380</v>
      </c>
      <c r="E28" s="7">
        <f>'10-CWIP'!G25</f>
        <v>30843632.021137841</v>
      </c>
      <c r="F28" s="7">
        <f>'10-CWIP'!G26</f>
        <v>16130630.394038439</v>
      </c>
      <c r="G28" s="7">
        <f>'10-CWIP'!K163</f>
        <v>104535790.6874297</v>
      </c>
      <c r="H28" s="47" t="str">
        <f>"10-CWIP Lines "&amp;'10-CWIP'!A25&amp;", "&amp;'10-CWIP'!A26&amp;", and "&amp;'10-CWIP'!A163&amp;""</f>
        <v>10-CWIP Lines 13, 14, and 120</v>
      </c>
    </row>
    <row r="29" spans="1:10" x14ac:dyDescent="0.2">
      <c r="A29" s="2">
        <f t="shared" si="0"/>
        <v>4</v>
      </c>
      <c r="B29" s="1"/>
      <c r="C29" s="12" t="s">
        <v>1107</v>
      </c>
      <c r="E29" s="7">
        <f>'10-CWIP'!H25</f>
        <v>-73287.943056206728</v>
      </c>
      <c r="F29" s="7">
        <f>'10-CWIP'!H26</f>
        <v>-65031.388565105997</v>
      </c>
      <c r="G29" s="7">
        <f>'10-CWIP'!K193</f>
        <v>0</v>
      </c>
      <c r="H29" s="47" t="str">
        <f>"10-CWIP Lines "&amp;'10-CWIP'!A25&amp;", "&amp;'10-CWIP'!A26&amp;", and "&amp;'10-CWIP'!A193&amp;""</f>
        <v>10-CWIP Lines 13, 14, and 143</v>
      </c>
    </row>
    <row r="30" spans="1:10" x14ac:dyDescent="0.2">
      <c r="A30" s="2">
        <f t="shared" si="0"/>
        <v>5</v>
      </c>
      <c r="B30" s="1"/>
      <c r="C30" s="12" t="s">
        <v>1108</v>
      </c>
      <c r="E30" s="7">
        <f>'10-CWIP'!I25</f>
        <v>14678203.401025498</v>
      </c>
      <c r="F30" s="7">
        <f>'10-CWIP'!I26</f>
        <v>4517170.2325551175</v>
      </c>
      <c r="G30" s="7">
        <f>'10-CWIP'!K221</f>
        <v>135002596.82500002</v>
      </c>
      <c r="H30" s="47" t="str">
        <f>"10-CWIP Lines "&amp;'10-CWIP'!A25&amp;", "&amp;'10-CWIP'!A26&amp;", and "&amp;'10-CWIP'!A221&amp;""</f>
        <v>10-CWIP Lines 13, 14, and 166</v>
      </c>
    </row>
    <row r="31" spans="1:10" x14ac:dyDescent="0.2">
      <c r="A31" s="2">
        <f t="shared" si="0"/>
        <v>6</v>
      </c>
      <c r="B31" s="1"/>
      <c r="C31" s="12" t="s">
        <v>1109</v>
      </c>
      <c r="E31" s="7">
        <f>'10-CWIP'!D45</f>
        <v>2893212.161289352</v>
      </c>
      <c r="F31" s="7">
        <f>'10-CWIP'!D46</f>
        <v>673493.05615916767</v>
      </c>
      <c r="G31" s="7">
        <f>'10-CWIP'!K249</f>
        <v>6186164.7081144936</v>
      </c>
      <c r="H31" s="47" t="str">
        <f>"10-CWIP Lines "&amp;'10-CWIP'!A45&amp;", "&amp;'10-CWIP'!A46&amp;", and "&amp;'10-CWIP'!A249&amp;""</f>
        <v>10-CWIP Lines 27, 28, and 189</v>
      </c>
    </row>
    <row r="32" spans="1:10" x14ac:dyDescent="0.2">
      <c r="A32" s="2">
        <f t="shared" si="0"/>
        <v>7</v>
      </c>
      <c r="B32" s="1"/>
      <c r="C32" s="12" t="s">
        <v>1110</v>
      </c>
      <c r="E32" s="7">
        <f>'10-CWIP'!E45</f>
        <v>10959973.88545125</v>
      </c>
      <c r="F32" s="7">
        <f>'10-CWIP'!E46</f>
        <v>2859135.7749116919</v>
      </c>
      <c r="G32" s="7">
        <f>'10-CWIP'!K279</f>
        <v>51605871.153846152</v>
      </c>
      <c r="H32" s="47" t="str">
        <f>"10-CWIP Lines "&amp;'10-CWIP'!A45&amp;", "&amp;'10-CWIP'!A46&amp;", and "&amp;'10-CWIP'!A279&amp;""</f>
        <v>10-CWIP Lines 27, 28, and 212</v>
      </c>
    </row>
    <row r="33" spans="1:10" x14ac:dyDescent="0.2">
      <c r="A33" s="2">
        <f t="shared" si="0"/>
        <v>8</v>
      </c>
      <c r="B33" s="1"/>
      <c r="C33" s="12" t="s">
        <v>1111</v>
      </c>
      <c r="E33" s="7">
        <f>'10-CWIP'!F45</f>
        <v>2144420.4</v>
      </c>
      <c r="F33" s="7">
        <f>'10-CWIP'!F46</f>
        <v>771891.50615384616</v>
      </c>
      <c r="G33" s="7">
        <f>'10-CWIP'!K307</f>
        <v>8995447.5481133591</v>
      </c>
      <c r="H33" s="47" t="str">
        <f>"10-CWIP Lines "&amp;'10-CWIP'!A45&amp;", "&amp;'10-CWIP'!A46&amp;", and "&amp;'10-CWIP'!A307&amp;""</f>
        <v>10-CWIP Lines 27, 28, and 235</v>
      </c>
    </row>
    <row r="34" spans="1:10" x14ac:dyDescent="0.2">
      <c r="A34" s="2">
        <f t="shared" si="0"/>
        <v>9</v>
      </c>
      <c r="B34" s="1"/>
      <c r="C34" s="12" t="s">
        <v>1112</v>
      </c>
      <c r="E34" s="7">
        <f>'10-CWIP'!G45</f>
        <v>4824458.0572965704</v>
      </c>
      <c r="F34" s="7">
        <f>'10-CWIP'!G46</f>
        <v>2251791.4184488496</v>
      </c>
      <c r="G34" s="7">
        <f>'10-CWIP'!K335</f>
        <v>11519110.124098074</v>
      </c>
      <c r="H34" s="47" t="str">
        <f>"10-CWIP Lines "&amp;'10-CWIP'!A45&amp;", "&amp;'10-CWIP'!A46&amp;", and "&amp;'10-CWIP'!A335&amp;""</f>
        <v>10-CWIP Lines 27, 28, and 258</v>
      </c>
    </row>
    <row r="35" spans="1:10" x14ac:dyDescent="0.2">
      <c r="A35" s="2">
        <f t="shared" si="0"/>
        <v>10</v>
      </c>
      <c r="B35" s="1"/>
      <c r="C35" s="757" t="s">
        <v>574</v>
      </c>
      <c r="E35" s="198" t="s">
        <v>86</v>
      </c>
      <c r="F35" s="198" t="s">
        <v>86</v>
      </c>
      <c r="G35" s="198" t="s">
        <v>86</v>
      </c>
      <c r="H35" s="757" t="s">
        <v>574</v>
      </c>
      <c r="I35" s="14"/>
      <c r="J35" s="14"/>
    </row>
    <row r="36" spans="1:10" x14ac:dyDescent="0.2">
      <c r="A36" s="2">
        <f t="shared" si="0"/>
        <v>11</v>
      </c>
      <c r="B36" s="1"/>
      <c r="C36" s="193"/>
      <c r="E36" s="198"/>
      <c r="F36" s="198"/>
      <c r="G36" s="198"/>
      <c r="H36" s="13"/>
    </row>
    <row r="37" spans="1:10" x14ac:dyDescent="0.2">
      <c r="A37" s="2">
        <f t="shared" si="0"/>
        <v>12</v>
      </c>
      <c r="B37" s="1"/>
      <c r="D37" s="37" t="s">
        <v>225</v>
      </c>
      <c r="E37" s="7">
        <f>SUM(E26:E34)</f>
        <v>1277500411.2933509</v>
      </c>
      <c r="F37" s="7">
        <f>SUM(F26:F34)</f>
        <v>899913283.18693578</v>
      </c>
      <c r="G37" s="7">
        <f>SUM(G26:G34)</f>
        <v>374298446.48527646</v>
      </c>
      <c r="H37" s="54"/>
    </row>
    <row r="38" spans="1:10" x14ac:dyDescent="0.2">
      <c r="B38" s="1"/>
    </row>
    <row r="39" spans="1:10" x14ac:dyDescent="0.2">
      <c r="B39" s="1"/>
      <c r="C39" s="1" t="s">
        <v>1513</v>
      </c>
    </row>
    <row r="40" spans="1:10" x14ac:dyDescent="0.2">
      <c r="B40" s="1"/>
      <c r="C40" s="1"/>
    </row>
    <row r="41" spans="1:10" x14ac:dyDescent="0.2">
      <c r="B41" s="1"/>
      <c r="E41" s="3" t="s">
        <v>403</v>
      </c>
      <c r="F41" s="3" t="s">
        <v>387</v>
      </c>
      <c r="G41" s="3" t="s">
        <v>388</v>
      </c>
    </row>
    <row r="42" spans="1:10" x14ac:dyDescent="0.2">
      <c r="B42" s="1"/>
      <c r="E42" s="642" t="s">
        <v>1910</v>
      </c>
      <c r="F42" s="3"/>
      <c r="G42" s="3"/>
    </row>
    <row r="43" spans="1:10" x14ac:dyDescent="0.2">
      <c r="B43" s="1"/>
      <c r="E43" s="2" t="s">
        <v>73</v>
      </c>
      <c r="F43" s="2" t="s">
        <v>339</v>
      </c>
      <c r="G43" s="2" t="s">
        <v>339</v>
      </c>
    </row>
    <row r="44" spans="1:10" x14ac:dyDescent="0.2">
      <c r="B44" s="1"/>
      <c r="E44" s="2" t="s">
        <v>8</v>
      </c>
      <c r="F44" s="2" t="s">
        <v>1</v>
      </c>
      <c r="G44" s="2" t="s">
        <v>338</v>
      </c>
    </row>
    <row r="45" spans="1:10" x14ac:dyDescent="0.2">
      <c r="B45" s="1"/>
      <c r="E45" s="3" t="s">
        <v>201</v>
      </c>
      <c r="F45" s="3" t="s">
        <v>284</v>
      </c>
      <c r="G45" s="3" t="s">
        <v>3</v>
      </c>
      <c r="H45" s="3" t="s">
        <v>265</v>
      </c>
    </row>
    <row r="46" spans="1:10" x14ac:dyDescent="0.2">
      <c r="A46" s="2">
        <f>A37+1</f>
        <v>13</v>
      </c>
      <c r="B46" s="1"/>
      <c r="C46" t="s">
        <v>260</v>
      </c>
      <c r="E46" s="105">
        <f>F46+G46</f>
        <v>179233968.20649755</v>
      </c>
      <c r="F46" s="65">
        <v>0</v>
      </c>
      <c r="G46" s="65">
        <f>H84</f>
        <v>179233968.20649755</v>
      </c>
      <c r="H46" s="13" t="str">
        <f>"Line "&amp;A84&amp;", C4"</f>
        <v>Line 37, C4</v>
      </c>
    </row>
    <row r="47" spans="1:10" x14ac:dyDescent="0.2">
      <c r="A47" s="2">
        <f>A46+1</f>
        <v>14</v>
      </c>
      <c r="B47" s="1"/>
      <c r="C47" t="s">
        <v>261</v>
      </c>
      <c r="E47" s="105">
        <f>F47+G47</f>
        <v>1447909314.8442135</v>
      </c>
      <c r="F47" s="65">
        <f>E26</f>
        <v>1059868753.2391434</v>
      </c>
      <c r="G47" s="65">
        <f>F84</f>
        <v>388040561.60507011</v>
      </c>
      <c r="H47" s="13" t="str">
        <f>"Line "&amp;A26&amp;", C1, and Line "&amp;A84&amp;", C2"</f>
        <v>Line 1, C1, and Line 37, C2</v>
      </c>
    </row>
    <row r="48" spans="1:10" x14ac:dyDescent="0.2">
      <c r="A48" s="2">
        <f>A47+1</f>
        <v>15</v>
      </c>
      <c r="B48" s="1"/>
      <c r="C48" s="626" t="s">
        <v>2149</v>
      </c>
      <c r="E48" s="105">
        <f>F48+G48</f>
        <v>151361046.07106277</v>
      </c>
      <c r="F48" s="65">
        <f>E27</f>
        <v>151361046.07106277</v>
      </c>
      <c r="G48" s="65">
        <f>G84</f>
        <v>0</v>
      </c>
      <c r="H48" s="13" t="str">
        <f>"Line "&amp;A27&amp;", C1, and Line "&amp;A84&amp;", C3"</f>
        <v>Line 2, C1, and Line 37, C3</v>
      </c>
    </row>
    <row r="49" spans="1:8" x14ac:dyDescent="0.2">
      <c r="A49" s="2">
        <f>A48+1</f>
        <v>16</v>
      </c>
      <c r="B49" s="1"/>
      <c r="C49" s="757" t="s">
        <v>574</v>
      </c>
      <c r="E49" s="98" t="s">
        <v>86</v>
      </c>
      <c r="F49" s="98" t="s">
        <v>86</v>
      </c>
      <c r="G49" s="98" t="s">
        <v>86</v>
      </c>
      <c r="H49" s="757" t="s">
        <v>574</v>
      </c>
    </row>
    <row r="50" spans="1:8" x14ac:dyDescent="0.2">
      <c r="A50" s="2">
        <f>A49+1</f>
        <v>17</v>
      </c>
      <c r="B50" s="1"/>
      <c r="C50" s="193"/>
      <c r="E50" s="98"/>
      <c r="F50" s="98"/>
      <c r="G50" s="98"/>
      <c r="H50" s="13"/>
    </row>
    <row r="51" spans="1:8" x14ac:dyDescent="0.2">
      <c r="A51" s="2">
        <f>A50+1</f>
        <v>18</v>
      </c>
      <c r="B51" s="1"/>
      <c r="D51" s="624" t="s">
        <v>2153</v>
      </c>
      <c r="E51" s="7">
        <f>SUM(E46:E48)</f>
        <v>1778504329.121774</v>
      </c>
      <c r="F51" s="98"/>
      <c r="G51" s="98"/>
      <c r="H51" s="630" t="s">
        <v>2154</v>
      </c>
    </row>
    <row r="52" spans="1:8" x14ac:dyDescent="0.2">
      <c r="B52" s="1"/>
    </row>
    <row r="53" spans="1:8" x14ac:dyDescent="0.2">
      <c r="B53" s="1"/>
      <c r="C53" s="1" t="s">
        <v>1938</v>
      </c>
    </row>
    <row r="54" spans="1:8" x14ac:dyDescent="0.2">
      <c r="B54" s="1"/>
      <c r="C54" s="1"/>
    </row>
    <row r="55" spans="1:8" x14ac:dyDescent="0.2">
      <c r="B55" s="1"/>
      <c r="C55" s="1"/>
      <c r="E55" s="3" t="s">
        <v>403</v>
      </c>
      <c r="F55" s="3" t="s">
        <v>387</v>
      </c>
      <c r="G55" s="3" t="s">
        <v>388</v>
      </c>
    </row>
    <row r="56" spans="1:8" x14ac:dyDescent="0.2">
      <c r="B56" s="1"/>
      <c r="E56" s="642" t="s">
        <v>1910</v>
      </c>
      <c r="G56" s="2" t="s">
        <v>10</v>
      </c>
    </row>
    <row r="57" spans="1:8" x14ac:dyDescent="0.2">
      <c r="B57" s="1"/>
      <c r="E57" s="2" t="s">
        <v>73</v>
      </c>
      <c r="F57" s="2" t="s">
        <v>10</v>
      </c>
      <c r="G57" s="2" t="s">
        <v>338</v>
      </c>
    </row>
    <row r="58" spans="1:8" x14ac:dyDescent="0.2">
      <c r="B58" s="1"/>
      <c r="C58" s="2" t="s">
        <v>8</v>
      </c>
      <c r="E58" s="2" t="s">
        <v>8</v>
      </c>
      <c r="F58" s="2" t="s">
        <v>1</v>
      </c>
      <c r="G58" s="2" t="s">
        <v>3</v>
      </c>
    </row>
    <row r="59" spans="1:8" ht="12.75" customHeight="1" x14ac:dyDescent="0.2">
      <c r="B59" s="1"/>
      <c r="C59" s="3" t="s">
        <v>259</v>
      </c>
      <c r="E59" s="3" t="s">
        <v>201</v>
      </c>
      <c r="F59" s="3" t="s">
        <v>284</v>
      </c>
      <c r="G59" s="3" t="s">
        <v>284</v>
      </c>
      <c r="H59" s="3" t="s">
        <v>265</v>
      </c>
    </row>
    <row r="60" spans="1:8" x14ac:dyDescent="0.2">
      <c r="A60" s="2">
        <f>A51+1</f>
        <v>19</v>
      </c>
      <c r="B60" s="1"/>
      <c r="C60" t="s">
        <v>260</v>
      </c>
      <c r="E60" s="105">
        <f>F60+G60</f>
        <v>181872286.03564537</v>
      </c>
      <c r="F60" s="65">
        <v>0</v>
      </c>
      <c r="G60" s="108">
        <f>H85</f>
        <v>181872286.03564537</v>
      </c>
      <c r="H60" s="13" t="str">
        <f>"Line "&amp;A85&amp;", C4"</f>
        <v>Line 38, C4</v>
      </c>
    </row>
    <row r="61" spans="1:8" x14ac:dyDescent="0.2">
      <c r="A61" s="2">
        <f>A60+1</f>
        <v>20</v>
      </c>
      <c r="B61" s="1"/>
      <c r="C61" t="s">
        <v>261</v>
      </c>
      <c r="E61" s="105">
        <f>F61+G61</f>
        <v>1177058495.8457389</v>
      </c>
      <c r="F61" s="65">
        <f>F26</f>
        <v>797729307.10367155</v>
      </c>
      <c r="G61" s="108">
        <f>F85</f>
        <v>379329188.74206746</v>
      </c>
      <c r="H61" s="13" t="str">
        <f>"Line "&amp;A26&amp;", C2, and Line "&amp;A85&amp;", C2"</f>
        <v>Line 1, C2, and Line 38, C2</v>
      </c>
    </row>
    <row r="62" spans="1:8" x14ac:dyDescent="0.2">
      <c r="A62" s="2">
        <f>A61+1</f>
        <v>21</v>
      </c>
      <c r="B62" s="1"/>
      <c r="C62" s="12" t="s">
        <v>612</v>
      </c>
      <c r="E62" s="105">
        <f>F62+G62</f>
        <v>75061661.378607213</v>
      </c>
      <c r="F62" s="65">
        <f>F27</f>
        <v>75044895.089562342</v>
      </c>
      <c r="G62" s="108">
        <f>G85</f>
        <v>16766.289044878205</v>
      </c>
      <c r="H62" s="13" t="str">
        <f>"Line "&amp;A27&amp;", C2, and Line "&amp;A85&amp;", C3"</f>
        <v>Line 2, C2, and Line 38, C3</v>
      </c>
    </row>
    <row r="63" spans="1:8" x14ac:dyDescent="0.2">
      <c r="A63" s="2">
        <f>A62+1</f>
        <v>22</v>
      </c>
      <c r="B63" s="1"/>
      <c r="C63" s="757" t="s">
        <v>574</v>
      </c>
      <c r="E63" s="98" t="s">
        <v>86</v>
      </c>
      <c r="F63" s="98" t="s">
        <v>86</v>
      </c>
      <c r="G63" s="98" t="s">
        <v>86</v>
      </c>
      <c r="H63" s="757" t="s">
        <v>574</v>
      </c>
    </row>
    <row r="64" spans="1:8" x14ac:dyDescent="0.2">
      <c r="A64" s="2">
        <f>A63+1</f>
        <v>23</v>
      </c>
      <c r="B64" s="1"/>
      <c r="C64" s="193"/>
      <c r="E64" s="98"/>
      <c r="F64" s="98"/>
      <c r="G64" s="98"/>
      <c r="H64" s="13"/>
    </row>
    <row r="65" spans="1:11" x14ac:dyDescent="0.2">
      <c r="A65" s="2">
        <f>A64+1</f>
        <v>24</v>
      </c>
      <c r="B65" s="1"/>
      <c r="D65" s="624" t="s">
        <v>2153</v>
      </c>
      <c r="E65" s="7">
        <f>SUM(E60:E62)</f>
        <v>1433992443.2599916</v>
      </c>
      <c r="H65" s="790" t="s">
        <v>2155</v>
      </c>
    </row>
    <row r="66" spans="1:11" x14ac:dyDescent="0.2">
      <c r="A66" s="737"/>
      <c r="B66" s="1"/>
      <c r="D66" s="96"/>
      <c r="E66" s="7"/>
    </row>
    <row r="67" spans="1:11" x14ac:dyDescent="0.2">
      <c r="C67" s="1" t="s">
        <v>1113</v>
      </c>
    </row>
    <row r="68" spans="1:11" x14ac:dyDescent="0.2">
      <c r="E68" s="86" t="s">
        <v>403</v>
      </c>
      <c r="F68" s="86" t="s">
        <v>387</v>
      </c>
      <c r="G68" s="86" t="s">
        <v>388</v>
      </c>
      <c r="H68" s="86" t="s">
        <v>389</v>
      </c>
      <c r="I68" s="86" t="s">
        <v>390</v>
      </c>
      <c r="J68" s="86"/>
    </row>
    <row r="69" spans="1:11" x14ac:dyDescent="0.2">
      <c r="C69" s="2" t="s">
        <v>600</v>
      </c>
      <c r="E69" s="2" t="s">
        <v>603</v>
      </c>
      <c r="F69" s="1016" t="str">
        <f>"L "&amp;A117&amp;" to L "&amp;A129&amp;", C3"</f>
        <v>L 53 to L 65, C3</v>
      </c>
      <c r="G69" s="1016" t="str">
        <f>"L "&amp;A157&amp;" to L "&amp;A169&amp;", C3"</f>
        <v>L 79 to L 91, C3</v>
      </c>
      <c r="H69" s="1016" t="str">
        <f>"L "&amp;A137&amp;" to L "&amp;A149&amp;", C3"</f>
        <v>L 66 to L 78, C3</v>
      </c>
      <c r="I69" s="99"/>
      <c r="K69" s="2"/>
    </row>
    <row r="70" spans="1:11" x14ac:dyDescent="0.2">
      <c r="C70" s="2" t="s">
        <v>221</v>
      </c>
      <c r="E70" s="2" t="s">
        <v>604</v>
      </c>
      <c r="F70" s="14"/>
      <c r="G70" s="115" t="s">
        <v>383</v>
      </c>
      <c r="H70" s="115" t="s">
        <v>601</v>
      </c>
      <c r="I70" s="194"/>
      <c r="J70" s="380"/>
      <c r="K70" s="2"/>
    </row>
    <row r="71" spans="1:11" x14ac:dyDescent="0.2">
      <c r="A71" s="53"/>
      <c r="C71" s="25" t="s">
        <v>220</v>
      </c>
      <c r="D71" s="25" t="s">
        <v>221</v>
      </c>
      <c r="E71" s="3" t="s">
        <v>3</v>
      </c>
      <c r="F71" s="129" t="s">
        <v>258</v>
      </c>
      <c r="G71" s="129" t="s">
        <v>384</v>
      </c>
      <c r="H71" s="129" t="s">
        <v>602</v>
      </c>
      <c r="I71" s="195"/>
      <c r="J71" s="3" t="s">
        <v>196</v>
      </c>
    </row>
    <row r="72" spans="1:11" x14ac:dyDescent="0.2">
      <c r="A72" s="2">
        <f>A65+1</f>
        <v>25</v>
      </c>
      <c r="C72" s="20" t="s">
        <v>208</v>
      </c>
      <c r="D72" s="893">
        <v>2010</v>
      </c>
      <c r="E72" s="61">
        <f>SUM(F72:H72)</f>
        <v>556387009.51372576</v>
      </c>
      <c r="F72" s="1070">
        <f>G117</f>
        <v>372376781.11832535</v>
      </c>
      <c r="G72" s="1070">
        <f>G157</f>
        <v>48738.172323583334</v>
      </c>
      <c r="H72" s="1070">
        <f>G137</f>
        <v>183961490.22307685</v>
      </c>
      <c r="I72" s="380" t="s">
        <v>86</v>
      </c>
      <c r="J72" s="52" t="s">
        <v>1117</v>
      </c>
    </row>
    <row r="73" spans="1:11" x14ac:dyDescent="0.2">
      <c r="A73" s="2">
        <f>A72+1</f>
        <v>26</v>
      </c>
      <c r="C73" s="20" t="s">
        <v>209</v>
      </c>
      <c r="D73" s="893">
        <v>2011</v>
      </c>
      <c r="E73" s="61">
        <f t="shared" ref="E73:E84" si="1">SUM(F73:H73)</f>
        <v>555385437.46421003</v>
      </c>
      <c r="F73" s="1070">
        <f t="shared" ref="F73:F84" si="2">G118</f>
        <v>371780400.56141573</v>
      </c>
      <c r="G73" s="1070">
        <f t="shared" ref="G73:G84" si="3">G158</f>
        <v>53642.333800166663</v>
      </c>
      <c r="H73" s="1070">
        <f t="shared" ref="H73:H84" si="4">G138</f>
        <v>183551394.5689941</v>
      </c>
      <c r="I73" s="380" t="s">
        <v>86</v>
      </c>
      <c r="J73" s="13" t="s">
        <v>1116</v>
      </c>
    </row>
    <row r="74" spans="1:11" x14ac:dyDescent="0.2">
      <c r="A74" s="2">
        <f t="shared" ref="A74:A85" si="5">A73+1</f>
        <v>27</v>
      </c>
      <c r="C74" s="21" t="s">
        <v>210</v>
      </c>
      <c r="D74" s="893">
        <v>2011</v>
      </c>
      <c r="E74" s="61">
        <f t="shared" si="1"/>
        <v>555929430.63289571</v>
      </c>
      <c r="F74" s="1070">
        <f t="shared" si="2"/>
        <v>371274009.41640633</v>
      </c>
      <c r="G74" s="1070">
        <f t="shared" si="3"/>
        <v>58349.562497416664</v>
      </c>
      <c r="H74" s="1070">
        <f t="shared" si="4"/>
        <v>184597071.65399191</v>
      </c>
      <c r="I74" s="380" t="s">
        <v>86</v>
      </c>
      <c r="J74" s="380" t="s">
        <v>1115</v>
      </c>
      <c r="K74" s="2"/>
    </row>
    <row r="75" spans="1:11" x14ac:dyDescent="0.2">
      <c r="A75" s="2">
        <f t="shared" si="5"/>
        <v>28</v>
      </c>
      <c r="C75" s="21" t="s">
        <v>223</v>
      </c>
      <c r="D75" s="893">
        <v>2011</v>
      </c>
      <c r="E75" s="61">
        <f t="shared" si="1"/>
        <v>553757409.19066596</v>
      </c>
      <c r="F75" s="1070">
        <f t="shared" si="2"/>
        <v>369557164.98594809</v>
      </c>
      <c r="G75" s="1070">
        <f t="shared" si="3"/>
        <v>58354.034493499996</v>
      </c>
      <c r="H75" s="1070">
        <f t="shared" si="4"/>
        <v>184141890.17022437</v>
      </c>
      <c r="I75" s="380" t="s">
        <v>86</v>
      </c>
      <c r="J75" s="380"/>
      <c r="K75" s="2"/>
    </row>
    <row r="76" spans="1:11" x14ac:dyDescent="0.2">
      <c r="A76" s="2">
        <f t="shared" si="5"/>
        <v>29</v>
      </c>
      <c r="C76" s="20" t="s">
        <v>211</v>
      </c>
      <c r="D76" s="893">
        <v>2011</v>
      </c>
      <c r="E76" s="61">
        <f t="shared" si="1"/>
        <v>551232861.1732688</v>
      </c>
      <c r="F76" s="1070">
        <f t="shared" si="2"/>
        <v>368712278.88096911</v>
      </c>
      <c r="G76" s="1070">
        <f t="shared" si="3"/>
        <v>-1122.3455312500002</v>
      </c>
      <c r="H76" s="1070">
        <f t="shared" si="4"/>
        <v>182521704.63783091</v>
      </c>
      <c r="I76" s="380" t="s">
        <v>86</v>
      </c>
      <c r="J76" s="380"/>
      <c r="K76" s="2"/>
    </row>
    <row r="77" spans="1:11" x14ac:dyDescent="0.2">
      <c r="A77" s="2">
        <f t="shared" si="5"/>
        <v>30</v>
      </c>
      <c r="C77" s="21" t="s">
        <v>212</v>
      </c>
      <c r="D77" s="893">
        <v>2011</v>
      </c>
      <c r="E77" s="61">
        <f t="shared" si="1"/>
        <v>549969019.45116353</v>
      </c>
      <c r="F77" s="1070">
        <f t="shared" si="2"/>
        <v>367813277.19972116</v>
      </c>
      <c r="G77" s="1070">
        <f t="shared" si="3"/>
        <v>0</v>
      </c>
      <c r="H77" s="1070">
        <f t="shared" si="4"/>
        <v>182155742.25144231</v>
      </c>
      <c r="I77" s="380" t="s">
        <v>86</v>
      </c>
      <c r="J77" s="380"/>
      <c r="K77" s="2"/>
    </row>
    <row r="78" spans="1:11" x14ac:dyDescent="0.2">
      <c r="A78" s="2">
        <f t="shared" si="5"/>
        <v>31</v>
      </c>
      <c r="C78" s="21" t="s">
        <v>213</v>
      </c>
      <c r="D78" s="893">
        <v>2011</v>
      </c>
      <c r="E78" s="61">
        <f t="shared" si="1"/>
        <v>573378526.03776765</v>
      </c>
      <c r="F78" s="1070">
        <f t="shared" si="2"/>
        <v>391639342.07442075</v>
      </c>
      <c r="G78" s="1070">
        <f t="shared" si="3"/>
        <v>0</v>
      </c>
      <c r="H78" s="1070">
        <f t="shared" si="4"/>
        <v>181739183.96334687</v>
      </c>
      <c r="I78" s="380" t="s">
        <v>86</v>
      </c>
      <c r="J78" s="380"/>
      <c r="K78" s="2"/>
    </row>
    <row r="79" spans="1:11" x14ac:dyDescent="0.2">
      <c r="A79" s="2">
        <f t="shared" si="5"/>
        <v>32</v>
      </c>
      <c r="C79" s="20" t="s">
        <v>214</v>
      </c>
      <c r="D79" s="893">
        <v>2011</v>
      </c>
      <c r="E79" s="61">
        <f t="shared" si="1"/>
        <v>567630718.01501358</v>
      </c>
      <c r="F79" s="1070">
        <f t="shared" si="2"/>
        <v>386308000.30475628</v>
      </c>
      <c r="G79" s="1070">
        <f t="shared" si="3"/>
        <v>0</v>
      </c>
      <c r="H79" s="1070">
        <f t="shared" si="4"/>
        <v>181322717.71025732</v>
      </c>
      <c r="I79" s="380" t="s">
        <v>86</v>
      </c>
      <c r="J79" s="380"/>
      <c r="K79" s="85"/>
    </row>
    <row r="80" spans="1:11" x14ac:dyDescent="0.2">
      <c r="A80" s="2">
        <f t="shared" si="5"/>
        <v>33</v>
      </c>
      <c r="C80" s="21" t="s">
        <v>215</v>
      </c>
      <c r="D80" s="893">
        <v>2011</v>
      </c>
      <c r="E80" s="61">
        <f t="shared" si="1"/>
        <v>566631164.34133291</v>
      </c>
      <c r="F80" s="1070">
        <f t="shared" si="2"/>
        <v>385725723.2341404</v>
      </c>
      <c r="G80" s="1070">
        <f t="shared" si="3"/>
        <v>0</v>
      </c>
      <c r="H80" s="1070">
        <f t="shared" si="4"/>
        <v>180905441.10719252</v>
      </c>
      <c r="I80" s="380" t="s">
        <v>86</v>
      </c>
      <c r="J80" s="380"/>
      <c r="K80" s="2"/>
    </row>
    <row r="81" spans="1:11" x14ac:dyDescent="0.2">
      <c r="A81" s="2">
        <f t="shared" si="5"/>
        <v>34</v>
      </c>
      <c r="C81" s="21" t="s">
        <v>216</v>
      </c>
      <c r="D81" s="893">
        <v>2011</v>
      </c>
      <c r="E81" s="61">
        <f t="shared" si="1"/>
        <v>565692931.57129133</v>
      </c>
      <c r="F81" s="1070">
        <f t="shared" si="2"/>
        <v>385205358.68927258</v>
      </c>
      <c r="G81" s="1070">
        <f t="shared" si="3"/>
        <v>0</v>
      </c>
      <c r="H81" s="1070">
        <f t="shared" si="4"/>
        <v>180487572.88201877</v>
      </c>
      <c r="I81" s="380" t="s">
        <v>86</v>
      </c>
      <c r="J81" s="380"/>
      <c r="K81" s="2"/>
    </row>
    <row r="82" spans="1:11" x14ac:dyDescent="0.2">
      <c r="A82" s="2">
        <f t="shared" si="5"/>
        <v>35</v>
      </c>
      <c r="C82" s="20" t="s">
        <v>217</v>
      </c>
      <c r="D82" s="893">
        <v>2011</v>
      </c>
      <c r="E82" s="61">
        <f t="shared" si="1"/>
        <v>564559809.11104059</v>
      </c>
      <c r="F82" s="1070">
        <f t="shared" si="2"/>
        <v>384490104.45419562</v>
      </c>
      <c r="G82" s="1070">
        <f t="shared" si="3"/>
        <v>0</v>
      </c>
      <c r="H82" s="1070">
        <f t="shared" si="4"/>
        <v>180069704.65684503</v>
      </c>
      <c r="I82" s="380" t="s">
        <v>86</v>
      </c>
      <c r="J82" s="380"/>
      <c r="K82" s="2"/>
    </row>
    <row r="83" spans="1:11" x14ac:dyDescent="0.2">
      <c r="A83" s="2">
        <f t="shared" si="5"/>
        <v>36</v>
      </c>
      <c r="C83" s="20" t="s">
        <v>218</v>
      </c>
      <c r="D83" s="893">
        <v>2011</v>
      </c>
      <c r="E83" s="61">
        <f t="shared" si="1"/>
        <v>568008287.55390716</v>
      </c>
      <c r="F83" s="1070">
        <f t="shared" si="2"/>
        <v>388356451.12223583</v>
      </c>
      <c r="G83" s="1070">
        <f t="shared" si="3"/>
        <v>0</v>
      </c>
      <c r="H83" s="1070">
        <f t="shared" si="4"/>
        <v>179651836.43167129</v>
      </c>
      <c r="I83" s="380" t="s">
        <v>86</v>
      </c>
      <c r="J83" s="380"/>
      <c r="K83" s="2"/>
    </row>
    <row r="84" spans="1:11" x14ac:dyDescent="0.2">
      <c r="A84" s="2">
        <f t="shared" si="5"/>
        <v>37</v>
      </c>
      <c r="C84" s="20" t="s">
        <v>208</v>
      </c>
      <c r="D84" s="893">
        <v>2011</v>
      </c>
      <c r="E84" s="60">
        <f t="shared" si="1"/>
        <v>567274529.81156766</v>
      </c>
      <c r="F84" s="382">
        <f t="shared" si="2"/>
        <v>388040561.60507011</v>
      </c>
      <c r="G84" s="382">
        <f t="shared" si="3"/>
        <v>0</v>
      </c>
      <c r="H84" s="382">
        <f t="shared" si="4"/>
        <v>179233968.20649755</v>
      </c>
      <c r="I84" s="380" t="s">
        <v>86</v>
      </c>
      <c r="J84" s="380"/>
      <c r="K84" s="2"/>
    </row>
    <row r="85" spans="1:11" x14ac:dyDescent="0.2">
      <c r="A85" s="2">
        <f t="shared" si="5"/>
        <v>38</v>
      </c>
      <c r="C85" s="20"/>
      <c r="D85" s="197" t="s">
        <v>608</v>
      </c>
      <c r="E85" s="109">
        <f>SUM(E72:E84)/13</f>
        <v>561218241.06675768</v>
      </c>
      <c r="F85" s="109">
        <f>SUM(F72:F84)/13</f>
        <v>379329188.74206746</v>
      </c>
      <c r="G85" s="109">
        <f>SUM(G72:G84)/13</f>
        <v>16766.289044878205</v>
      </c>
      <c r="H85" s="109">
        <f>SUM(H72:H84)/13</f>
        <v>181872286.03564537</v>
      </c>
      <c r="I85" s="1"/>
      <c r="J85" s="1"/>
      <c r="K85" s="2"/>
    </row>
    <row r="87" spans="1:11" x14ac:dyDescent="0.2">
      <c r="A87" s="737"/>
      <c r="C87" s="738" t="s">
        <v>1999</v>
      </c>
      <c r="D87" s="739"/>
      <c r="E87" s="740"/>
      <c r="F87" s="740"/>
      <c r="G87" s="740"/>
      <c r="H87" s="740"/>
      <c r="I87" s="1"/>
      <c r="J87" s="1"/>
    </row>
    <row r="88" spans="1:11" x14ac:dyDescent="0.2">
      <c r="A88" s="737"/>
      <c r="C88" s="738"/>
      <c r="D88" s="739"/>
      <c r="E88" s="86" t="s">
        <v>403</v>
      </c>
      <c r="F88" s="86" t="s">
        <v>387</v>
      </c>
      <c r="G88" s="86" t="s">
        <v>388</v>
      </c>
      <c r="H88" s="740"/>
      <c r="I88" s="1"/>
      <c r="J88" s="1"/>
    </row>
    <row r="89" spans="1:11" x14ac:dyDescent="0.2">
      <c r="A89" s="737"/>
      <c r="C89" s="716"/>
      <c r="D89" s="739"/>
      <c r="G89" s="642" t="s">
        <v>2150</v>
      </c>
      <c r="H89" s="740"/>
      <c r="I89" s="1"/>
      <c r="J89" s="1"/>
    </row>
    <row r="90" spans="1:11" x14ac:dyDescent="0.2">
      <c r="A90" s="737"/>
      <c r="C90" s="716"/>
      <c r="D90" s="739"/>
      <c r="E90" s="377" t="s">
        <v>491</v>
      </c>
      <c r="F90" s="740"/>
      <c r="G90" s="741" t="s">
        <v>2000</v>
      </c>
      <c r="H90" s="740"/>
      <c r="I90" s="1"/>
      <c r="J90" s="1"/>
    </row>
    <row r="91" spans="1:11" x14ac:dyDescent="0.2">
      <c r="A91" s="737"/>
      <c r="C91" s="737" t="s">
        <v>600</v>
      </c>
      <c r="E91" s="377" t="s">
        <v>2001</v>
      </c>
      <c r="F91" s="377" t="s">
        <v>111</v>
      </c>
      <c r="G91" s="377" t="s">
        <v>2001</v>
      </c>
      <c r="H91" s="740"/>
      <c r="I91" s="1"/>
      <c r="J91" s="1"/>
    </row>
    <row r="92" spans="1:11" x14ac:dyDescent="0.2">
      <c r="A92" s="737"/>
      <c r="C92" s="737" t="s">
        <v>221</v>
      </c>
      <c r="E92" s="377" t="s">
        <v>8</v>
      </c>
      <c r="F92" s="4" t="s">
        <v>2002</v>
      </c>
      <c r="G92" s="377" t="s">
        <v>8</v>
      </c>
      <c r="H92" s="740"/>
      <c r="I92" s="1"/>
      <c r="J92" s="1"/>
    </row>
    <row r="93" spans="1:11" x14ac:dyDescent="0.2">
      <c r="A93" s="737"/>
      <c r="C93" s="25" t="s">
        <v>220</v>
      </c>
      <c r="D93" s="25" t="s">
        <v>221</v>
      </c>
      <c r="E93" s="378" t="s">
        <v>2003</v>
      </c>
      <c r="F93" s="3" t="s">
        <v>2004</v>
      </c>
      <c r="G93" s="378" t="s">
        <v>2003</v>
      </c>
      <c r="H93" s="378" t="s">
        <v>2005</v>
      </c>
      <c r="I93" s="1"/>
      <c r="J93" s="1"/>
    </row>
    <row r="94" spans="1:11" ht="12.75" customHeight="1" x14ac:dyDescent="0.2">
      <c r="A94" s="737">
        <f>A85+1</f>
        <v>39</v>
      </c>
      <c r="C94" s="716" t="s">
        <v>208</v>
      </c>
      <c r="D94" s="893">
        <v>2010</v>
      </c>
      <c r="E94" s="7">
        <f t="shared" ref="E94:E106" si="6">H117+H137+H157+H176+H195+H214+H233+H252+H271+H290</f>
        <v>0</v>
      </c>
      <c r="F94" s="742">
        <v>0</v>
      </c>
      <c r="G94" s="740">
        <f>E94-F94</f>
        <v>0</v>
      </c>
      <c r="H94" s="746" t="s">
        <v>2019</v>
      </c>
      <c r="I94" s="1"/>
      <c r="J94" s="7"/>
    </row>
    <row r="95" spans="1:11" x14ac:dyDescent="0.2">
      <c r="A95" s="737">
        <f>A94+1</f>
        <v>40</v>
      </c>
      <c r="C95" s="716" t="s">
        <v>209</v>
      </c>
      <c r="D95" s="893">
        <v>2011</v>
      </c>
      <c r="E95" s="7">
        <f t="shared" si="6"/>
        <v>268642.25000008108</v>
      </c>
      <c r="F95" s="742">
        <v>0</v>
      </c>
      <c r="G95" s="740">
        <f t="shared" ref="G95:G106" si="7">E95-F95</f>
        <v>268642.25000008108</v>
      </c>
      <c r="H95" s="746" t="s">
        <v>2018</v>
      </c>
      <c r="I95" s="76"/>
      <c r="J95" s="7"/>
    </row>
    <row r="96" spans="1:11" x14ac:dyDescent="0.2">
      <c r="A96" s="737">
        <f t="shared" ref="A96:A107" si="8">A95+1</f>
        <v>41</v>
      </c>
      <c r="C96" s="714" t="s">
        <v>210</v>
      </c>
      <c r="D96" s="893">
        <v>2011</v>
      </c>
      <c r="E96" s="7">
        <f t="shared" si="6"/>
        <v>1862338.4199998688</v>
      </c>
      <c r="F96" s="742">
        <v>0</v>
      </c>
      <c r="G96" s="740">
        <f t="shared" si="7"/>
        <v>1862338.4199998688</v>
      </c>
      <c r="H96" s="746"/>
      <c r="I96" s="76"/>
      <c r="J96" s="7"/>
    </row>
    <row r="97" spans="1:10" x14ac:dyDescent="0.2">
      <c r="A97" s="737">
        <f t="shared" si="8"/>
        <v>42</v>
      </c>
      <c r="C97" s="714" t="s">
        <v>223</v>
      </c>
      <c r="D97" s="893">
        <v>2011</v>
      </c>
      <c r="E97" s="7">
        <f t="shared" si="6"/>
        <v>-852298.67000001669</v>
      </c>
      <c r="F97" s="742">
        <v>0</v>
      </c>
      <c r="G97" s="740">
        <f t="shared" si="7"/>
        <v>-852298.67000001669</v>
      </c>
      <c r="H97" s="740"/>
      <c r="I97" s="76"/>
      <c r="J97" s="7"/>
    </row>
    <row r="98" spans="1:10" x14ac:dyDescent="0.2">
      <c r="A98" s="737">
        <f t="shared" si="8"/>
        <v>43</v>
      </c>
      <c r="C98" s="716" t="s">
        <v>211</v>
      </c>
      <c r="D98" s="893">
        <v>2011</v>
      </c>
      <c r="E98" s="7">
        <f t="shared" si="6"/>
        <v>-1206830.3999999142</v>
      </c>
      <c r="F98" s="742">
        <v>0</v>
      </c>
      <c r="G98" s="740">
        <f t="shared" si="7"/>
        <v>-1206830.3999999142</v>
      </c>
      <c r="H98" s="740"/>
      <c r="I98" s="76"/>
      <c r="J98" s="7"/>
    </row>
    <row r="99" spans="1:10" x14ac:dyDescent="0.2">
      <c r="A99" s="737">
        <f t="shared" si="8"/>
        <v>44</v>
      </c>
      <c r="C99" s="714" t="s">
        <v>212</v>
      </c>
      <c r="D99" s="893">
        <v>2011</v>
      </c>
      <c r="E99" s="7">
        <f t="shared" si="6"/>
        <v>50023.679999947548</v>
      </c>
      <c r="F99" s="742">
        <v>0</v>
      </c>
      <c r="G99" s="740">
        <f t="shared" si="7"/>
        <v>50023.679999947548</v>
      </c>
      <c r="H99" s="740"/>
      <c r="I99" s="76"/>
      <c r="J99" s="7"/>
    </row>
    <row r="100" spans="1:10" x14ac:dyDescent="0.2">
      <c r="A100" s="737">
        <f t="shared" si="8"/>
        <v>45</v>
      </c>
      <c r="C100" s="714" t="s">
        <v>213</v>
      </c>
      <c r="D100" s="893">
        <v>2011</v>
      </c>
      <c r="E100" s="7">
        <f t="shared" si="6"/>
        <v>24724603.839999974</v>
      </c>
      <c r="F100" s="742">
        <v>0</v>
      </c>
      <c r="G100" s="740">
        <f t="shared" si="7"/>
        <v>24724603.839999974</v>
      </c>
      <c r="H100" s="740"/>
      <c r="I100" s="76"/>
      <c r="J100" s="7"/>
    </row>
    <row r="101" spans="1:10" x14ac:dyDescent="0.2">
      <c r="A101" s="737">
        <f t="shared" si="8"/>
        <v>46</v>
      </c>
      <c r="C101" s="716" t="s">
        <v>214</v>
      </c>
      <c r="D101" s="893">
        <v>2011</v>
      </c>
      <c r="E101" s="7">
        <f t="shared" si="6"/>
        <v>-4371305.6799999177</v>
      </c>
      <c r="F101" s="742">
        <v>0</v>
      </c>
      <c r="G101" s="740">
        <f t="shared" si="7"/>
        <v>-4371305.6799999177</v>
      </c>
      <c r="H101" s="740"/>
      <c r="I101" s="76"/>
      <c r="J101" s="7"/>
    </row>
    <row r="102" spans="1:10" x14ac:dyDescent="0.2">
      <c r="A102" s="737">
        <f t="shared" si="8"/>
        <v>47</v>
      </c>
      <c r="C102" s="714" t="s">
        <v>215</v>
      </c>
      <c r="D102" s="893">
        <v>2011</v>
      </c>
      <c r="E102" s="7">
        <f t="shared" si="6"/>
        <v>367219.87999999523</v>
      </c>
      <c r="F102" s="742">
        <v>0</v>
      </c>
      <c r="G102" s="740">
        <f t="shared" si="7"/>
        <v>367219.87999999523</v>
      </c>
      <c r="H102" s="740"/>
      <c r="I102" s="76"/>
      <c r="J102" s="7"/>
    </row>
    <row r="103" spans="1:10" x14ac:dyDescent="0.2">
      <c r="A103" s="737">
        <f t="shared" si="8"/>
        <v>48</v>
      </c>
      <c r="C103" s="714" t="s">
        <v>216</v>
      </c>
      <c r="D103" s="893">
        <v>2011</v>
      </c>
      <c r="E103" s="7">
        <f t="shared" si="6"/>
        <v>430087.61000001431</v>
      </c>
      <c r="F103" s="742">
        <v>0</v>
      </c>
      <c r="G103" s="740">
        <f t="shared" si="7"/>
        <v>430087.61000001431</v>
      </c>
      <c r="H103" s="740"/>
      <c r="I103" s="76"/>
      <c r="J103" s="7"/>
    </row>
    <row r="104" spans="1:10" x14ac:dyDescent="0.2">
      <c r="A104" s="737">
        <f t="shared" si="8"/>
        <v>49</v>
      </c>
      <c r="C104" s="716" t="s">
        <v>217</v>
      </c>
      <c r="D104" s="893">
        <v>2011</v>
      </c>
      <c r="E104" s="7">
        <f t="shared" si="6"/>
        <v>127886.21999996901</v>
      </c>
      <c r="F104" s="742">
        <v>0</v>
      </c>
      <c r="G104" s="740">
        <f t="shared" si="7"/>
        <v>127886.21999996901</v>
      </c>
      <c r="H104" s="740"/>
      <c r="I104" s="76"/>
      <c r="J104" s="7"/>
    </row>
    <row r="105" spans="1:10" x14ac:dyDescent="0.2">
      <c r="A105" s="737">
        <f t="shared" si="8"/>
        <v>50</v>
      </c>
      <c r="C105" s="716" t="s">
        <v>218</v>
      </c>
      <c r="D105" s="893">
        <v>2011</v>
      </c>
      <c r="E105" s="7">
        <f t="shared" si="6"/>
        <v>4709811.7099999785</v>
      </c>
      <c r="F105" s="742">
        <v>0</v>
      </c>
      <c r="G105" s="740">
        <f t="shared" si="7"/>
        <v>4709811.7099999785</v>
      </c>
      <c r="H105" s="740"/>
      <c r="I105" s="76"/>
      <c r="J105" s="7"/>
    </row>
    <row r="106" spans="1:10" x14ac:dyDescent="0.2">
      <c r="A106" s="737">
        <f t="shared" si="8"/>
        <v>51</v>
      </c>
      <c r="C106" s="716" t="s">
        <v>208</v>
      </c>
      <c r="D106" s="893">
        <v>2011</v>
      </c>
      <c r="E106" s="93">
        <f t="shared" si="6"/>
        <v>538366.75999999046</v>
      </c>
      <c r="F106" s="475">
        <v>0</v>
      </c>
      <c r="G106" s="382">
        <f t="shared" si="7"/>
        <v>538366.75999999046</v>
      </c>
      <c r="H106" s="740"/>
      <c r="I106" s="76"/>
      <c r="J106" s="7"/>
    </row>
    <row r="107" spans="1:10" x14ac:dyDescent="0.2">
      <c r="A107" s="737">
        <f t="shared" si="8"/>
        <v>52</v>
      </c>
      <c r="C107" s="716" t="s">
        <v>224</v>
      </c>
      <c r="D107" s="727"/>
      <c r="E107" s="65">
        <f>SUM(E94:E106)</f>
        <v>26648545.619999971</v>
      </c>
      <c r="F107" s="65">
        <f t="shared" ref="F107:G107" si="9">SUM(F94:F106)</f>
        <v>0</v>
      </c>
      <c r="G107" s="65">
        <f t="shared" si="9"/>
        <v>26648545.619999971</v>
      </c>
      <c r="H107" s="740"/>
      <c r="I107" s="76"/>
      <c r="J107" s="1"/>
    </row>
    <row r="108" spans="1:10" x14ac:dyDescent="0.2">
      <c r="A108" s="737"/>
      <c r="C108" s="716"/>
      <c r="D108" s="727"/>
      <c r="E108" s="65"/>
      <c r="F108" s="740"/>
      <c r="G108" s="740"/>
      <c r="H108" s="740"/>
      <c r="I108" s="76"/>
      <c r="J108" s="1"/>
    </row>
    <row r="110" spans="1:10" x14ac:dyDescent="0.2">
      <c r="C110" s="196" t="s">
        <v>2006</v>
      </c>
    </row>
    <row r="112" spans="1:10" x14ac:dyDescent="0.2">
      <c r="C112" s="1" t="s">
        <v>2007</v>
      </c>
      <c r="E112" s="86" t="s">
        <v>403</v>
      </c>
      <c r="F112" s="86" t="s">
        <v>387</v>
      </c>
      <c r="G112" s="86" t="s">
        <v>388</v>
      </c>
      <c r="H112" s="86" t="s">
        <v>389</v>
      </c>
    </row>
    <row r="113" spans="1:9" x14ac:dyDescent="0.2">
      <c r="G113" s="642" t="s">
        <v>2150</v>
      </c>
      <c r="H113" s="642" t="s">
        <v>2151</v>
      </c>
    </row>
    <row r="114" spans="1:9" x14ac:dyDescent="0.2">
      <c r="C114" s="737" t="s">
        <v>600</v>
      </c>
      <c r="H114" s="627" t="s">
        <v>2152</v>
      </c>
    </row>
    <row r="115" spans="1:9" x14ac:dyDescent="0.2">
      <c r="C115" s="737" t="s">
        <v>221</v>
      </c>
      <c r="E115" s="737" t="s">
        <v>423</v>
      </c>
      <c r="F115" s="737" t="s">
        <v>2008</v>
      </c>
      <c r="G115" s="737" t="s">
        <v>1103</v>
      </c>
      <c r="H115" s="737" t="s">
        <v>1276</v>
      </c>
    </row>
    <row r="116" spans="1:9" x14ac:dyDescent="0.2">
      <c r="C116" s="25" t="s">
        <v>220</v>
      </c>
      <c r="D116" s="25" t="s">
        <v>221</v>
      </c>
      <c r="E116" s="3" t="s">
        <v>2009</v>
      </c>
      <c r="F116" s="3" t="s">
        <v>1225</v>
      </c>
      <c r="G116" s="3" t="s">
        <v>3</v>
      </c>
      <c r="H116" s="3" t="s">
        <v>2004</v>
      </c>
    </row>
    <row r="117" spans="1:9" x14ac:dyDescent="0.2">
      <c r="A117" s="737">
        <f>A107+1</f>
        <v>53</v>
      </c>
      <c r="C117" s="716" t="s">
        <v>208</v>
      </c>
      <c r="D117" s="893">
        <v>2010</v>
      </c>
      <c r="E117" s="111">
        <v>383067609.47000009</v>
      </c>
      <c r="F117" s="111">
        <v>10690828.351674752</v>
      </c>
      <c r="G117" s="7">
        <f t="shared" ref="G117:G129" si="10">E117-F117</f>
        <v>372376781.11832535</v>
      </c>
      <c r="H117" s="7">
        <f>E117-E117</f>
        <v>0</v>
      </c>
      <c r="I117" s="812"/>
    </row>
    <row r="118" spans="1:9" x14ac:dyDescent="0.2">
      <c r="A118" s="737">
        <f>A117+1</f>
        <v>54</v>
      </c>
      <c r="C118" s="716" t="s">
        <v>209</v>
      </c>
      <c r="D118" s="893">
        <v>2011</v>
      </c>
      <c r="E118" s="111">
        <v>383322276.97000015</v>
      </c>
      <c r="F118" s="111">
        <v>11541876.408584418</v>
      </c>
      <c r="G118" s="7">
        <f t="shared" si="10"/>
        <v>371780400.56141573</v>
      </c>
      <c r="H118" s="7">
        <f>E118-E117</f>
        <v>254667.5000000596</v>
      </c>
    </row>
    <row r="119" spans="1:9" x14ac:dyDescent="0.2">
      <c r="A119" s="737">
        <f t="shared" ref="A119:A129" si="11">A118+1</f>
        <v>55</v>
      </c>
      <c r="C119" s="714" t="s">
        <v>210</v>
      </c>
      <c r="D119" s="893">
        <v>2011</v>
      </c>
      <c r="E119" s="111">
        <v>383715034.37000006</v>
      </c>
      <c r="F119" s="111">
        <v>12441024.953593753</v>
      </c>
      <c r="G119" s="7">
        <f t="shared" si="10"/>
        <v>371274009.41640633</v>
      </c>
      <c r="H119" s="7">
        <f t="shared" ref="H119:H129" si="12">E119-E118</f>
        <v>392757.39999991655</v>
      </c>
    </row>
    <row r="120" spans="1:9" x14ac:dyDescent="0.2">
      <c r="A120" s="737">
        <f t="shared" si="11"/>
        <v>56</v>
      </c>
      <c r="C120" s="714" t="s">
        <v>223</v>
      </c>
      <c r="D120" s="893">
        <v>2011</v>
      </c>
      <c r="E120" s="111">
        <v>382898406.74000007</v>
      </c>
      <c r="F120" s="111">
        <v>13341241.754052004</v>
      </c>
      <c r="G120" s="7">
        <f t="shared" si="10"/>
        <v>369557164.98594809</v>
      </c>
      <c r="H120" s="7">
        <f t="shared" si="12"/>
        <v>-816627.62999999523</v>
      </c>
    </row>
    <row r="121" spans="1:9" x14ac:dyDescent="0.2">
      <c r="A121" s="737">
        <f t="shared" si="11"/>
        <v>57</v>
      </c>
      <c r="C121" s="716" t="s">
        <v>211</v>
      </c>
      <c r="D121" s="893">
        <v>2011</v>
      </c>
      <c r="E121" s="111">
        <v>382951808.57000011</v>
      </c>
      <c r="F121" s="111">
        <v>14239529.689031003</v>
      </c>
      <c r="G121" s="7">
        <f t="shared" si="10"/>
        <v>368712278.88096911</v>
      </c>
      <c r="H121" s="7">
        <f t="shared" si="12"/>
        <v>53401.830000042915</v>
      </c>
    </row>
    <row r="122" spans="1:9" x14ac:dyDescent="0.2">
      <c r="A122" s="737">
        <f t="shared" si="11"/>
        <v>58</v>
      </c>
      <c r="C122" s="714" t="s">
        <v>212</v>
      </c>
      <c r="D122" s="893">
        <v>2011</v>
      </c>
      <c r="E122" s="111">
        <v>382951212.6500001</v>
      </c>
      <c r="F122" s="111">
        <v>15137935.450278921</v>
      </c>
      <c r="G122" s="7">
        <f t="shared" si="10"/>
        <v>367813277.19972116</v>
      </c>
      <c r="H122" s="7">
        <f t="shared" si="12"/>
        <v>-595.9200000166893</v>
      </c>
    </row>
    <row r="123" spans="1:9" x14ac:dyDescent="0.2">
      <c r="A123" s="737">
        <f t="shared" si="11"/>
        <v>59</v>
      </c>
      <c r="C123" s="714" t="s">
        <v>213</v>
      </c>
      <c r="D123" s="893">
        <v>2011</v>
      </c>
      <c r="E123" s="111">
        <v>407675631.04000008</v>
      </c>
      <c r="F123" s="111">
        <v>16036288.965579337</v>
      </c>
      <c r="G123" s="7">
        <f t="shared" si="10"/>
        <v>391639342.07442075</v>
      </c>
      <c r="H123" s="7">
        <f t="shared" si="12"/>
        <v>24724418.389999986</v>
      </c>
    </row>
    <row r="124" spans="1:9" x14ac:dyDescent="0.2">
      <c r="A124" s="737">
        <f t="shared" si="11"/>
        <v>60</v>
      </c>
      <c r="C124" s="716" t="s">
        <v>214</v>
      </c>
      <c r="D124" s="893">
        <v>2011</v>
      </c>
      <c r="E124" s="111">
        <v>403304325.35000014</v>
      </c>
      <c r="F124" s="111">
        <v>16996325.045243837</v>
      </c>
      <c r="G124" s="7">
        <f t="shared" si="10"/>
        <v>386308000.30475628</v>
      </c>
      <c r="H124" s="7">
        <f t="shared" si="12"/>
        <v>-4371305.689999938</v>
      </c>
    </row>
    <row r="125" spans="1:9" x14ac:dyDescent="0.2">
      <c r="A125" s="737">
        <f t="shared" si="11"/>
        <v>61</v>
      </c>
      <c r="C125" s="714" t="s">
        <v>215</v>
      </c>
      <c r="D125" s="893">
        <v>2011</v>
      </c>
      <c r="E125" s="111">
        <v>403671545.23000014</v>
      </c>
      <c r="F125" s="111">
        <v>17945821.995859753</v>
      </c>
      <c r="G125" s="7">
        <f t="shared" si="10"/>
        <v>385725723.2341404</v>
      </c>
      <c r="H125" s="7">
        <f t="shared" si="12"/>
        <v>367219.87999999523</v>
      </c>
    </row>
    <row r="126" spans="1:9" x14ac:dyDescent="0.2">
      <c r="A126" s="737">
        <f t="shared" si="11"/>
        <v>62</v>
      </c>
      <c r="C126" s="714" t="s">
        <v>216</v>
      </c>
      <c r="D126" s="893">
        <v>2011</v>
      </c>
      <c r="E126" s="111">
        <v>404101632.84000015</v>
      </c>
      <c r="F126" s="111">
        <v>18896274.150727585</v>
      </c>
      <c r="G126" s="7">
        <f t="shared" si="10"/>
        <v>385205358.68927258</v>
      </c>
      <c r="H126" s="7">
        <f t="shared" si="12"/>
        <v>430087.61000001431</v>
      </c>
    </row>
    <row r="127" spans="1:9" x14ac:dyDescent="0.2">
      <c r="A127" s="737">
        <f t="shared" si="11"/>
        <v>63</v>
      </c>
      <c r="C127" s="716" t="s">
        <v>217</v>
      </c>
      <c r="D127" s="893">
        <v>2011</v>
      </c>
      <c r="E127" s="111">
        <v>404229519.06000012</v>
      </c>
      <c r="F127" s="111">
        <v>19739414.605804503</v>
      </c>
      <c r="G127" s="7">
        <f t="shared" si="10"/>
        <v>384490104.45419562</v>
      </c>
      <c r="H127" s="7">
        <f t="shared" si="12"/>
        <v>127886.21999996901</v>
      </c>
    </row>
    <row r="128" spans="1:9" x14ac:dyDescent="0.2">
      <c r="A128" s="737">
        <f t="shared" si="11"/>
        <v>64</v>
      </c>
      <c r="C128" s="716" t="s">
        <v>218</v>
      </c>
      <c r="D128" s="893">
        <v>2011</v>
      </c>
      <c r="E128" s="111">
        <v>408939330.7700001</v>
      </c>
      <c r="F128" s="111">
        <v>20582879.647764254</v>
      </c>
      <c r="G128" s="7">
        <f t="shared" si="10"/>
        <v>388356451.12223583</v>
      </c>
      <c r="H128" s="7">
        <f t="shared" si="12"/>
        <v>4709811.7099999785</v>
      </c>
    </row>
    <row r="129" spans="1:8" x14ac:dyDescent="0.2">
      <c r="A129" s="737">
        <f t="shared" si="11"/>
        <v>65</v>
      </c>
      <c r="C129" s="716" t="s">
        <v>208</v>
      </c>
      <c r="D129" s="893">
        <v>2011</v>
      </c>
      <c r="E129" s="111">
        <v>409477697.53000009</v>
      </c>
      <c r="F129" s="111">
        <v>21437135.924930003</v>
      </c>
      <c r="G129" s="7">
        <f t="shared" si="10"/>
        <v>388040561.60507011</v>
      </c>
      <c r="H129" s="7">
        <f t="shared" si="12"/>
        <v>538366.75999999046</v>
      </c>
    </row>
    <row r="130" spans="1:8" x14ac:dyDescent="0.2">
      <c r="A130" s="737"/>
      <c r="C130" s="716"/>
      <c r="D130" s="727"/>
    </row>
    <row r="132" spans="1:8" x14ac:dyDescent="0.2">
      <c r="C132" s="196" t="s">
        <v>2010</v>
      </c>
      <c r="E132" s="86" t="s">
        <v>403</v>
      </c>
      <c r="F132" s="86" t="s">
        <v>387</v>
      </c>
      <c r="G132" s="86" t="s">
        <v>388</v>
      </c>
      <c r="H132" s="86" t="s">
        <v>389</v>
      </c>
    </row>
    <row r="133" spans="1:8" x14ac:dyDescent="0.2">
      <c r="G133" s="642" t="s">
        <v>2150</v>
      </c>
      <c r="H133" s="642" t="s">
        <v>2151</v>
      </c>
    </row>
    <row r="134" spans="1:8" x14ac:dyDescent="0.2">
      <c r="C134" s="737" t="s">
        <v>600</v>
      </c>
      <c r="H134" s="627" t="s">
        <v>2152</v>
      </c>
    </row>
    <row r="135" spans="1:8" x14ac:dyDescent="0.2">
      <c r="C135" s="737" t="s">
        <v>221</v>
      </c>
      <c r="E135" s="737" t="s">
        <v>423</v>
      </c>
      <c r="F135" s="737" t="s">
        <v>2008</v>
      </c>
      <c r="G135" s="737" t="s">
        <v>1103</v>
      </c>
      <c r="H135" s="737" t="s">
        <v>1276</v>
      </c>
    </row>
    <row r="136" spans="1:8" x14ac:dyDescent="0.2">
      <c r="C136" s="25" t="s">
        <v>220</v>
      </c>
      <c r="D136" s="25" t="s">
        <v>221</v>
      </c>
      <c r="E136" s="3" t="s">
        <v>2009</v>
      </c>
      <c r="F136" s="3" t="s">
        <v>1225</v>
      </c>
      <c r="G136" s="3" t="s">
        <v>3</v>
      </c>
      <c r="H136" s="3" t="s">
        <v>2004</v>
      </c>
    </row>
    <row r="137" spans="1:8" x14ac:dyDescent="0.2">
      <c r="A137" s="737">
        <f>A129+1</f>
        <v>66</v>
      </c>
      <c r="C137" s="716" t="s">
        <v>208</v>
      </c>
      <c r="D137" s="893">
        <v>2010</v>
      </c>
      <c r="E137" s="111">
        <v>191744013.24000001</v>
      </c>
      <c r="F137" s="111">
        <v>7782523.0169231677</v>
      </c>
      <c r="G137" s="7">
        <f>E137-F137</f>
        <v>183961490.22307685</v>
      </c>
      <c r="H137" s="7">
        <f>E137-E137</f>
        <v>0</v>
      </c>
    </row>
    <row r="138" spans="1:8" x14ac:dyDescent="0.2">
      <c r="A138" s="737">
        <f>A137+1</f>
        <v>67</v>
      </c>
      <c r="C138" s="716" t="s">
        <v>209</v>
      </c>
      <c r="D138" s="893">
        <v>2011</v>
      </c>
      <c r="E138" s="111">
        <v>191752976.03000003</v>
      </c>
      <c r="F138" s="111">
        <v>8201581.4610059178</v>
      </c>
      <c r="G138" s="7">
        <f t="shared" ref="G138:G149" si="13">E138-F138</f>
        <v>183551394.5689941</v>
      </c>
      <c r="H138" s="7">
        <f>E138-E137</f>
        <v>8962.7900000214577</v>
      </c>
    </row>
    <row r="139" spans="1:8" x14ac:dyDescent="0.2">
      <c r="A139" s="737">
        <f t="shared" ref="A139:A149" si="14">A138+1</f>
        <v>68</v>
      </c>
      <c r="C139" s="714" t="s">
        <v>210</v>
      </c>
      <c r="D139" s="893">
        <v>2011</v>
      </c>
      <c r="E139" s="111">
        <v>193217731.07999998</v>
      </c>
      <c r="F139" s="111">
        <v>8620659.4260080848</v>
      </c>
      <c r="G139" s="7">
        <f t="shared" si="13"/>
        <v>184597071.65399191</v>
      </c>
      <c r="H139" s="7">
        <f t="shared" ref="H139:H149" si="15">E139-E138</f>
        <v>1464755.0499999523</v>
      </c>
    </row>
    <row r="140" spans="1:8" x14ac:dyDescent="0.2">
      <c r="A140" s="737">
        <f t="shared" si="14"/>
        <v>69</v>
      </c>
      <c r="C140" s="714" t="s">
        <v>223</v>
      </c>
      <c r="D140" s="893">
        <v>2011</v>
      </c>
      <c r="E140" s="111">
        <v>193181926.28999996</v>
      </c>
      <c r="F140" s="111">
        <v>9040036.119775584</v>
      </c>
      <c r="G140" s="7">
        <f t="shared" si="13"/>
        <v>184141890.17022437</v>
      </c>
      <c r="H140" s="7">
        <f t="shared" si="15"/>
        <v>-35804.790000021458</v>
      </c>
    </row>
    <row r="141" spans="1:8" x14ac:dyDescent="0.2">
      <c r="A141" s="737">
        <f t="shared" si="14"/>
        <v>70</v>
      </c>
      <c r="C141" s="716" t="s">
        <v>211</v>
      </c>
      <c r="D141" s="893">
        <v>2011</v>
      </c>
      <c r="E141" s="111">
        <v>191981040.87</v>
      </c>
      <c r="F141" s="111">
        <v>9459336.2321690843</v>
      </c>
      <c r="G141" s="7">
        <f t="shared" si="13"/>
        <v>182521704.63783091</v>
      </c>
      <c r="H141" s="7">
        <f t="shared" si="15"/>
        <v>-1200885.4199999571</v>
      </c>
    </row>
    <row r="142" spans="1:8" x14ac:dyDescent="0.2">
      <c r="A142" s="737">
        <f t="shared" si="14"/>
        <v>71</v>
      </c>
      <c r="C142" s="714" t="s">
        <v>212</v>
      </c>
      <c r="D142" s="893">
        <v>2011</v>
      </c>
      <c r="E142" s="111">
        <v>192031660.46999997</v>
      </c>
      <c r="F142" s="111">
        <v>9875918.2185576688</v>
      </c>
      <c r="G142" s="7">
        <f t="shared" si="13"/>
        <v>182155742.25144231</v>
      </c>
      <c r="H142" s="7">
        <f t="shared" si="15"/>
        <v>50619.599999964237</v>
      </c>
    </row>
    <row r="143" spans="1:8" x14ac:dyDescent="0.2">
      <c r="A143" s="737">
        <f t="shared" si="14"/>
        <v>72</v>
      </c>
      <c r="C143" s="714" t="s">
        <v>213</v>
      </c>
      <c r="D143" s="893">
        <v>2011</v>
      </c>
      <c r="E143" s="111">
        <v>192031845.91999996</v>
      </c>
      <c r="F143" s="111">
        <v>10292661.956653083</v>
      </c>
      <c r="G143" s="7">
        <f t="shared" si="13"/>
        <v>181739183.96334687</v>
      </c>
      <c r="H143" s="7">
        <f t="shared" si="15"/>
        <v>185.44999998807907</v>
      </c>
    </row>
    <row r="144" spans="1:8" x14ac:dyDescent="0.2">
      <c r="A144" s="737">
        <f t="shared" si="14"/>
        <v>73</v>
      </c>
      <c r="C144" s="716" t="s">
        <v>214</v>
      </c>
      <c r="D144" s="893">
        <v>2011</v>
      </c>
      <c r="E144" s="111">
        <v>192031845.92999998</v>
      </c>
      <c r="F144" s="111">
        <v>10709128.219742665</v>
      </c>
      <c r="G144" s="7">
        <f t="shared" si="13"/>
        <v>181322717.71025732</v>
      </c>
      <c r="H144" s="7">
        <f t="shared" si="15"/>
        <v>1.0000020265579224E-2</v>
      </c>
    </row>
    <row r="145" spans="1:8" x14ac:dyDescent="0.2">
      <c r="A145" s="737">
        <f t="shared" si="14"/>
        <v>74</v>
      </c>
      <c r="C145" s="714" t="s">
        <v>215</v>
      </c>
      <c r="D145" s="893">
        <v>2011</v>
      </c>
      <c r="E145" s="111">
        <v>192031845.92999995</v>
      </c>
      <c r="F145" s="111">
        <v>11126404.822807416</v>
      </c>
      <c r="G145" s="7">
        <f t="shared" si="13"/>
        <v>180905441.10719252</v>
      </c>
      <c r="H145" s="7">
        <f t="shared" si="15"/>
        <v>0</v>
      </c>
    </row>
    <row r="146" spans="1:8" x14ac:dyDescent="0.2">
      <c r="A146" s="737">
        <f t="shared" si="14"/>
        <v>75</v>
      </c>
      <c r="C146" s="714" t="s">
        <v>216</v>
      </c>
      <c r="D146" s="893">
        <v>2011</v>
      </c>
      <c r="E146" s="111">
        <v>192031845.92999995</v>
      </c>
      <c r="F146" s="111">
        <v>11544273.047981165</v>
      </c>
      <c r="G146" s="7">
        <f t="shared" si="13"/>
        <v>180487572.88201877</v>
      </c>
      <c r="H146" s="7">
        <f t="shared" si="15"/>
        <v>0</v>
      </c>
    </row>
    <row r="147" spans="1:8" x14ac:dyDescent="0.2">
      <c r="A147" s="737">
        <f t="shared" si="14"/>
        <v>76</v>
      </c>
      <c r="C147" s="716" t="s">
        <v>217</v>
      </c>
      <c r="D147" s="893">
        <v>2011</v>
      </c>
      <c r="E147" s="111">
        <v>192031845.92999995</v>
      </c>
      <c r="F147" s="111">
        <v>11962141.273154913</v>
      </c>
      <c r="G147" s="7">
        <f t="shared" si="13"/>
        <v>180069704.65684503</v>
      </c>
      <c r="H147" s="7">
        <f t="shared" si="15"/>
        <v>0</v>
      </c>
    </row>
    <row r="148" spans="1:8" x14ac:dyDescent="0.2">
      <c r="A148" s="737">
        <f t="shared" si="14"/>
        <v>77</v>
      </c>
      <c r="C148" s="716" t="s">
        <v>218</v>
      </c>
      <c r="D148" s="893">
        <v>2011</v>
      </c>
      <c r="E148" s="111">
        <v>192031845.92999995</v>
      </c>
      <c r="F148" s="111">
        <v>12380009.498328663</v>
      </c>
      <c r="G148" s="7">
        <f t="shared" si="13"/>
        <v>179651836.43167129</v>
      </c>
      <c r="H148" s="7">
        <f t="shared" si="15"/>
        <v>0</v>
      </c>
    </row>
    <row r="149" spans="1:8" x14ac:dyDescent="0.2">
      <c r="A149" s="737">
        <f t="shared" si="14"/>
        <v>78</v>
      </c>
      <c r="C149" s="716" t="s">
        <v>208</v>
      </c>
      <c r="D149" s="893">
        <v>2011</v>
      </c>
      <c r="E149" s="111">
        <v>192031845.92999995</v>
      </c>
      <c r="F149" s="111">
        <v>12797877.723502412</v>
      </c>
      <c r="G149" s="7">
        <f t="shared" si="13"/>
        <v>179233968.20649755</v>
      </c>
      <c r="H149" s="7">
        <f t="shared" si="15"/>
        <v>0</v>
      </c>
    </row>
    <row r="150" spans="1:8" x14ac:dyDescent="0.2">
      <c r="A150" s="737"/>
    </row>
    <row r="151" spans="1:8" ht="12.75" customHeight="1" x14ac:dyDescent="0.2"/>
    <row r="152" spans="1:8" x14ac:dyDescent="0.2">
      <c r="C152" s="196" t="s">
        <v>2011</v>
      </c>
      <c r="E152" s="86" t="s">
        <v>403</v>
      </c>
      <c r="F152" s="86" t="s">
        <v>387</v>
      </c>
      <c r="G152" s="86" t="s">
        <v>388</v>
      </c>
      <c r="H152" s="86" t="s">
        <v>389</v>
      </c>
    </row>
    <row r="153" spans="1:8" x14ac:dyDescent="0.2">
      <c r="G153" s="642" t="s">
        <v>2150</v>
      </c>
      <c r="H153" s="642" t="s">
        <v>2151</v>
      </c>
    </row>
    <row r="154" spans="1:8" x14ac:dyDescent="0.2">
      <c r="C154" s="737" t="s">
        <v>600</v>
      </c>
      <c r="H154" s="627" t="s">
        <v>2152</v>
      </c>
    </row>
    <row r="155" spans="1:8" x14ac:dyDescent="0.2">
      <c r="C155" s="737" t="s">
        <v>221</v>
      </c>
      <c r="E155" s="737" t="s">
        <v>423</v>
      </c>
      <c r="F155" s="737" t="s">
        <v>2008</v>
      </c>
      <c r="G155" s="737" t="s">
        <v>1103</v>
      </c>
      <c r="H155" s="737" t="s">
        <v>1276</v>
      </c>
    </row>
    <row r="156" spans="1:8" x14ac:dyDescent="0.2">
      <c r="C156" s="25" t="s">
        <v>220</v>
      </c>
      <c r="D156" s="25" t="s">
        <v>221</v>
      </c>
      <c r="E156" s="3" t="s">
        <v>2009</v>
      </c>
      <c r="F156" s="3" t="s">
        <v>1225</v>
      </c>
      <c r="G156" s="3" t="s">
        <v>3</v>
      </c>
      <c r="H156" s="3" t="s">
        <v>2004</v>
      </c>
    </row>
    <row r="157" spans="1:8" x14ac:dyDescent="0.2">
      <c r="A157" s="737">
        <f>A149+1</f>
        <v>79</v>
      </c>
      <c r="C157" s="716" t="s">
        <v>208</v>
      </c>
      <c r="D157" s="893">
        <v>2010</v>
      </c>
      <c r="E157" s="111">
        <v>49375.13</v>
      </c>
      <c r="F157" s="111">
        <v>636.9576764166668</v>
      </c>
      <c r="G157" s="7">
        <f t="shared" ref="G157:G169" si="16">E157-F157</f>
        <v>48738.172323583334</v>
      </c>
      <c r="H157" s="7">
        <f>E157-E157</f>
        <v>0</v>
      </c>
    </row>
    <row r="158" spans="1:8" x14ac:dyDescent="0.2">
      <c r="A158" s="737">
        <f>A157+1</f>
        <v>80</v>
      </c>
      <c r="C158" s="716" t="s">
        <v>209</v>
      </c>
      <c r="D158" s="893">
        <v>2011</v>
      </c>
      <c r="E158" s="111">
        <v>54387.09</v>
      </c>
      <c r="F158" s="111">
        <v>744.75619983333343</v>
      </c>
      <c r="G158" s="7">
        <f t="shared" si="16"/>
        <v>53642.333800166663</v>
      </c>
      <c r="H158" s="7">
        <f>E158-E157</f>
        <v>5011.9599999999991</v>
      </c>
    </row>
    <row r="159" spans="1:8" x14ac:dyDescent="0.2">
      <c r="A159" s="737">
        <f t="shared" ref="A159:A169" si="17">A158+1</f>
        <v>81</v>
      </c>
      <c r="C159" s="714" t="s">
        <v>210</v>
      </c>
      <c r="D159" s="893">
        <v>2011</v>
      </c>
      <c r="E159" s="111">
        <v>59213.06</v>
      </c>
      <c r="F159" s="111">
        <v>863.49750258333347</v>
      </c>
      <c r="G159" s="7">
        <f t="shared" si="16"/>
        <v>58349.562497416664</v>
      </c>
      <c r="H159" s="7">
        <f t="shared" ref="H159:H169" si="18">E159-E158</f>
        <v>4825.9700000000012</v>
      </c>
    </row>
    <row r="160" spans="1:8" x14ac:dyDescent="0.2">
      <c r="A160" s="737">
        <f t="shared" si="17"/>
        <v>82</v>
      </c>
      <c r="C160" s="714" t="s">
        <v>223</v>
      </c>
      <c r="D160" s="893">
        <v>2011</v>
      </c>
      <c r="E160" s="111">
        <v>59346.81</v>
      </c>
      <c r="F160" s="111">
        <v>992.77550650000012</v>
      </c>
      <c r="G160" s="7">
        <f t="shared" si="16"/>
        <v>58354.034493499996</v>
      </c>
      <c r="H160" s="7">
        <f t="shared" si="18"/>
        <v>133.75</v>
      </c>
    </row>
    <row r="161" spans="1:8" x14ac:dyDescent="0.2">
      <c r="A161" s="737">
        <f t="shared" si="17"/>
        <v>83</v>
      </c>
      <c r="C161" s="716" t="s">
        <v>211</v>
      </c>
      <c r="D161" s="893">
        <v>2011</v>
      </c>
      <c r="E161" s="111">
        <v>0</v>
      </c>
      <c r="F161" s="111">
        <v>1122.3455312500002</v>
      </c>
      <c r="G161" s="7">
        <f t="shared" si="16"/>
        <v>-1122.3455312500002</v>
      </c>
      <c r="H161" s="7">
        <f t="shared" si="18"/>
        <v>-59346.81</v>
      </c>
    </row>
    <row r="162" spans="1:8" x14ac:dyDescent="0.2">
      <c r="A162" s="737">
        <f t="shared" si="17"/>
        <v>84</v>
      </c>
      <c r="C162" s="714" t="s">
        <v>212</v>
      </c>
      <c r="D162" s="893">
        <v>2011</v>
      </c>
      <c r="E162" s="111">
        <v>0</v>
      </c>
      <c r="F162" s="111">
        <v>0</v>
      </c>
      <c r="G162" s="7">
        <f t="shared" si="16"/>
        <v>0</v>
      </c>
      <c r="H162" s="7">
        <f t="shared" si="18"/>
        <v>0</v>
      </c>
    </row>
    <row r="163" spans="1:8" x14ac:dyDescent="0.2">
      <c r="A163" s="737">
        <f t="shared" si="17"/>
        <v>85</v>
      </c>
      <c r="C163" s="714" t="s">
        <v>213</v>
      </c>
      <c r="D163" s="893">
        <v>2011</v>
      </c>
      <c r="E163" s="111">
        <v>0</v>
      </c>
      <c r="F163" s="111">
        <v>0</v>
      </c>
      <c r="G163" s="7">
        <f t="shared" si="16"/>
        <v>0</v>
      </c>
      <c r="H163" s="7">
        <f t="shared" si="18"/>
        <v>0</v>
      </c>
    </row>
    <row r="164" spans="1:8" x14ac:dyDescent="0.2">
      <c r="A164" s="737">
        <f t="shared" si="17"/>
        <v>86</v>
      </c>
      <c r="C164" s="716" t="s">
        <v>214</v>
      </c>
      <c r="D164" s="893">
        <v>2011</v>
      </c>
      <c r="E164" s="111">
        <v>0</v>
      </c>
      <c r="F164" s="111">
        <v>0</v>
      </c>
      <c r="G164" s="7">
        <f t="shared" si="16"/>
        <v>0</v>
      </c>
      <c r="H164" s="7">
        <f t="shared" si="18"/>
        <v>0</v>
      </c>
    </row>
    <row r="165" spans="1:8" x14ac:dyDescent="0.2">
      <c r="A165" s="737">
        <f t="shared" si="17"/>
        <v>87</v>
      </c>
      <c r="C165" s="714" t="s">
        <v>215</v>
      </c>
      <c r="D165" s="893">
        <v>2011</v>
      </c>
      <c r="E165" s="111">
        <v>0</v>
      </c>
      <c r="F165" s="111">
        <v>0</v>
      </c>
      <c r="G165" s="7">
        <f t="shared" si="16"/>
        <v>0</v>
      </c>
      <c r="H165" s="7">
        <f t="shared" si="18"/>
        <v>0</v>
      </c>
    </row>
    <row r="166" spans="1:8" x14ac:dyDescent="0.2">
      <c r="A166" s="737">
        <f t="shared" si="17"/>
        <v>88</v>
      </c>
      <c r="C166" s="714" t="s">
        <v>216</v>
      </c>
      <c r="D166" s="893">
        <v>2011</v>
      </c>
      <c r="E166" s="111">
        <v>0</v>
      </c>
      <c r="F166" s="111">
        <v>0</v>
      </c>
      <c r="G166" s="7">
        <f t="shared" si="16"/>
        <v>0</v>
      </c>
      <c r="H166" s="7">
        <f t="shared" si="18"/>
        <v>0</v>
      </c>
    </row>
    <row r="167" spans="1:8" x14ac:dyDescent="0.2">
      <c r="A167" s="737">
        <f t="shared" si="17"/>
        <v>89</v>
      </c>
      <c r="C167" s="716" t="s">
        <v>217</v>
      </c>
      <c r="D167" s="893">
        <v>2011</v>
      </c>
      <c r="E167" s="111">
        <v>0</v>
      </c>
      <c r="F167" s="111">
        <v>0</v>
      </c>
      <c r="G167" s="7">
        <f t="shared" si="16"/>
        <v>0</v>
      </c>
      <c r="H167" s="7">
        <f t="shared" si="18"/>
        <v>0</v>
      </c>
    </row>
    <row r="168" spans="1:8" x14ac:dyDescent="0.2">
      <c r="A168" s="737">
        <f t="shared" si="17"/>
        <v>90</v>
      </c>
      <c r="C168" s="716" t="s">
        <v>218</v>
      </c>
      <c r="D168" s="893">
        <v>2011</v>
      </c>
      <c r="E168" s="111">
        <v>0</v>
      </c>
      <c r="F168" s="111">
        <v>0</v>
      </c>
      <c r="G168" s="7">
        <f t="shared" si="16"/>
        <v>0</v>
      </c>
      <c r="H168" s="7">
        <f t="shared" si="18"/>
        <v>0</v>
      </c>
    </row>
    <row r="169" spans="1:8" x14ac:dyDescent="0.2">
      <c r="A169" s="737">
        <f t="shared" si="17"/>
        <v>91</v>
      </c>
      <c r="C169" s="716" t="s">
        <v>208</v>
      </c>
      <c r="D169" s="893">
        <v>2011</v>
      </c>
      <c r="E169" s="111">
        <v>0</v>
      </c>
      <c r="F169" s="111">
        <v>0</v>
      </c>
      <c r="G169" s="7">
        <f t="shared" si="16"/>
        <v>0</v>
      </c>
      <c r="H169" s="7">
        <f t="shared" si="18"/>
        <v>0</v>
      </c>
    </row>
    <row r="171" spans="1:8" x14ac:dyDescent="0.2">
      <c r="C171" s="196" t="s">
        <v>2012</v>
      </c>
      <c r="E171" s="86" t="s">
        <v>403</v>
      </c>
      <c r="F171" s="86" t="s">
        <v>387</v>
      </c>
      <c r="G171" s="86" t="s">
        <v>388</v>
      </c>
      <c r="H171" s="86" t="s">
        <v>389</v>
      </c>
    </row>
    <row r="172" spans="1:8" x14ac:dyDescent="0.2">
      <c r="G172" s="642" t="s">
        <v>2150</v>
      </c>
      <c r="H172" s="642" t="s">
        <v>2151</v>
      </c>
    </row>
    <row r="173" spans="1:8" x14ac:dyDescent="0.2">
      <c r="C173" s="737" t="s">
        <v>600</v>
      </c>
      <c r="H173" s="627" t="s">
        <v>2152</v>
      </c>
    </row>
    <row r="174" spans="1:8" x14ac:dyDescent="0.2">
      <c r="C174" s="737" t="s">
        <v>221</v>
      </c>
      <c r="E174" s="737" t="s">
        <v>423</v>
      </c>
      <c r="F174" s="737" t="s">
        <v>2008</v>
      </c>
      <c r="G174" s="737" t="s">
        <v>1103</v>
      </c>
      <c r="H174" s="737" t="s">
        <v>1276</v>
      </c>
    </row>
    <row r="175" spans="1:8" x14ac:dyDescent="0.2">
      <c r="C175" s="25" t="s">
        <v>220</v>
      </c>
      <c r="D175" s="25" t="s">
        <v>221</v>
      </c>
      <c r="E175" s="3" t="s">
        <v>2009</v>
      </c>
      <c r="F175" s="3" t="s">
        <v>1225</v>
      </c>
      <c r="G175" s="3" t="s">
        <v>3</v>
      </c>
      <c r="H175" s="3" t="s">
        <v>2004</v>
      </c>
    </row>
    <row r="176" spans="1:8" x14ac:dyDescent="0.2">
      <c r="A176" s="737">
        <f>A169+1</f>
        <v>92</v>
      </c>
      <c r="C176" s="716" t="s">
        <v>208</v>
      </c>
      <c r="D176" s="893">
        <v>2010</v>
      </c>
      <c r="E176" s="1159">
        <v>0</v>
      </c>
      <c r="F176" s="1159">
        <v>0</v>
      </c>
      <c r="G176" s="7">
        <f t="shared" ref="G176:G188" si="19">E176-F176</f>
        <v>0</v>
      </c>
      <c r="H176" s="7">
        <f>E176-E176</f>
        <v>0</v>
      </c>
    </row>
    <row r="177" spans="1:8" x14ac:dyDescent="0.2">
      <c r="A177" s="737">
        <f>A176+1</f>
        <v>93</v>
      </c>
      <c r="C177" s="716" t="s">
        <v>209</v>
      </c>
      <c r="D177" s="893">
        <v>2011</v>
      </c>
      <c r="E177" s="1159">
        <v>0</v>
      </c>
      <c r="F177" s="1159">
        <v>0</v>
      </c>
      <c r="G177" s="7">
        <f t="shared" si="19"/>
        <v>0</v>
      </c>
      <c r="H177" s="7">
        <f>E177-E176</f>
        <v>0</v>
      </c>
    </row>
    <row r="178" spans="1:8" x14ac:dyDescent="0.2">
      <c r="A178" s="737">
        <f t="shared" ref="A178:A188" si="20">A177+1</f>
        <v>94</v>
      </c>
      <c r="C178" s="714" t="s">
        <v>210</v>
      </c>
      <c r="D178" s="893">
        <v>2011</v>
      </c>
      <c r="E178" s="1159">
        <v>0</v>
      </c>
      <c r="F178" s="1159">
        <v>0</v>
      </c>
      <c r="G178" s="7">
        <f t="shared" si="19"/>
        <v>0</v>
      </c>
      <c r="H178" s="7">
        <f t="shared" ref="H178:H188" si="21">E178-E177</f>
        <v>0</v>
      </c>
    </row>
    <row r="179" spans="1:8" x14ac:dyDescent="0.2">
      <c r="A179" s="737">
        <f t="shared" si="20"/>
        <v>95</v>
      </c>
      <c r="C179" s="714" t="s">
        <v>223</v>
      </c>
      <c r="D179" s="893">
        <v>2011</v>
      </c>
      <c r="E179" s="1159">
        <v>0</v>
      </c>
      <c r="F179" s="1159">
        <v>0</v>
      </c>
      <c r="G179" s="7">
        <f t="shared" si="19"/>
        <v>0</v>
      </c>
      <c r="H179" s="7">
        <f t="shared" si="21"/>
        <v>0</v>
      </c>
    </row>
    <row r="180" spans="1:8" x14ac:dyDescent="0.2">
      <c r="A180" s="737">
        <f t="shared" si="20"/>
        <v>96</v>
      </c>
      <c r="C180" s="716" t="s">
        <v>211</v>
      </c>
      <c r="D180" s="893">
        <v>2011</v>
      </c>
      <c r="E180" s="1159">
        <v>0</v>
      </c>
      <c r="F180" s="1159">
        <v>0</v>
      </c>
      <c r="G180" s="7">
        <f t="shared" si="19"/>
        <v>0</v>
      </c>
      <c r="H180" s="7">
        <f t="shared" si="21"/>
        <v>0</v>
      </c>
    </row>
    <row r="181" spans="1:8" x14ac:dyDescent="0.2">
      <c r="A181" s="737">
        <f t="shared" si="20"/>
        <v>97</v>
      </c>
      <c r="C181" s="714" t="s">
        <v>212</v>
      </c>
      <c r="D181" s="893">
        <v>2011</v>
      </c>
      <c r="E181" s="1159">
        <v>0</v>
      </c>
      <c r="F181" s="1159">
        <v>0</v>
      </c>
      <c r="G181" s="7">
        <f t="shared" si="19"/>
        <v>0</v>
      </c>
      <c r="H181" s="7">
        <f t="shared" si="21"/>
        <v>0</v>
      </c>
    </row>
    <row r="182" spans="1:8" x14ac:dyDescent="0.2">
      <c r="A182" s="737">
        <f t="shared" si="20"/>
        <v>98</v>
      </c>
      <c r="C182" s="714" t="s">
        <v>213</v>
      </c>
      <c r="D182" s="893">
        <v>2011</v>
      </c>
      <c r="E182" s="1159">
        <v>0</v>
      </c>
      <c r="F182" s="1159">
        <v>0</v>
      </c>
      <c r="G182" s="7">
        <f t="shared" si="19"/>
        <v>0</v>
      </c>
      <c r="H182" s="7">
        <f t="shared" si="21"/>
        <v>0</v>
      </c>
    </row>
    <row r="183" spans="1:8" x14ac:dyDescent="0.2">
      <c r="A183" s="737">
        <f t="shared" si="20"/>
        <v>99</v>
      </c>
      <c r="C183" s="716" t="s">
        <v>214</v>
      </c>
      <c r="D183" s="893">
        <v>2011</v>
      </c>
      <c r="E183" s="1159">
        <v>0</v>
      </c>
      <c r="F183" s="1159">
        <v>0</v>
      </c>
      <c r="G183" s="7">
        <f t="shared" si="19"/>
        <v>0</v>
      </c>
      <c r="H183" s="7">
        <f t="shared" si="21"/>
        <v>0</v>
      </c>
    </row>
    <row r="184" spans="1:8" x14ac:dyDescent="0.2">
      <c r="A184" s="737">
        <f t="shared" si="20"/>
        <v>100</v>
      </c>
      <c r="C184" s="714" t="s">
        <v>215</v>
      </c>
      <c r="D184" s="893">
        <v>2011</v>
      </c>
      <c r="E184" s="1159">
        <v>0</v>
      </c>
      <c r="F184" s="1159">
        <v>0</v>
      </c>
      <c r="G184" s="7">
        <f t="shared" si="19"/>
        <v>0</v>
      </c>
      <c r="H184" s="7">
        <f t="shared" si="21"/>
        <v>0</v>
      </c>
    </row>
    <row r="185" spans="1:8" x14ac:dyDescent="0.2">
      <c r="A185" s="737">
        <f t="shared" si="20"/>
        <v>101</v>
      </c>
      <c r="C185" s="714" t="s">
        <v>216</v>
      </c>
      <c r="D185" s="893">
        <v>2011</v>
      </c>
      <c r="E185" s="1159">
        <v>0</v>
      </c>
      <c r="F185" s="1159">
        <v>0</v>
      </c>
      <c r="G185" s="7">
        <f t="shared" si="19"/>
        <v>0</v>
      </c>
      <c r="H185" s="7">
        <f t="shared" si="21"/>
        <v>0</v>
      </c>
    </row>
    <row r="186" spans="1:8" x14ac:dyDescent="0.2">
      <c r="A186" s="737">
        <f t="shared" si="20"/>
        <v>102</v>
      </c>
      <c r="C186" s="716" t="s">
        <v>217</v>
      </c>
      <c r="D186" s="893">
        <v>2011</v>
      </c>
      <c r="E186" s="1159">
        <v>0</v>
      </c>
      <c r="F186" s="1159">
        <v>0</v>
      </c>
      <c r="G186" s="7">
        <f t="shared" si="19"/>
        <v>0</v>
      </c>
      <c r="H186" s="7">
        <f t="shared" si="21"/>
        <v>0</v>
      </c>
    </row>
    <row r="187" spans="1:8" x14ac:dyDescent="0.2">
      <c r="A187" s="737">
        <f t="shared" si="20"/>
        <v>103</v>
      </c>
      <c r="C187" s="716" t="s">
        <v>218</v>
      </c>
      <c r="D187" s="893">
        <v>2011</v>
      </c>
      <c r="E187" s="1159">
        <v>0</v>
      </c>
      <c r="F187" s="1159">
        <v>0</v>
      </c>
      <c r="G187" s="7">
        <f t="shared" si="19"/>
        <v>0</v>
      </c>
      <c r="H187" s="7">
        <f t="shared" si="21"/>
        <v>0</v>
      </c>
    </row>
    <row r="188" spans="1:8" x14ac:dyDescent="0.2">
      <c r="A188" s="737">
        <f t="shared" si="20"/>
        <v>104</v>
      </c>
      <c r="C188" s="716" t="s">
        <v>208</v>
      </c>
      <c r="D188" s="893">
        <v>2011</v>
      </c>
      <c r="E188" s="1159">
        <v>0</v>
      </c>
      <c r="F188" s="1159">
        <v>0</v>
      </c>
      <c r="G188" s="7">
        <f t="shared" si="19"/>
        <v>0</v>
      </c>
      <c r="H188" s="7">
        <f t="shared" si="21"/>
        <v>0</v>
      </c>
    </row>
    <row r="190" spans="1:8" x14ac:dyDescent="0.2">
      <c r="C190" s="196" t="s">
        <v>2013</v>
      </c>
      <c r="E190" s="86" t="s">
        <v>403</v>
      </c>
      <c r="F190" s="86" t="s">
        <v>387</v>
      </c>
      <c r="G190" s="86" t="s">
        <v>388</v>
      </c>
      <c r="H190" s="86" t="s">
        <v>389</v>
      </c>
    </row>
    <row r="191" spans="1:8" x14ac:dyDescent="0.2">
      <c r="G191" s="642" t="s">
        <v>2150</v>
      </c>
      <c r="H191" s="642" t="s">
        <v>2151</v>
      </c>
    </row>
    <row r="192" spans="1:8" x14ac:dyDescent="0.2">
      <c r="C192" s="737" t="s">
        <v>600</v>
      </c>
      <c r="H192" s="627" t="s">
        <v>2152</v>
      </c>
    </row>
    <row r="193" spans="1:8" x14ac:dyDescent="0.2">
      <c r="C193" s="737" t="s">
        <v>221</v>
      </c>
      <c r="E193" s="737" t="s">
        <v>423</v>
      </c>
      <c r="F193" s="737" t="s">
        <v>2008</v>
      </c>
      <c r="G193" s="737" t="s">
        <v>1103</v>
      </c>
      <c r="H193" s="737" t="s">
        <v>1276</v>
      </c>
    </row>
    <row r="194" spans="1:8" x14ac:dyDescent="0.2">
      <c r="C194" s="25" t="s">
        <v>220</v>
      </c>
      <c r="D194" s="25" t="s">
        <v>221</v>
      </c>
      <c r="E194" s="3" t="s">
        <v>2009</v>
      </c>
      <c r="F194" s="3" t="s">
        <v>1225</v>
      </c>
      <c r="G194" s="3" t="s">
        <v>3</v>
      </c>
      <c r="H194" s="3" t="s">
        <v>2004</v>
      </c>
    </row>
    <row r="195" spans="1:8" x14ac:dyDescent="0.2">
      <c r="A195" s="737">
        <f>A188+1</f>
        <v>105</v>
      </c>
      <c r="C195" s="716" t="s">
        <v>208</v>
      </c>
      <c r="D195" s="893">
        <v>2010</v>
      </c>
      <c r="E195" s="1159">
        <v>0</v>
      </c>
      <c r="F195" s="1159">
        <v>0</v>
      </c>
      <c r="G195" s="7">
        <f t="shared" ref="G195:G207" si="22">E195-F195</f>
        <v>0</v>
      </c>
      <c r="H195" s="7">
        <f>E195-E195</f>
        <v>0</v>
      </c>
    </row>
    <row r="196" spans="1:8" x14ac:dyDescent="0.2">
      <c r="A196" s="737">
        <f>A195+1</f>
        <v>106</v>
      </c>
      <c r="C196" s="716" t="s">
        <v>209</v>
      </c>
      <c r="D196" s="893">
        <v>2011</v>
      </c>
      <c r="E196" s="1159">
        <v>0</v>
      </c>
      <c r="F196" s="1159">
        <v>0</v>
      </c>
      <c r="G196" s="7">
        <f t="shared" si="22"/>
        <v>0</v>
      </c>
      <c r="H196" s="7">
        <f>E196-E195</f>
        <v>0</v>
      </c>
    </row>
    <row r="197" spans="1:8" x14ac:dyDescent="0.2">
      <c r="A197" s="737">
        <f t="shared" ref="A197:A207" si="23">A196+1</f>
        <v>107</v>
      </c>
      <c r="C197" s="714" t="s">
        <v>210</v>
      </c>
      <c r="D197" s="893">
        <v>2011</v>
      </c>
      <c r="E197" s="1159">
        <v>0</v>
      </c>
      <c r="F197" s="1159">
        <v>0</v>
      </c>
      <c r="G197" s="7">
        <f t="shared" si="22"/>
        <v>0</v>
      </c>
      <c r="H197" s="7">
        <f t="shared" ref="H197:H207" si="24">E197-E196</f>
        <v>0</v>
      </c>
    </row>
    <row r="198" spans="1:8" x14ac:dyDescent="0.2">
      <c r="A198" s="737">
        <f t="shared" si="23"/>
        <v>108</v>
      </c>
      <c r="C198" s="714" t="s">
        <v>223</v>
      </c>
      <c r="D198" s="893">
        <v>2011</v>
      </c>
      <c r="E198" s="1159">
        <v>0</v>
      </c>
      <c r="F198" s="1159">
        <v>0</v>
      </c>
      <c r="G198" s="7">
        <f t="shared" si="22"/>
        <v>0</v>
      </c>
      <c r="H198" s="7">
        <f t="shared" si="24"/>
        <v>0</v>
      </c>
    </row>
    <row r="199" spans="1:8" x14ac:dyDescent="0.2">
      <c r="A199" s="737">
        <f t="shared" si="23"/>
        <v>109</v>
      </c>
      <c r="C199" s="716" t="s">
        <v>211</v>
      </c>
      <c r="D199" s="893">
        <v>2011</v>
      </c>
      <c r="E199" s="1159">
        <v>0</v>
      </c>
      <c r="F199" s="1159">
        <v>0</v>
      </c>
      <c r="G199" s="7">
        <f t="shared" si="22"/>
        <v>0</v>
      </c>
      <c r="H199" s="7">
        <f t="shared" si="24"/>
        <v>0</v>
      </c>
    </row>
    <row r="200" spans="1:8" x14ac:dyDescent="0.2">
      <c r="A200" s="737">
        <f t="shared" si="23"/>
        <v>110</v>
      </c>
      <c r="C200" s="714" t="s">
        <v>212</v>
      </c>
      <c r="D200" s="893">
        <v>2011</v>
      </c>
      <c r="E200" s="1159">
        <v>0</v>
      </c>
      <c r="F200" s="1159">
        <v>0</v>
      </c>
      <c r="G200" s="7">
        <f t="shared" si="22"/>
        <v>0</v>
      </c>
      <c r="H200" s="7">
        <f t="shared" si="24"/>
        <v>0</v>
      </c>
    </row>
    <row r="201" spans="1:8" x14ac:dyDescent="0.2">
      <c r="A201" s="737">
        <f t="shared" si="23"/>
        <v>111</v>
      </c>
      <c r="C201" s="714" t="s">
        <v>213</v>
      </c>
      <c r="D201" s="893">
        <v>2011</v>
      </c>
      <c r="E201" s="1159">
        <v>0</v>
      </c>
      <c r="F201" s="1159">
        <v>0</v>
      </c>
      <c r="G201" s="7">
        <f t="shared" si="22"/>
        <v>0</v>
      </c>
      <c r="H201" s="7">
        <f t="shared" si="24"/>
        <v>0</v>
      </c>
    </row>
    <row r="202" spans="1:8" x14ac:dyDescent="0.2">
      <c r="A202" s="737">
        <f t="shared" si="23"/>
        <v>112</v>
      </c>
      <c r="C202" s="716" t="s">
        <v>214</v>
      </c>
      <c r="D202" s="893">
        <v>2011</v>
      </c>
      <c r="E202" s="1159">
        <v>0</v>
      </c>
      <c r="F202" s="1159">
        <v>0</v>
      </c>
      <c r="G202" s="7">
        <f t="shared" si="22"/>
        <v>0</v>
      </c>
      <c r="H202" s="7">
        <f t="shared" si="24"/>
        <v>0</v>
      </c>
    </row>
    <row r="203" spans="1:8" x14ac:dyDescent="0.2">
      <c r="A203" s="737">
        <f t="shared" si="23"/>
        <v>113</v>
      </c>
      <c r="C203" s="714" t="s">
        <v>215</v>
      </c>
      <c r="D203" s="893">
        <v>2011</v>
      </c>
      <c r="E203" s="1159">
        <v>0</v>
      </c>
      <c r="F203" s="1159">
        <v>0</v>
      </c>
      <c r="G203" s="7">
        <f t="shared" si="22"/>
        <v>0</v>
      </c>
      <c r="H203" s="7">
        <f t="shared" si="24"/>
        <v>0</v>
      </c>
    </row>
    <row r="204" spans="1:8" x14ac:dyDescent="0.2">
      <c r="A204" s="737">
        <f t="shared" si="23"/>
        <v>114</v>
      </c>
      <c r="C204" s="714" t="s">
        <v>216</v>
      </c>
      <c r="D204" s="893">
        <v>2011</v>
      </c>
      <c r="E204" s="1159">
        <v>0</v>
      </c>
      <c r="F204" s="1159">
        <v>0</v>
      </c>
      <c r="G204" s="7">
        <f t="shared" si="22"/>
        <v>0</v>
      </c>
      <c r="H204" s="7">
        <f t="shared" si="24"/>
        <v>0</v>
      </c>
    </row>
    <row r="205" spans="1:8" x14ac:dyDescent="0.2">
      <c r="A205" s="737">
        <f t="shared" si="23"/>
        <v>115</v>
      </c>
      <c r="C205" s="716" t="s">
        <v>217</v>
      </c>
      <c r="D205" s="893">
        <v>2011</v>
      </c>
      <c r="E205" s="1159">
        <v>0</v>
      </c>
      <c r="F205" s="1159">
        <v>0</v>
      </c>
      <c r="G205" s="7">
        <f t="shared" si="22"/>
        <v>0</v>
      </c>
      <c r="H205" s="7">
        <f t="shared" si="24"/>
        <v>0</v>
      </c>
    </row>
    <row r="206" spans="1:8" x14ac:dyDescent="0.2">
      <c r="A206" s="737">
        <f t="shared" si="23"/>
        <v>116</v>
      </c>
      <c r="C206" s="716" t="s">
        <v>218</v>
      </c>
      <c r="D206" s="893">
        <v>2011</v>
      </c>
      <c r="E206" s="1159">
        <v>0</v>
      </c>
      <c r="F206" s="1159">
        <v>0</v>
      </c>
      <c r="G206" s="7">
        <f t="shared" si="22"/>
        <v>0</v>
      </c>
      <c r="H206" s="7">
        <f t="shared" si="24"/>
        <v>0</v>
      </c>
    </row>
    <row r="207" spans="1:8" x14ac:dyDescent="0.2">
      <c r="A207" s="737">
        <f t="shared" si="23"/>
        <v>117</v>
      </c>
      <c r="C207" s="716" t="s">
        <v>208</v>
      </c>
      <c r="D207" s="893">
        <v>2011</v>
      </c>
      <c r="E207" s="1159">
        <v>0</v>
      </c>
      <c r="F207" s="1159">
        <v>0</v>
      </c>
      <c r="G207" s="7">
        <f t="shared" si="22"/>
        <v>0</v>
      </c>
      <c r="H207" s="7">
        <f t="shared" si="24"/>
        <v>0</v>
      </c>
    </row>
    <row r="209" spans="1:8" x14ac:dyDescent="0.2">
      <c r="C209" s="196" t="s">
        <v>2014</v>
      </c>
      <c r="E209" s="86" t="s">
        <v>403</v>
      </c>
      <c r="F209" s="86" t="s">
        <v>387</v>
      </c>
      <c r="G209" s="86" t="s">
        <v>388</v>
      </c>
      <c r="H209" s="86" t="s">
        <v>389</v>
      </c>
    </row>
    <row r="210" spans="1:8" x14ac:dyDescent="0.2">
      <c r="G210" s="642" t="s">
        <v>2150</v>
      </c>
      <c r="H210" s="642" t="s">
        <v>2151</v>
      </c>
    </row>
    <row r="211" spans="1:8" x14ac:dyDescent="0.2">
      <c r="C211" s="737" t="s">
        <v>600</v>
      </c>
      <c r="H211" s="627" t="s">
        <v>2152</v>
      </c>
    </row>
    <row r="212" spans="1:8" x14ac:dyDescent="0.2">
      <c r="C212" s="737" t="s">
        <v>221</v>
      </c>
      <c r="E212" s="737" t="s">
        <v>423</v>
      </c>
      <c r="F212" s="737" t="s">
        <v>2008</v>
      </c>
      <c r="G212" s="737" t="s">
        <v>1103</v>
      </c>
      <c r="H212" s="737" t="s">
        <v>1276</v>
      </c>
    </row>
    <row r="213" spans="1:8" x14ac:dyDescent="0.2">
      <c r="C213" s="25" t="s">
        <v>220</v>
      </c>
      <c r="D213" s="25" t="s">
        <v>221</v>
      </c>
      <c r="E213" s="3" t="s">
        <v>2009</v>
      </c>
      <c r="F213" s="3" t="s">
        <v>1225</v>
      </c>
      <c r="G213" s="3" t="s">
        <v>3</v>
      </c>
      <c r="H213" s="3" t="s">
        <v>2004</v>
      </c>
    </row>
    <row r="214" spans="1:8" x14ac:dyDescent="0.2">
      <c r="A214" s="737">
        <f>A207+1</f>
        <v>118</v>
      </c>
      <c r="C214" s="716" t="s">
        <v>208</v>
      </c>
      <c r="D214" s="893">
        <v>2010</v>
      </c>
      <c r="E214" s="1159">
        <v>0</v>
      </c>
      <c r="F214" s="1159">
        <v>0</v>
      </c>
      <c r="G214" s="7">
        <f t="shared" ref="G214:G226" si="25">E214-F214</f>
        <v>0</v>
      </c>
      <c r="H214" s="7">
        <f>E214-E214</f>
        <v>0</v>
      </c>
    </row>
    <row r="215" spans="1:8" x14ac:dyDescent="0.2">
      <c r="A215" s="737">
        <f>A214+1</f>
        <v>119</v>
      </c>
      <c r="C215" s="716" t="s">
        <v>209</v>
      </c>
      <c r="D215" s="893">
        <v>2011</v>
      </c>
      <c r="E215" s="1159">
        <v>0</v>
      </c>
      <c r="F215" s="1159">
        <v>0</v>
      </c>
      <c r="G215" s="7">
        <f t="shared" si="25"/>
        <v>0</v>
      </c>
      <c r="H215" s="7">
        <f>E215-E214</f>
        <v>0</v>
      </c>
    </row>
    <row r="216" spans="1:8" x14ac:dyDescent="0.2">
      <c r="A216" s="737">
        <f t="shared" ref="A216:A226" si="26">A215+1</f>
        <v>120</v>
      </c>
      <c r="C216" s="714" t="s">
        <v>210</v>
      </c>
      <c r="D216" s="893">
        <v>2011</v>
      </c>
      <c r="E216" s="1159">
        <v>0</v>
      </c>
      <c r="F216" s="1159">
        <v>0</v>
      </c>
      <c r="G216" s="7">
        <f t="shared" si="25"/>
        <v>0</v>
      </c>
      <c r="H216" s="7">
        <f t="shared" ref="H216:H226" si="27">E216-E215</f>
        <v>0</v>
      </c>
    </row>
    <row r="217" spans="1:8" x14ac:dyDescent="0.2">
      <c r="A217" s="737">
        <f t="shared" si="26"/>
        <v>121</v>
      </c>
      <c r="C217" s="714" t="s">
        <v>223</v>
      </c>
      <c r="D217" s="893">
        <v>2011</v>
      </c>
      <c r="E217" s="1159">
        <v>0</v>
      </c>
      <c r="F217" s="1159">
        <v>0</v>
      </c>
      <c r="G217" s="7">
        <f t="shared" si="25"/>
        <v>0</v>
      </c>
      <c r="H217" s="7">
        <f t="shared" si="27"/>
        <v>0</v>
      </c>
    </row>
    <row r="218" spans="1:8" x14ac:dyDescent="0.2">
      <c r="A218" s="737">
        <f t="shared" si="26"/>
        <v>122</v>
      </c>
      <c r="C218" s="716" t="s">
        <v>211</v>
      </c>
      <c r="D218" s="893">
        <v>2011</v>
      </c>
      <c r="E218" s="1159">
        <v>0</v>
      </c>
      <c r="F218" s="1159">
        <v>0</v>
      </c>
      <c r="G218" s="7">
        <f t="shared" si="25"/>
        <v>0</v>
      </c>
      <c r="H218" s="7">
        <f t="shared" si="27"/>
        <v>0</v>
      </c>
    </row>
    <row r="219" spans="1:8" x14ac:dyDescent="0.2">
      <c r="A219" s="737">
        <f t="shared" si="26"/>
        <v>123</v>
      </c>
      <c r="C219" s="714" t="s">
        <v>212</v>
      </c>
      <c r="D219" s="893">
        <v>2011</v>
      </c>
      <c r="E219" s="1159">
        <v>0</v>
      </c>
      <c r="F219" s="1159">
        <v>0</v>
      </c>
      <c r="G219" s="7">
        <f t="shared" si="25"/>
        <v>0</v>
      </c>
      <c r="H219" s="7">
        <f t="shared" si="27"/>
        <v>0</v>
      </c>
    </row>
    <row r="220" spans="1:8" x14ac:dyDescent="0.2">
      <c r="A220" s="737">
        <f t="shared" si="26"/>
        <v>124</v>
      </c>
      <c r="C220" s="714" t="s">
        <v>213</v>
      </c>
      <c r="D220" s="893">
        <v>2011</v>
      </c>
      <c r="E220" s="1159">
        <v>0</v>
      </c>
      <c r="F220" s="1159">
        <v>0</v>
      </c>
      <c r="G220" s="7">
        <f t="shared" si="25"/>
        <v>0</v>
      </c>
      <c r="H220" s="7">
        <f t="shared" si="27"/>
        <v>0</v>
      </c>
    </row>
    <row r="221" spans="1:8" x14ac:dyDescent="0.2">
      <c r="A221" s="737">
        <f t="shared" si="26"/>
        <v>125</v>
      </c>
      <c r="C221" s="716" t="s">
        <v>214</v>
      </c>
      <c r="D221" s="893">
        <v>2011</v>
      </c>
      <c r="E221" s="1159">
        <v>0</v>
      </c>
      <c r="F221" s="1159">
        <v>0</v>
      </c>
      <c r="G221" s="7">
        <f t="shared" si="25"/>
        <v>0</v>
      </c>
      <c r="H221" s="7">
        <f t="shared" si="27"/>
        <v>0</v>
      </c>
    </row>
    <row r="222" spans="1:8" x14ac:dyDescent="0.2">
      <c r="A222" s="737">
        <f t="shared" si="26"/>
        <v>126</v>
      </c>
      <c r="C222" s="714" t="s">
        <v>215</v>
      </c>
      <c r="D222" s="893">
        <v>2011</v>
      </c>
      <c r="E222" s="1159">
        <v>0</v>
      </c>
      <c r="F222" s="1159">
        <v>0</v>
      </c>
      <c r="G222" s="7">
        <f t="shared" si="25"/>
        <v>0</v>
      </c>
      <c r="H222" s="7">
        <f t="shared" si="27"/>
        <v>0</v>
      </c>
    </row>
    <row r="223" spans="1:8" x14ac:dyDescent="0.2">
      <c r="A223" s="737">
        <f t="shared" si="26"/>
        <v>127</v>
      </c>
      <c r="C223" s="714" t="s">
        <v>216</v>
      </c>
      <c r="D223" s="893">
        <v>2011</v>
      </c>
      <c r="E223" s="1159">
        <v>0</v>
      </c>
      <c r="F223" s="1159">
        <v>0</v>
      </c>
      <c r="G223" s="7">
        <f t="shared" si="25"/>
        <v>0</v>
      </c>
      <c r="H223" s="7">
        <f t="shared" si="27"/>
        <v>0</v>
      </c>
    </row>
    <row r="224" spans="1:8" x14ac:dyDescent="0.2">
      <c r="A224" s="737">
        <f t="shared" si="26"/>
        <v>128</v>
      </c>
      <c r="C224" s="716" t="s">
        <v>217</v>
      </c>
      <c r="D224" s="893">
        <v>2011</v>
      </c>
      <c r="E224" s="1159">
        <v>0</v>
      </c>
      <c r="F224" s="1159">
        <v>0</v>
      </c>
      <c r="G224" s="7">
        <f t="shared" si="25"/>
        <v>0</v>
      </c>
      <c r="H224" s="7">
        <f t="shared" si="27"/>
        <v>0</v>
      </c>
    </row>
    <row r="225" spans="1:8" x14ac:dyDescent="0.2">
      <c r="A225" s="737">
        <f t="shared" si="26"/>
        <v>129</v>
      </c>
      <c r="C225" s="716" t="s">
        <v>218</v>
      </c>
      <c r="D225" s="893">
        <v>2011</v>
      </c>
      <c r="E225" s="1159">
        <v>0</v>
      </c>
      <c r="F225" s="1159">
        <v>0</v>
      </c>
      <c r="G225" s="7">
        <f t="shared" si="25"/>
        <v>0</v>
      </c>
      <c r="H225" s="7">
        <f t="shared" si="27"/>
        <v>0</v>
      </c>
    </row>
    <row r="226" spans="1:8" x14ac:dyDescent="0.2">
      <c r="A226" s="737">
        <f t="shared" si="26"/>
        <v>130</v>
      </c>
      <c r="C226" s="716" t="s">
        <v>208</v>
      </c>
      <c r="D226" s="893">
        <v>2011</v>
      </c>
      <c r="E226" s="1159">
        <v>0</v>
      </c>
      <c r="F226" s="1159">
        <v>0</v>
      </c>
      <c r="G226" s="7">
        <f t="shared" si="25"/>
        <v>0</v>
      </c>
      <c r="H226" s="7">
        <f t="shared" si="27"/>
        <v>0</v>
      </c>
    </row>
    <row r="228" spans="1:8" x14ac:dyDescent="0.2">
      <c r="C228" s="196" t="s">
        <v>2055</v>
      </c>
      <c r="H228" s="86" t="s">
        <v>389</v>
      </c>
    </row>
    <row r="229" spans="1:8" x14ac:dyDescent="0.2">
      <c r="E229" s="86" t="s">
        <v>403</v>
      </c>
      <c r="F229" s="86" t="s">
        <v>387</v>
      </c>
      <c r="G229" s="86" t="s">
        <v>388</v>
      </c>
      <c r="H229" s="642" t="s">
        <v>2151</v>
      </c>
    </row>
    <row r="230" spans="1:8" x14ac:dyDescent="0.2">
      <c r="C230" s="737" t="s">
        <v>600</v>
      </c>
      <c r="G230" s="642" t="s">
        <v>2150</v>
      </c>
      <c r="H230" s="627" t="s">
        <v>2152</v>
      </c>
    </row>
    <row r="231" spans="1:8" x14ac:dyDescent="0.2">
      <c r="C231" s="737" t="s">
        <v>221</v>
      </c>
      <c r="E231" s="737" t="s">
        <v>423</v>
      </c>
      <c r="F231" s="737" t="s">
        <v>2008</v>
      </c>
      <c r="G231" s="737" t="s">
        <v>1103</v>
      </c>
      <c r="H231" s="737" t="s">
        <v>1276</v>
      </c>
    </row>
    <row r="232" spans="1:8" x14ac:dyDescent="0.2">
      <c r="C232" s="25" t="s">
        <v>220</v>
      </c>
      <c r="D232" s="25" t="s">
        <v>221</v>
      </c>
      <c r="E232" s="3" t="s">
        <v>2009</v>
      </c>
      <c r="F232" s="3" t="s">
        <v>1225</v>
      </c>
      <c r="G232" s="3" t="s">
        <v>3</v>
      </c>
      <c r="H232" s="3" t="s">
        <v>2004</v>
      </c>
    </row>
    <row r="233" spans="1:8" x14ac:dyDescent="0.2">
      <c r="A233" s="737">
        <f>A226+1</f>
        <v>131</v>
      </c>
      <c r="C233" s="716" t="s">
        <v>208</v>
      </c>
      <c r="D233" s="893">
        <v>2010</v>
      </c>
      <c r="E233" s="1159">
        <v>0</v>
      </c>
      <c r="F233" s="1159">
        <v>0</v>
      </c>
      <c r="G233" s="7">
        <f t="shared" ref="G233:G245" si="28">E233-F233</f>
        <v>0</v>
      </c>
      <c r="H233" s="7">
        <f>E233-E233</f>
        <v>0</v>
      </c>
    </row>
    <row r="234" spans="1:8" x14ac:dyDescent="0.2">
      <c r="A234" s="737">
        <f>A233+1</f>
        <v>132</v>
      </c>
      <c r="C234" s="716" t="s">
        <v>209</v>
      </c>
      <c r="D234" s="893">
        <v>2011</v>
      </c>
      <c r="E234" s="1159">
        <v>0</v>
      </c>
      <c r="F234" s="1159">
        <v>0</v>
      </c>
      <c r="G234" s="7">
        <f t="shared" si="28"/>
        <v>0</v>
      </c>
      <c r="H234" s="7">
        <f>E234-E233</f>
        <v>0</v>
      </c>
    </row>
    <row r="235" spans="1:8" x14ac:dyDescent="0.2">
      <c r="A235" s="737">
        <f t="shared" ref="A235:A245" si="29">A234+1</f>
        <v>133</v>
      </c>
      <c r="C235" s="714" t="s">
        <v>210</v>
      </c>
      <c r="D235" s="893">
        <v>2011</v>
      </c>
      <c r="E235" s="1159">
        <v>0</v>
      </c>
      <c r="F235" s="1159">
        <v>0</v>
      </c>
      <c r="G235" s="7">
        <f t="shared" si="28"/>
        <v>0</v>
      </c>
      <c r="H235" s="7">
        <f t="shared" ref="H235:H245" si="30">E235-E234</f>
        <v>0</v>
      </c>
    </row>
    <row r="236" spans="1:8" x14ac:dyDescent="0.2">
      <c r="A236" s="737">
        <f t="shared" si="29"/>
        <v>134</v>
      </c>
      <c r="C236" s="714" t="s">
        <v>223</v>
      </c>
      <c r="D236" s="893">
        <v>2011</v>
      </c>
      <c r="E236" s="1159">
        <v>0</v>
      </c>
      <c r="F236" s="1159">
        <v>0</v>
      </c>
      <c r="G236" s="7">
        <f t="shared" si="28"/>
        <v>0</v>
      </c>
      <c r="H236" s="7">
        <f t="shared" si="30"/>
        <v>0</v>
      </c>
    </row>
    <row r="237" spans="1:8" x14ac:dyDescent="0.2">
      <c r="A237" s="737">
        <f t="shared" si="29"/>
        <v>135</v>
      </c>
      <c r="C237" s="716" t="s">
        <v>211</v>
      </c>
      <c r="D237" s="893">
        <v>2011</v>
      </c>
      <c r="E237" s="1159">
        <v>0</v>
      </c>
      <c r="F237" s="1159">
        <v>0</v>
      </c>
      <c r="G237" s="7">
        <f t="shared" si="28"/>
        <v>0</v>
      </c>
      <c r="H237" s="7">
        <f t="shared" si="30"/>
        <v>0</v>
      </c>
    </row>
    <row r="238" spans="1:8" x14ac:dyDescent="0.2">
      <c r="A238" s="737">
        <f t="shared" si="29"/>
        <v>136</v>
      </c>
      <c r="C238" s="714" t="s">
        <v>212</v>
      </c>
      <c r="D238" s="893">
        <v>2011</v>
      </c>
      <c r="E238" s="1159">
        <v>0</v>
      </c>
      <c r="F238" s="1159">
        <v>0</v>
      </c>
      <c r="G238" s="7">
        <f t="shared" si="28"/>
        <v>0</v>
      </c>
      <c r="H238" s="7">
        <f t="shared" si="30"/>
        <v>0</v>
      </c>
    </row>
    <row r="239" spans="1:8" x14ac:dyDescent="0.2">
      <c r="A239" s="737">
        <f t="shared" si="29"/>
        <v>137</v>
      </c>
      <c r="C239" s="714" t="s">
        <v>213</v>
      </c>
      <c r="D239" s="893">
        <v>2011</v>
      </c>
      <c r="E239" s="1159">
        <v>0</v>
      </c>
      <c r="F239" s="1159">
        <v>0</v>
      </c>
      <c r="G239" s="7">
        <f t="shared" si="28"/>
        <v>0</v>
      </c>
      <c r="H239" s="7">
        <f t="shared" si="30"/>
        <v>0</v>
      </c>
    </row>
    <row r="240" spans="1:8" x14ac:dyDescent="0.2">
      <c r="A240" s="737">
        <f t="shared" si="29"/>
        <v>138</v>
      </c>
      <c r="C240" s="716" t="s">
        <v>214</v>
      </c>
      <c r="D240" s="893">
        <v>2011</v>
      </c>
      <c r="E240" s="1159">
        <v>0</v>
      </c>
      <c r="F240" s="1159">
        <v>0</v>
      </c>
      <c r="G240" s="7">
        <f t="shared" si="28"/>
        <v>0</v>
      </c>
      <c r="H240" s="7">
        <f t="shared" si="30"/>
        <v>0</v>
      </c>
    </row>
    <row r="241" spans="1:8" x14ac:dyDescent="0.2">
      <c r="A241" s="737">
        <f t="shared" si="29"/>
        <v>139</v>
      </c>
      <c r="C241" s="714" t="s">
        <v>215</v>
      </c>
      <c r="D241" s="893">
        <v>2011</v>
      </c>
      <c r="E241" s="1159">
        <v>0</v>
      </c>
      <c r="F241" s="1159">
        <v>0</v>
      </c>
      <c r="G241" s="7">
        <f t="shared" si="28"/>
        <v>0</v>
      </c>
      <c r="H241" s="7">
        <f t="shared" si="30"/>
        <v>0</v>
      </c>
    </row>
    <row r="242" spans="1:8" x14ac:dyDescent="0.2">
      <c r="A242" s="737">
        <f t="shared" si="29"/>
        <v>140</v>
      </c>
      <c r="C242" s="714" t="s">
        <v>216</v>
      </c>
      <c r="D242" s="893">
        <v>2011</v>
      </c>
      <c r="E242" s="1159">
        <v>0</v>
      </c>
      <c r="F242" s="1159">
        <v>0</v>
      </c>
      <c r="G242" s="7">
        <f t="shared" si="28"/>
        <v>0</v>
      </c>
      <c r="H242" s="7">
        <f t="shared" si="30"/>
        <v>0</v>
      </c>
    </row>
    <row r="243" spans="1:8" x14ac:dyDescent="0.2">
      <c r="A243" s="737">
        <f t="shared" si="29"/>
        <v>141</v>
      </c>
      <c r="C243" s="716" t="s">
        <v>217</v>
      </c>
      <c r="D243" s="893">
        <v>2011</v>
      </c>
      <c r="E243" s="1159">
        <v>0</v>
      </c>
      <c r="F243" s="1159">
        <v>0</v>
      </c>
      <c r="G243" s="7">
        <f t="shared" si="28"/>
        <v>0</v>
      </c>
      <c r="H243" s="7">
        <f t="shared" si="30"/>
        <v>0</v>
      </c>
    </row>
    <row r="244" spans="1:8" x14ac:dyDescent="0.2">
      <c r="A244" s="737">
        <f t="shared" si="29"/>
        <v>142</v>
      </c>
      <c r="C244" s="716" t="s">
        <v>218</v>
      </c>
      <c r="D244" s="893">
        <v>2011</v>
      </c>
      <c r="E244" s="1159">
        <v>0</v>
      </c>
      <c r="F244" s="1159">
        <v>0</v>
      </c>
      <c r="G244" s="7">
        <f t="shared" si="28"/>
        <v>0</v>
      </c>
      <c r="H244" s="7">
        <f t="shared" si="30"/>
        <v>0</v>
      </c>
    </row>
    <row r="245" spans="1:8" x14ac:dyDescent="0.2">
      <c r="A245" s="737">
        <f t="shared" si="29"/>
        <v>143</v>
      </c>
      <c r="C245" s="716" t="s">
        <v>208</v>
      </c>
      <c r="D245" s="893">
        <v>2011</v>
      </c>
      <c r="E245" s="1159">
        <v>0</v>
      </c>
      <c r="F245" s="1159">
        <v>0</v>
      </c>
      <c r="G245" s="7">
        <f t="shared" si="28"/>
        <v>0</v>
      </c>
      <c r="H245" s="7">
        <f t="shared" si="30"/>
        <v>0</v>
      </c>
    </row>
    <row r="247" spans="1:8" x14ac:dyDescent="0.2">
      <c r="C247" s="196" t="s">
        <v>2056</v>
      </c>
      <c r="H247" s="86" t="s">
        <v>389</v>
      </c>
    </row>
    <row r="248" spans="1:8" x14ac:dyDescent="0.2">
      <c r="E248" s="86" t="s">
        <v>403</v>
      </c>
      <c r="F248" s="86" t="s">
        <v>387</v>
      </c>
      <c r="G248" s="86" t="s">
        <v>388</v>
      </c>
      <c r="H248" s="642" t="s">
        <v>2151</v>
      </c>
    </row>
    <row r="249" spans="1:8" x14ac:dyDescent="0.2">
      <c r="C249" s="737" t="s">
        <v>600</v>
      </c>
      <c r="G249" s="642" t="s">
        <v>2150</v>
      </c>
      <c r="H249" s="627" t="s">
        <v>2152</v>
      </c>
    </row>
    <row r="250" spans="1:8" x14ac:dyDescent="0.2">
      <c r="C250" s="737" t="s">
        <v>221</v>
      </c>
      <c r="E250" s="737" t="s">
        <v>423</v>
      </c>
      <c r="F250" s="737" t="s">
        <v>2008</v>
      </c>
      <c r="G250" s="737" t="s">
        <v>1103</v>
      </c>
      <c r="H250" s="737" t="s">
        <v>1276</v>
      </c>
    </row>
    <row r="251" spans="1:8" x14ac:dyDescent="0.2">
      <c r="C251" s="25" t="s">
        <v>220</v>
      </c>
      <c r="D251" s="25" t="s">
        <v>221</v>
      </c>
      <c r="E251" s="3" t="s">
        <v>2009</v>
      </c>
      <c r="F251" s="3" t="s">
        <v>1225</v>
      </c>
      <c r="G251" s="3" t="s">
        <v>3</v>
      </c>
      <c r="H251" s="3" t="s">
        <v>2004</v>
      </c>
    </row>
    <row r="252" spans="1:8" x14ac:dyDescent="0.2">
      <c r="A252" s="737">
        <f>A245+1</f>
        <v>144</v>
      </c>
      <c r="C252" s="716" t="s">
        <v>208</v>
      </c>
      <c r="D252" s="893">
        <v>2010</v>
      </c>
      <c r="E252" s="1159">
        <v>0</v>
      </c>
      <c r="F252" s="1159">
        <v>0</v>
      </c>
      <c r="G252" s="7">
        <f t="shared" ref="G252:G264" si="31">E252-F252</f>
        <v>0</v>
      </c>
      <c r="H252" s="7">
        <f>E252-E252</f>
        <v>0</v>
      </c>
    </row>
    <row r="253" spans="1:8" x14ac:dyDescent="0.2">
      <c r="A253" s="737">
        <f>A252+1</f>
        <v>145</v>
      </c>
      <c r="C253" s="716" t="s">
        <v>209</v>
      </c>
      <c r="D253" s="893">
        <v>2011</v>
      </c>
      <c r="E253" s="1159">
        <v>0</v>
      </c>
      <c r="F253" s="1159">
        <v>0</v>
      </c>
      <c r="G253" s="7">
        <f t="shared" si="31"/>
        <v>0</v>
      </c>
      <c r="H253" s="7">
        <f>E253-E252</f>
        <v>0</v>
      </c>
    </row>
    <row r="254" spans="1:8" x14ac:dyDescent="0.2">
      <c r="A254" s="737">
        <f t="shared" ref="A254:A264" si="32">A253+1</f>
        <v>146</v>
      </c>
      <c r="C254" s="714" t="s">
        <v>210</v>
      </c>
      <c r="D254" s="893">
        <v>2011</v>
      </c>
      <c r="E254" s="1159">
        <v>0</v>
      </c>
      <c r="F254" s="1159">
        <v>0</v>
      </c>
      <c r="G254" s="7">
        <f t="shared" si="31"/>
        <v>0</v>
      </c>
      <c r="H254" s="7">
        <f t="shared" ref="H254:H264" si="33">E254-E253</f>
        <v>0</v>
      </c>
    </row>
    <row r="255" spans="1:8" x14ac:dyDescent="0.2">
      <c r="A255" s="737">
        <f t="shared" si="32"/>
        <v>147</v>
      </c>
      <c r="C255" s="714" t="s">
        <v>223</v>
      </c>
      <c r="D255" s="893">
        <v>2011</v>
      </c>
      <c r="E255" s="1159">
        <v>0</v>
      </c>
      <c r="F255" s="1159">
        <v>0</v>
      </c>
      <c r="G255" s="7">
        <f t="shared" si="31"/>
        <v>0</v>
      </c>
      <c r="H255" s="7">
        <f t="shared" si="33"/>
        <v>0</v>
      </c>
    </row>
    <row r="256" spans="1:8" x14ac:dyDescent="0.2">
      <c r="A256" s="737">
        <f t="shared" si="32"/>
        <v>148</v>
      </c>
      <c r="C256" s="716" t="s">
        <v>211</v>
      </c>
      <c r="D256" s="893">
        <v>2011</v>
      </c>
      <c r="E256" s="1159">
        <v>0</v>
      </c>
      <c r="F256" s="1159">
        <v>0</v>
      </c>
      <c r="G256" s="7">
        <f t="shared" si="31"/>
        <v>0</v>
      </c>
      <c r="H256" s="7">
        <f t="shared" si="33"/>
        <v>0</v>
      </c>
    </row>
    <row r="257" spans="1:8" x14ac:dyDescent="0.2">
      <c r="A257" s="737">
        <f t="shared" si="32"/>
        <v>149</v>
      </c>
      <c r="C257" s="714" t="s">
        <v>212</v>
      </c>
      <c r="D257" s="893">
        <v>2011</v>
      </c>
      <c r="E257" s="1159">
        <v>0</v>
      </c>
      <c r="F257" s="1159">
        <v>0</v>
      </c>
      <c r="G257" s="7">
        <f t="shared" si="31"/>
        <v>0</v>
      </c>
      <c r="H257" s="7">
        <f t="shared" si="33"/>
        <v>0</v>
      </c>
    </row>
    <row r="258" spans="1:8" x14ac:dyDescent="0.2">
      <c r="A258" s="737">
        <f t="shared" si="32"/>
        <v>150</v>
      </c>
      <c r="C258" s="714" t="s">
        <v>213</v>
      </c>
      <c r="D258" s="893">
        <v>2011</v>
      </c>
      <c r="E258" s="1159">
        <v>0</v>
      </c>
      <c r="F258" s="1159">
        <v>0</v>
      </c>
      <c r="G258" s="7">
        <f t="shared" si="31"/>
        <v>0</v>
      </c>
      <c r="H258" s="7">
        <f t="shared" si="33"/>
        <v>0</v>
      </c>
    </row>
    <row r="259" spans="1:8" x14ac:dyDescent="0.2">
      <c r="A259" s="737">
        <f t="shared" si="32"/>
        <v>151</v>
      </c>
      <c r="C259" s="716" t="s">
        <v>214</v>
      </c>
      <c r="D259" s="893">
        <v>2011</v>
      </c>
      <c r="E259" s="1159">
        <v>0</v>
      </c>
      <c r="F259" s="1159">
        <v>0</v>
      </c>
      <c r="G259" s="7">
        <f t="shared" si="31"/>
        <v>0</v>
      </c>
      <c r="H259" s="7">
        <f t="shared" si="33"/>
        <v>0</v>
      </c>
    </row>
    <row r="260" spans="1:8" x14ac:dyDescent="0.2">
      <c r="A260" s="737">
        <f t="shared" si="32"/>
        <v>152</v>
      </c>
      <c r="C260" s="714" t="s">
        <v>215</v>
      </c>
      <c r="D260" s="893">
        <v>2011</v>
      </c>
      <c r="E260" s="1159">
        <v>0</v>
      </c>
      <c r="F260" s="1159">
        <v>0</v>
      </c>
      <c r="G260" s="7">
        <f t="shared" si="31"/>
        <v>0</v>
      </c>
      <c r="H260" s="7">
        <f t="shared" si="33"/>
        <v>0</v>
      </c>
    </row>
    <row r="261" spans="1:8" x14ac:dyDescent="0.2">
      <c r="A261" s="737">
        <f t="shared" si="32"/>
        <v>153</v>
      </c>
      <c r="C261" s="714" t="s">
        <v>216</v>
      </c>
      <c r="D261" s="893">
        <v>2011</v>
      </c>
      <c r="E261" s="1159">
        <v>0</v>
      </c>
      <c r="F261" s="1159">
        <v>0</v>
      </c>
      <c r="G261" s="7">
        <f t="shared" si="31"/>
        <v>0</v>
      </c>
      <c r="H261" s="7">
        <f t="shared" si="33"/>
        <v>0</v>
      </c>
    </row>
    <row r="262" spans="1:8" x14ac:dyDescent="0.2">
      <c r="A262" s="737">
        <f t="shared" si="32"/>
        <v>154</v>
      </c>
      <c r="C262" s="716" t="s">
        <v>217</v>
      </c>
      <c r="D262" s="893">
        <v>2011</v>
      </c>
      <c r="E262" s="1159">
        <v>0</v>
      </c>
      <c r="F262" s="1159">
        <v>0</v>
      </c>
      <c r="G262" s="7">
        <f t="shared" si="31"/>
        <v>0</v>
      </c>
      <c r="H262" s="7">
        <f t="shared" si="33"/>
        <v>0</v>
      </c>
    </row>
    <row r="263" spans="1:8" x14ac:dyDescent="0.2">
      <c r="A263" s="737">
        <f t="shared" si="32"/>
        <v>155</v>
      </c>
      <c r="C263" s="716" t="s">
        <v>218</v>
      </c>
      <c r="D263" s="893">
        <v>2011</v>
      </c>
      <c r="E263" s="1159">
        <v>0</v>
      </c>
      <c r="F263" s="1159">
        <v>0</v>
      </c>
      <c r="G263" s="7">
        <f t="shared" si="31"/>
        <v>0</v>
      </c>
      <c r="H263" s="7">
        <f t="shared" si="33"/>
        <v>0</v>
      </c>
    </row>
    <row r="264" spans="1:8" x14ac:dyDescent="0.2">
      <c r="A264" s="737">
        <f t="shared" si="32"/>
        <v>156</v>
      </c>
      <c r="C264" s="716" t="s">
        <v>208</v>
      </c>
      <c r="D264" s="893">
        <v>2011</v>
      </c>
      <c r="E264" s="1159">
        <v>0</v>
      </c>
      <c r="F264" s="1159">
        <v>0</v>
      </c>
      <c r="G264" s="7">
        <f t="shared" si="31"/>
        <v>0</v>
      </c>
      <c r="H264" s="7">
        <f t="shared" si="33"/>
        <v>0</v>
      </c>
    </row>
    <row r="266" spans="1:8" x14ac:dyDescent="0.2">
      <c r="C266" s="196" t="s">
        <v>2015</v>
      </c>
      <c r="E266" s="86" t="s">
        <v>403</v>
      </c>
      <c r="F266" s="86" t="s">
        <v>387</v>
      </c>
      <c r="G266" s="86" t="s">
        <v>388</v>
      </c>
      <c r="H266" s="86" t="s">
        <v>389</v>
      </c>
    </row>
    <row r="267" spans="1:8" x14ac:dyDescent="0.2">
      <c r="G267" s="642" t="s">
        <v>2150</v>
      </c>
      <c r="H267" s="642" t="s">
        <v>2151</v>
      </c>
    </row>
    <row r="268" spans="1:8" x14ac:dyDescent="0.2">
      <c r="C268" s="737" t="s">
        <v>600</v>
      </c>
      <c r="H268" s="627" t="s">
        <v>2152</v>
      </c>
    </row>
    <row r="269" spans="1:8" x14ac:dyDescent="0.2">
      <c r="C269" s="737" t="s">
        <v>221</v>
      </c>
      <c r="E269" s="737" t="s">
        <v>423</v>
      </c>
      <c r="F269" s="737" t="s">
        <v>2008</v>
      </c>
      <c r="G269" s="737" t="s">
        <v>1103</v>
      </c>
      <c r="H269" s="737" t="s">
        <v>1276</v>
      </c>
    </row>
    <row r="270" spans="1:8" x14ac:dyDescent="0.2">
      <c r="C270" s="25" t="s">
        <v>220</v>
      </c>
      <c r="D270" s="25" t="s">
        <v>221</v>
      </c>
      <c r="E270" s="3" t="s">
        <v>2009</v>
      </c>
      <c r="F270" s="3" t="s">
        <v>1225</v>
      </c>
      <c r="G270" s="3" t="s">
        <v>3</v>
      </c>
      <c r="H270" s="3" t="s">
        <v>2004</v>
      </c>
    </row>
    <row r="271" spans="1:8" x14ac:dyDescent="0.2">
      <c r="A271" s="737">
        <f>A264+1</f>
        <v>157</v>
      </c>
      <c r="C271" s="716" t="s">
        <v>208</v>
      </c>
      <c r="D271" s="893">
        <v>2010</v>
      </c>
      <c r="E271" s="1159">
        <v>0</v>
      </c>
      <c r="F271" s="1159">
        <v>0</v>
      </c>
      <c r="G271" s="7">
        <f t="shared" ref="G271:G283" si="34">E271-F271</f>
        <v>0</v>
      </c>
      <c r="H271" s="7">
        <f>E271-E271</f>
        <v>0</v>
      </c>
    </row>
    <row r="272" spans="1:8" x14ac:dyDescent="0.2">
      <c r="A272" s="737">
        <f>A271+1</f>
        <v>158</v>
      </c>
      <c r="C272" s="716" t="s">
        <v>209</v>
      </c>
      <c r="D272" s="893">
        <v>2011</v>
      </c>
      <c r="E272" s="1159">
        <v>0</v>
      </c>
      <c r="F272" s="1159">
        <v>0</v>
      </c>
      <c r="G272" s="7">
        <f t="shared" si="34"/>
        <v>0</v>
      </c>
      <c r="H272" s="7">
        <f>E272-E271</f>
        <v>0</v>
      </c>
    </row>
    <row r="273" spans="1:8" x14ac:dyDescent="0.2">
      <c r="A273" s="737">
        <f t="shared" ref="A273:A283" si="35">A272+1</f>
        <v>159</v>
      </c>
      <c r="C273" s="714" t="s">
        <v>210</v>
      </c>
      <c r="D273" s="893">
        <v>2011</v>
      </c>
      <c r="E273" s="1159">
        <v>0</v>
      </c>
      <c r="F273" s="1159">
        <v>0</v>
      </c>
      <c r="G273" s="7">
        <f t="shared" si="34"/>
        <v>0</v>
      </c>
      <c r="H273" s="7">
        <f t="shared" ref="H273:H283" si="36">E273-E272</f>
        <v>0</v>
      </c>
    </row>
    <row r="274" spans="1:8" x14ac:dyDescent="0.2">
      <c r="A274" s="737">
        <f t="shared" si="35"/>
        <v>160</v>
      </c>
      <c r="C274" s="714" t="s">
        <v>223</v>
      </c>
      <c r="D274" s="893">
        <v>2011</v>
      </c>
      <c r="E274" s="1159">
        <v>0</v>
      </c>
      <c r="F274" s="1159">
        <v>0</v>
      </c>
      <c r="G274" s="7">
        <f t="shared" si="34"/>
        <v>0</v>
      </c>
      <c r="H274" s="7">
        <f t="shared" si="36"/>
        <v>0</v>
      </c>
    </row>
    <row r="275" spans="1:8" x14ac:dyDescent="0.2">
      <c r="A275" s="737">
        <f t="shared" si="35"/>
        <v>161</v>
      </c>
      <c r="C275" s="716" t="s">
        <v>211</v>
      </c>
      <c r="D275" s="893">
        <v>2011</v>
      </c>
      <c r="E275" s="1159">
        <v>0</v>
      </c>
      <c r="F275" s="1159">
        <v>0</v>
      </c>
      <c r="G275" s="7">
        <f t="shared" si="34"/>
        <v>0</v>
      </c>
      <c r="H275" s="7">
        <f t="shared" si="36"/>
        <v>0</v>
      </c>
    </row>
    <row r="276" spans="1:8" x14ac:dyDescent="0.2">
      <c r="A276" s="737">
        <f t="shared" si="35"/>
        <v>162</v>
      </c>
      <c r="C276" s="714" t="s">
        <v>212</v>
      </c>
      <c r="D276" s="893">
        <v>2011</v>
      </c>
      <c r="E276" s="1159">
        <v>0</v>
      </c>
      <c r="F276" s="1159">
        <v>0</v>
      </c>
      <c r="G276" s="7">
        <f t="shared" si="34"/>
        <v>0</v>
      </c>
      <c r="H276" s="7">
        <f t="shared" si="36"/>
        <v>0</v>
      </c>
    </row>
    <row r="277" spans="1:8" x14ac:dyDescent="0.2">
      <c r="A277" s="737">
        <f t="shared" si="35"/>
        <v>163</v>
      </c>
      <c r="C277" s="714" t="s">
        <v>213</v>
      </c>
      <c r="D277" s="893">
        <v>2011</v>
      </c>
      <c r="E277" s="1159">
        <v>0</v>
      </c>
      <c r="F277" s="1159">
        <v>0</v>
      </c>
      <c r="G277" s="7">
        <f t="shared" si="34"/>
        <v>0</v>
      </c>
      <c r="H277" s="7">
        <f t="shared" si="36"/>
        <v>0</v>
      </c>
    </row>
    <row r="278" spans="1:8" x14ac:dyDescent="0.2">
      <c r="A278" s="737">
        <f t="shared" si="35"/>
        <v>164</v>
      </c>
      <c r="C278" s="716" t="s">
        <v>214</v>
      </c>
      <c r="D278" s="893">
        <v>2011</v>
      </c>
      <c r="E278" s="1159">
        <v>0</v>
      </c>
      <c r="F278" s="1159">
        <v>0</v>
      </c>
      <c r="G278" s="7">
        <f t="shared" si="34"/>
        <v>0</v>
      </c>
      <c r="H278" s="7">
        <f t="shared" si="36"/>
        <v>0</v>
      </c>
    </row>
    <row r="279" spans="1:8" x14ac:dyDescent="0.2">
      <c r="A279" s="737">
        <f t="shared" si="35"/>
        <v>165</v>
      </c>
      <c r="C279" s="714" t="s">
        <v>215</v>
      </c>
      <c r="D279" s="893">
        <v>2011</v>
      </c>
      <c r="E279" s="1159">
        <v>0</v>
      </c>
      <c r="F279" s="1159">
        <v>0</v>
      </c>
      <c r="G279" s="7">
        <f t="shared" si="34"/>
        <v>0</v>
      </c>
      <c r="H279" s="7">
        <f t="shared" si="36"/>
        <v>0</v>
      </c>
    </row>
    <row r="280" spans="1:8" x14ac:dyDescent="0.2">
      <c r="A280" s="737">
        <f t="shared" si="35"/>
        <v>166</v>
      </c>
      <c r="C280" s="714" t="s">
        <v>216</v>
      </c>
      <c r="D280" s="893">
        <v>2011</v>
      </c>
      <c r="E280" s="1159">
        <v>0</v>
      </c>
      <c r="F280" s="1159">
        <v>0</v>
      </c>
      <c r="G280" s="7">
        <f t="shared" si="34"/>
        <v>0</v>
      </c>
      <c r="H280" s="7">
        <f t="shared" si="36"/>
        <v>0</v>
      </c>
    </row>
    <row r="281" spans="1:8" x14ac:dyDescent="0.2">
      <c r="A281" s="737">
        <f t="shared" si="35"/>
        <v>167</v>
      </c>
      <c r="C281" s="716" t="s">
        <v>217</v>
      </c>
      <c r="D281" s="893">
        <v>2011</v>
      </c>
      <c r="E281" s="1159">
        <v>0</v>
      </c>
      <c r="F281" s="1159">
        <v>0</v>
      </c>
      <c r="G281" s="7">
        <f t="shared" si="34"/>
        <v>0</v>
      </c>
      <c r="H281" s="7">
        <f t="shared" si="36"/>
        <v>0</v>
      </c>
    </row>
    <row r="282" spans="1:8" x14ac:dyDescent="0.2">
      <c r="A282" s="737">
        <f t="shared" si="35"/>
        <v>168</v>
      </c>
      <c r="C282" s="716" t="s">
        <v>218</v>
      </c>
      <c r="D282" s="893">
        <v>2011</v>
      </c>
      <c r="E282" s="1159">
        <v>0</v>
      </c>
      <c r="F282" s="1159">
        <v>0</v>
      </c>
      <c r="G282" s="7">
        <f t="shared" si="34"/>
        <v>0</v>
      </c>
      <c r="H282" s="7">
        <f t="shared" si="36"/>
        <v>0</v>
      </c>
    </row>
    <row r="283" spans="1:8" x14ac:dyDescent="0.2">
      <c r="A283" s="737">
        <f t="shared" si="35"/>
        <v>169</v>
      </c>
      <c r="C283" s="716" t="s">
        <v>208</v>
      </c>
      <c r="D283" s="893">
        <v>2011</v>
      </c>
      <c r="E283" s="1159">
        <v>0</v>
      </c>
      <c r="F283" s="1159">
        <v>0</v>
      </c>
      <c r="G283" s="7">
        <f t="shared" si="34"/>
        <v>0</v>
      </c>
      <c r="H283" s="7">
        <f t="shared" si="36"/>
        <v>0</v>
      </c>
    </row>
    <row r="285" spans="1:8" x14ac:dyDescent="0.2">
      <c r="C285" s="196" t="s">
        <v>2016</v>
      </c>
      <c r="E285" s="86" t="s">
        <v>403</v>
      </c>
      <c r="F285" s="86" t="s">
        <v>387</v>
      </c>
      <c r="G285" s="86" t="s">
        <v>388</v>
      </c>
      <c r="H285" s="86" t="s">
        <v>389</v>
      </c>
    </row>
    <row r="286" spans="1:8" x14ac:dyDescent="0.2">
      <c r="G286" s="642" t="s">
        <v>2150</v>
      </c>
      <c r="H286" s="642" t="s">
        <v>2151</v>
      </c>
    </row>
    <row r="287" spans="1:8" x14ac:dyDescent="0.2">
      <c r="C287" s="737" t="s">
        <v>600</v>
      </c>
      <c r="H287" s="627" t="s">
        <v>2152</v>
      </c>
    </row>
    <row r="288" spans="1:8" x14ac:dyDescent="0.2">
      <c r="C288" s="737" t="s">
        <v>221</v>
      </c>
      <c r="E288" s="737" t="s">
        <v>423</v>
      </c>
      <c r="F288" s="737" t="s">
        <v>2008</v>
      </c>
      <c r="G288" s="737" t="s">
        <v>1103</v>
      </c>
      <c r="H288" s="737" t="s">
        <v>1276</v>
      </c>
    </row>
    <row r="289" spans="1:8" x14ac:dyDescent="0.2">
      <c r="C289" s="25" t="s">
        <v>220</v>
      </c>
      <c r="D289" s="25" t="s">
        <v>221</v>
      </c>
      <c r="E289" s="3" t="s">
        <v>2009</v>
      </c>
      <c r="F289" s="3" t="s">
        <v>1225</v>
      </c>
      <c r="G289" s="3" t="s">
        <v>3</v>
      </c>
      <c r="H289" s="3" t="s">
        <v>2004</v>
      </c>
    </row>
    <row r="290" spans="1:8" x14ac:dyDescent="0.2">
      <c r="A290" s="737">
        <f>A283+1</f>
        <v>170</v>
      </c>
      <c r="C290" s="716" t="s">
        <v>208</v>
      </c>
      <c r="D290" s="893">
        <v>2010</v>
      </c>
      <c r="E290" s="1159">
        <v>0</v>
      </c>
      <c r="F290" s="1159">
        <v>0</v>
      </c>
      <c r="G290" s="7">
        <f t="shared" ref="G290:G302" si="37">E290-F290</f>
        <v>0</v>
      </c>
      <c r="H290" s="7">
        <f>E290-E290</f>
        <v>0</v>
      </c>
    </row>
    <row r="291" spans="1:8" x14ac:dyDescent="0.2">
      <c r="A291" s="737">
        <f>A290+1</f>
        <v>171</v>
      </c>
      <c r="C291" s="716" t="s">
        <v>209</v>
      </c>
      <c r="D291" s="893">
        <v>2011</v>
      </c>
      <c r="E291" s="1159">
        <v>0</v>
      </c>
      <c r="F291" s="1159">
        <v>0</v>
      </c>
      <c r="G291" s="7">
        <f t="shared" si="37"/>
        <v>0</v>
      </c>
      <c r="H291" s="7">
        <f>E291-E290</f>
        <v>0</v>
      </c>
    </row>
    <row r="292" spans="1:8" x14ac:dyDescent="0.2">
      <c r="A292" s="737">
        <f t="shared" ref="A292:A302" si="38">A291+1</f>
        <v>172</v>
      </c>
      <c r="C292" s="714" t="s">
        <v>210</v>
      </c>
      <c r="D292" s="893">
        <v>2011</v>
      </c>
      <c r="E292" s="1159">
        <v>0</v>
      </c>
      <c r="F292" s="1159">
        <v>0</v>
      </c>
      <c r="G292" s="7">
        <f t="shared" si="37"/>
        <v>0</v>
      </c>
      <c r="H292" s="7">
        <f t="shared" ref="H292:H302" si="39">E292-E291</f>
        <v>0</v>
      </c>
    </row>
    <row r="293" spans="1:8" x14ac:dyDescent="0.2">
      <c r="A293" s="737">
        <f t="shared" si="38"/>
        <v>173</v>
      </c>
      <c r="C293" s="714" t="s">
        <v>223</v>
      </c>
      <c r="D293" s="893">
        <v>2011</v>
      </c>
      <c r="E293" s="1159">
        <v>0</v>
      </c>
      <c r="F293" s="1159">
        <v>0</v>
      </c>
      <c r="G293" s="7">
        <f t="shared" si="37"/>
        <v>0</v>
      </c>
      <c r="H293" s="7">
        <f t="shared" si="39"/>
        <v>0</v>
      </c>
    </row>
    <row r="294" spans="1:8" x14ac:dyDescent="0.2">
      <c r="A294" s="737">
        <f t="shared" si="38"/>
        <v>174</v>
      </c>
      <c r="C294" s="716" t="s">
        <v>211</v>
      </c>
      <c r="D294" s="893">
        <v>2011</v>
      </c>
      <c r="E294" s="1159">
        <v>0</v>
      </c>
      <c r="F294" s="1159">
        <v>0</v>
      </c>
      <c r="G294" s="7">
        <f t="shared" si="37"/>
        <v>0</v>
      </c>
      <c r="H294" s="7">
        <f t="shared" si="39"/>
        <v>0</v>
      </c>
    </row>
    <row r="295" spans="1:8" x14ac:dyDescent="0.2">
      <c r="A295" s="737">
        <f t="shared" si="38"/>
        <v>175</v>
      </c>
      <c r="C295" s="714" t="s">
        <v>212</v>
      </c>
      <c r="D295" s="893">
        <v>2011</v>
      </c>
      <c r="E295" s="1159">
        <v>0</v>
      </c>
      <c r="F295" s="1159">
        <v>0</v>
      </c>
      <c r="G295" s="7">
        <f t="shared" si="37"/>
        <v>0</v>
      </c>
      <c r="H295" s="7">
        <f t="shared" si="39"/>
        <v>0</v>
      </c>
    </row>
    <row r="296" spans="1:8" x14ac:dyDescent="0.2">
      <c r="A296" s="737">
        <f t="shared" si="38"/>
        <v>176</v>
      </c>
      <c r="C296" s="714" t="s">
        <v>213</v>
      </c>
      <c r="D296" s="893">
        <v>2011</v>
      </c>
      <c r="E296" s="1159">
        <v>0</v>
      </c>
      <c r="F296" s="1159">
        <v>0</v>
      </c>
      <c r="G296" s="7">
        <f t="shared" si="37"/>
        <v>0</v>
      </c>
      <c r="H296" s="7">
        <f t="shared" si="39"/>
        <v>0</v>
      </c>
    </row>
    <row r="297" spans="1:8" x14ac:dyDescent="0.2">
      <c r="A297" s="737">
        <f t="shared" si="38"/>
        <v>177</v>
      </c>
      <c r="C297" s="716" t="s">
        <v>214</v>
      </c>
      <c r="D297" s="893">
        <v>2011</v>
      </c>
      <c r="E297" s="1159">
        <v>0</v>
      </c>
      <c r="F297" s="1159">
        <v>0</v>
      </c>
      <c r="G297" s="7">
        <f t="shared" si="37"/>
        <v>0</v>
      </c>
      <c r="H297" s="7">
        <f t="shared" si="39"/>
        <v>0</v>
      </c>
    </row>
    <row r="298" spans="1:8" x14ac:dyDescent="0.2">
      <c r="A298" s="737">
        <f t="shared" si="38"/>
        <v>178</v>
      </c>
      <c r="C298" s="714" t="s">
        <v>215</v>
      </c>
      <c r="D298" s="893">
        <v>2011</v>
      </c>
      <c r="E298" s="1159">
        <v>0</v>
      </c>
      <c r="F298" s="1159">
        <v>0</v>
      </c>
      <c r="G298" s="7">
        <f t="shared" si="37"/>
        <v>0</v>
      </c>
      <c r="H298" s="7">
        <f t="shared" si="39"/>
        <v>0</v>
      </c>
    </row>
    <row r="299" spans="1:8" x14ac:dyDescent="0.2">
      <c r="A299" s="737">
        <f t="shared" si="38"/>
        <v>179</v>
      </c>
      <c r="C299" s="714" t="s">
        <v>216</v>
      </c>
      <c r="D299" s="893">
        <v>2011</v>
      </c>
      <c r="E299" s="1159">
        <v>0</v>
      </c>
      <c r="F299" s="1159">
        <v>0</v>
      </c>
      <c r="G299" s="7">
        <f t="shared" si="37"/>
        <v>0</v>
      </c>
      <c r="H299" s="7">
        <f t="shared" si="39"/>
        <v>0</v>
      </c>
    </row>
    <row r="300" spans="1:8" x14ac:dyDescent="0.2">
      <c r="A300" s="737">
        <f t="shared" si="38"/>
        <v>180</v>
      </c>
      <c r="C300" s="716" t="s">
        <v>217</v>
      </c>
      <c r="D300" s="893">
        <v>2011</v>
      </c>
      <c r="E300" s="1159">
        <v>0</v>
      </c>
      <c r="F300" s="1159">
        <v>0</v>
      </c>
      <c r="G300" s="7">
        <f t="shared" si="37"/>
        <v>0</v>
      </c>
      <c r="H300" s="7">
        <f t="shared" si="39"/>
        <v>0</v>
      </c>
    </row>
    <row r="301" spans="1:8" x14ac:dyDescent="0.2">
      <c r="A301" s="737">
        <f t="shared" si="38"/>
        <v>181</v>
      </c>
      <c r="C301" s="716" t="s">
        <v>218</v>
      </c>
      <c r="D301" s="893">
        <v>2011</v>
      </c>
      <c r="E301" s="1159">
        <v>0</v>
      </c>
      <c r="F301" s="1159">
        <v>0</v>
      </c>
      <c r="G301" s="7">
        <f t="shared" si="37"/>
        <v>0</v>
      </c>
      <c r="H301" s="7">
        <f t="shared" si="39"/>
        <v>0</v>
      </c>
    </row>
    <row r="302" spans="1:8" x14ac:dyDescent="0.2">
      <c r="A302" s="737">
        <f t="shared" si="38"/>
        <v>182</v>
      </c>
      <c r="C302" s="716" t="s">
        <v>208</v>
      </c>
      <c r="D302" s="893">
        <v>2011</v>
      </c>
      <c r="E302" s="1159">
        <v>0</v>
      </c>
      <c r="F302" s="1159">
        <v>0</v>
      </c>
      <c r="G302" s="7">
        <f t="shared" si="37"/>
        <v>0</v>
      </c>
      <c r="H302" s="7">
        <f t="shared" si="39"/>
        <v>0</v>
      </c>
    </row>
    <row r="304" spans="1:8" x14ac:dyDescent="0.2">
      <c r="B304" s="1"/>
      <c r="C304" s="1" t="s">
        <v>2017</v>
      </c>
      <c r="D304" s="624"/>
      <c r="E304" s="7"/>
    </row>
    <row r="305" spans="1:10" x14ac:dyDescent="0.2">
      <c r="B305" s="1"/>
    </row>
    <row r="306" spans="1:10" x14ac:dyDescent="0.2">
      <c r="C306" s="429" t="s">
        <v>1247</v>
      </c>
      <c r="D306" s="99"/>
      <c r="E306" s="99"/>
      <c r="F306" s="99"/>
      <c r="G306" s="195" t="s">
        <v>1249</v>
      </c>
      <c r="H306" s="99"/>
      <c r="I306" s="99"/>
      <c r="J306" s="99"/>
    </row>
    <row r="307" spans="1:10" x14ac:dyDescent="0.2">
      <c r="A307" s="737">
        <f>A302+1</f>
        <v>183</v>
      </c>
      <c r="C307" s="743" t="s">
        <v>254</v>
      </c>
      <c r="D307" s="99"/>
      <c r="E307" s="430"/>
      <c r="F307" s="421" t="s">
        <v>255</v>
      </c>
      <c r="G307" s="644" t="s">
        <v>3164</v>
      </c>
      <c r="H307" s="99"/>
      <c r="I307" s="99"/>
      <c r="J307" s="99"/>
    </row>
    <row r="308" spans="1:10" x14ac:dyDescent="0.2">
      <c r="A308" s="737">
        <f>A307+1</f>
        <v>184</v>
      </c>
      <c r="C308" s="420" t="s">
        <v>256</v>
      </c>
      <c r="D308" s="99"/>
      <c r="E308" s="431"/>
      <c r="F308" s="422">
        <v>7.4999999999999997E-3</v>
      </c>
      <c r="G308" s="644" t="s">
        <v>3165</v>
      </c>
      <c r="H308" s="99"/>
      <c r="I308" s="99"/>
      <c r="J308" s="99"/>
    </row>
    <row r="309" spans="1:10" x14ac:dyDescent="0.2">
      <c r="A309" s="737">
        <f>A308+1</f>
        <v>185</v>
      </c>
      <c r="C309" s="420" t="s">
        <v>1246</v>
      </c>
      <c r="D309" s="99"/>
      <c r="E309" s="430"/>
      <c r="F309" s="421" t="s">
        <v>257</v>
      </c>
      <c r="G309" s="156" t="s">
        <v>3166</v>
      </c>
      <c r="H309" s="99"/>
      <c r="I309" s="99"/>
      <c r="J309" s="99"/>
    </row>
    <row r="310" spans="1:10" x14ac:dyDescent="0.2">
      <c r="C310" s="99"/>
      <c r="D310" s="99"/>
      <c r="E310" s="430"/>
      <c r="F310" s="423"/>
      <c r="G310" s="99"/>
      <c r="H310" s="99"/>
      <c r="I310" s="99"/>
      <c r="J310" s="99"/>
    </row>
    <row r="311" spans="1:10" x14ac:dyDescent="0.2">
      <c r="C311" s="429" t="s">
        <v>1248</v>
      </c>
      <c r="D311" s="99"/>
      <c r="E311" s="99"/>
      <c r="F311" s="423"/>
      <c r="G311" s="195" t="s">
        <v>1249</v>
      </c>
      <c r="H311" s="99"/>
      <c r="I311" s="99"/>
      <c r="J311" s="99"/>
    </row>
    <row r="312" spans="1:10" x14ac:dyDescent="0.2">
      <c r="A312" s="737">
        <f>A309+1</f>
        <v>186</v>
      </c>
      <c r="C312" s="743" t="s">
        <v>254</v>
      </c>
      <c r="D312" s="99"/>
      <c r="E312" s="430"/>
      <c r="F312" s="421" t="s">
        <v>255</v>
      </c>
      <c r="G312" s="644" t="s">
        <v>3164</v>
      </c>
      <c r="H312" s="99"/>
      <c r="I312" s="99"/>
      <c r="J312" s="99"/>
    </row>
    <row r="313" spans="1:10" x14ac:dyDescent="0.2">
      <c r="A313" s="737">
        <f>A312+1</f>
        <v>187</v>
      </c>
      <c r="C313" s="420" t="s">
        <v>256</v>
      </c>
      <c r="D313" s="99"/>
      <c r="E313" s="431"/>
      <c r="F313" s="422">
        <v>1.2500000000000001E-2</v>
      </c>
      <c r="G313" s="644" t="s">
        <v>3165</v>
      </c>
      <c r="H313" s="99"/>
      <c r="I313" s="99"/>
      <c r="J313" s="99"/>
    </row>
    <row r="314" spans="1:10" x14ac:dyDescent="0.2">
      <c r="A314" s="737">
        <f>A313+1</f>
        <v>188</v>
      </c>
      <c r="C314" s="420" t="s">
        <v>1246</v>
      </c>
      <c r="D314" s="99"/>
      <c r="E314" s="430"/>
      <c r="F314" s="421" t="s">
        <v>255</v>
      </c>
      <c r="G314" s="644" t="s">
        <v>3167</v>
      </c>
      <c r="H314" s="99"/>
      <c r="I314" s="99"/>
      <c r="J314" s="99"/>
    </row>
    <row r="315" spans="1:10" x14ac:dyDescent="0.2">
      <c r="C315" s="420"/>
      <c r="D315" s="99"/>
      <c r="E315" s="430"/>
      <c r="F315" s="421"/>
      <c r="G315" s="99"/>
      <c r="H315" s="99"/>
      <c r="I315" s="99"/>
      <c r="J315" s="99"/>
    </row>
    <row r="316" spans="1:10" x14ac:dyDescent="0.2">
      <c r="C316" s="429" t="s">
        <v>1250</v>
      </c>
      <c r="D316" s="99"/>
      <c r="E316" s="644"/>
      <c r="F316" s="744"/>
      <c r="G316" s="195" t="s">
        <v>1249</v>
      </c>
      <c r="H316" s="99"/>
      <c r="I316" s="99"/>
      <c r="J316" s="99"/>
    </row>
    <row r="317" spans="1:10" x14ac:dyDescent="0.2">
      <c r="A317" s="737">
        <f>A314+1</f>
        <v>189</v>
      </c>
      <c r="C317" s="743" t="s">
        <v>254</v>
      </c>
      <c r="D317" s="99"/>
      <c r="E317" s="430"/>
      <c r="F317" s="421" t="s">
        <v>255</v>
      </c>
      <c r="G317" s="644" t="s">
        <v>3164</v>
      </c>
      <c r="H317" s="99"/>
      <c r="I317" s="99"/>
      <c r="J317" s="99"/>
    </row>
    <row r="318" spans="1:10" x14ac:dyDescent="0.2">
      <c r="A318" s="737">
        <f>A317+1</f>
        <v>190</v>
      </c>
      <c r="C318" s="420" t="s">
        <v>256</v>
      </c>
      <c r="D318" s="99"/>
      <c r="E318" s="431"/>
      <c r="F318" s="422">
        <v>0.01</v>
      </c>
      <c r="G318" s="644" t="s">
        <v>3168</v>
      </c>
      <c r="H318" s="99"/>
      <c r="I318" s="99"/>
      <c r="J318" s="99"/>
    </row>
    <row r="319" spans="1:10" x14ac:dyDescent="0.2">
      <c r="A319" s="737">
        <f>A318+1</f>
        <v>191</v>
      </c>
      <c r="C319" s="420"/>
      <c r="D319" s="99"/>
      <c r="E319" s="431"/>
      <c r="F319" s="422"/>
      <c r="G319" s="644" t="s">
        <v>3169</v>
      </c>
      <c r="H319" s="99"/>
      <c r="I319" s="99"/>
      <c r="J319" s="99"/>
    </row>
    <row r="320" spans="1:10" x14ac:dyDescent="0.2">
      <c r="A320" s="737">
        <f>A319+1</f>
        <v>192</v>
      </c>
      <c r="C320" s="420" t="s">
        <v>1246</v>
      </c>
      <c r="D320" s="99"/>
      <c r="E320" s="430"/>
      <c r="F320" s="421" t="s">
        <v>255</v>
      </c>
      <c r="G320" s="644" t="s">
        <v>3167</v>
      </c>
      <c r="H320" s="99"/>
      <c r="I320" s="99"/>
      <c r="J320" s="99"/>
    </row>
    <row r="321" spans="1:10" x14ac:dyDescent="0.2">
      <c r="C321" s="420"/>
      <c r="D321" s="99"/>
      <c r="E321" s="430"/>
      <c r="F321" s="421"/>
      <c r="G321" s="99"/>
      <c r="H321" s="99"/>
      <c r="I321" s="99"/>
      <c r="J321" s="99"/>
    </row>
    <row r="322" spans="1:10" x14ac:dyDescent="0.2">
      <c r="C322" s="429" t="s">
        <v>1251</v>
      </c>
      <c r="D322" s="99"/>
      <c r="E322" s="644"/>
      <c r="F322" s="744"/>
      <c r="G322" s="195" t="s">
        <v>1249</v>
      </c>
      <c r="H322" s="99"/>
      <c r="I322" s="99"/>
      <c r="J322" s="99"/>
    </row>
    <row r="323" spans="1:10" x14ac:dyDescent="0.2">
      <c r="A323" s="737">
        <f>A320+1</f>
        <v>193</v>
      </c>
      <c r="C323" s="743" t="s">
        <v>254</v>
      </c>
      <c r="D323" s="99"/>
      <c r="E323" s="430"/>
      <c r="F323" s="421" t="s">
        <v>257</v>
      </c>
      <c r="G323" s="644" t="s">
        <v>3170</v>
      </c>
      <c r="H323" s="99"/>
      <c r="I323" s="99"/>
      <c r="J323" s="99"/>
    </row>
    <row r="324" spans="1:10" x14ac:dyDescent="0.2">
      <c r="A324" s="737">
        <f>A323+1</f>
        <v>194</v>
      </c>
      <c r="C324" s="743"/>
      <c r="D324" s="99"/>
      <c r="E324" s="430"/>
      <c r="F324" s="421"/>
      <c r="G324" s="99" t="s">
        <v>3171</v>
      </c>
      <c r="H324" s="99"/>
      <c r="I324" s="99"/>
      <c r="J324" s="99"/>
    </row>
    <row r="325" spans="1:10" x14ac:dyDescent="0.2">
      <c r="A325" s="737">
        <f>A324+1</f>
        <v>195</v>
      </c>
      <c r="C325" s="420" t="s">
        <v>256</v>
      </c>
      <c r="D325" s="99"/>
      <c r="E325" s="431"/>
      <c r="F325" s="422">
        <v>0</v>
      </c>
      <c r="G325" s="644" t="s">
        <v>3172</v>
      </c>
      <c r="H325" s="99"/>
      <c r="I325" s="99"/>
      <c r="J325" s="99"/>
    </row>
    <row r="326" spans="1:10" x14ac:dyDescent="0.2">
      <c r="A326" s="737">
        <f>A325+1</f>
        <v>196</v>
      </c>
      <c r="C326" s="420"/>
      <c r="D326" s="99"/>
      <c r="E326" s="431"/>
      <c r="F326" s="422"/>
      <c r="G326" s="644" t="s">
        <v>3173</v>
      </c>
      <c r="H326" s="99"/>
      <c r="I326" s="99"/>
      <c r="J326" s="99"/>
    </row>
    <row r="327" spans="1:10" x14ac:dyDescent="0.2">
      <c r="A327" s="737">
        <f>A326+1</f>
        <v>197</v>
      </c>
      <c r="C327" s="420" t="s">
        <v>1246</v>
      </c>
      <c r="D327" s="99"/>
      <c r="E327" s="430"/>
      <c r="F327" s="421" t="s">
        <v>255</v>
      </c>
      <c r="G327" s="644" t="s">
        <v>3167</v>
      </c>
      <c r="H327" s="99"/>
      <c r="I327" s="99"/>
      <c r="J327" s="99"/>
    </row>
    <row r="328" spans="1:10" x14ac:dyDescent="0.2">
      <c r="C328" s="420"/>
      <c r="D328" s="99"/>
      <c r="E328" s="430"/>
      <c r="F328" s="421"/>
      <c r="G328" s="99"/>
      <c r="H328" s="99"/>
      <c r="I328" s="99"/>
      <c r="J328" s="99"/>
    </row>
    <row r="329" spans="1:10" x14ac:dyDescent="0.2">
      <c r="C329" s="429" t="s">
        <v>1252</v>
      </c>
      <c r="D329" s="99"/>
      <c r="E329" s="99"/>
      <c r="F329" s="421"/>
      <c r="G329" s="195" t="s">
        <v>1249</v>
      </c>
      <c r="H329" s="99"/>
      <c r="I329" s="99"/>
      <c r="J329" s="99"/>
    </row>
    <row r="330" spans="1:10" x14ac:dyDescent="0.2">
      <c r="A330" s="737">
        <f>A327+1</f>
        <v>198</v>
      </c>
      <c r="C330" s="743" t="s">
        <v>254</v>
      </c>
      <c r="D330" s="99"/>
      <c r="E330" s="430"/>
      <c r="F330" s="421" t="s">
        <v>255</v>
      </c>
      <c r="G330" s="644" t="s">
        <v>3174</v>
      </c>
      <c r="H330" s="99"/>
      <c r="I330" s="99"/>
      <c r="J330" s="99"/>
    </row>
    <row r="331" spans="1:10" x14ac:dyDescent="0.2">
      <c r="A331" s="737">
        <f>A330+1</f>
        <v>199</v>
      </c>
      <c r="C331" s="420" t="s">
        <v>256</v>
      </c>
      <c r="D331" s="99"/>
      <c r="E331" s="431"/>
      <c r="F331" s="422">
        <v>0</v>
      </c>
      <c r="G331" s="644" t="s">
        <v>3175</v>
      </c>
      <c r="H331" s="99"/>
      <c r="I331" s="99"/>
      <c r="J331" s="99"/>
    </row>
    <row r="332" spans="1:10" x14ac:dyDescent="0.2">
      <c r="A332" s="737">
        <f>A331+1</f>
        <v>200</v>
      </c>
      <c r="C332" s="420" t="s">
        <v>1246</v>
      </c>
      <c r="D332" s="99"/>
      <c r="E332" s="430"/>
      <c r="F332" s="421" t="s">
        <v>255</v>
      </c>
      <c r="G332" s="644" t="s">
        <v>3176</v>
      </c>
      <c r="H332" s="99"/>
      <c r="I332" s="99"/>
      <c r="J332" s="99"/>
    </row>
    <row r="333" spans="1:10" x14ac:dyDescent="0.2">
      <c r="C333" s="420"/>
      <c r="D333" s="99"/>
      <c r="E333" s="430"/>
      <c r="F333" s="421"/>
      <c r="G333" s="743"/>
      <c r="H333" s="99"/>
      <c r="I333" s="99"/>
      <c r="J333" s="99"/>
    </row>
    <row r="334" spans="1:10" x14ac:dyDescent="0.2">
      <c r="C334" s="429" t="s">
        <v>1253</v>
      </c>
      <c r="D334" s="99"/>
      <c r="E334" s="644"/>
      <c r="F334" s="744"/>
      <c r="G334" s="195" t="s">
        <v>1249</v>
      </c>
      <c r="H334" s="99"/>
      <c r="I334" s="99"/>
      <c r="J334" s="99"/>
    </row>
    <row r="335" spans="1:10" x14ac:dyDescent="0.2">
      <c r="A335" s="737">
        <f>A332+1</f>
        <v>201</v>
      </c>
      <c r="C335" s="743" t="s">
        <v>254</v>
      </c>
      <c r="D335" s="99"/>
      <c r="E335" s="430"/>
      <c r="F335" s="421" t="s">
        <v>255</v>
      </c>
      <c r="G335" s="644" t="s">
        <v>3177</v>
      </c>
      <c r="H335" s="99"/>
      <c r="I335" s="644"/>
      <c r="J335" s="644"/>
    </row>
    <row r="336" spans="1:10" x14ac:dyDescent="0.2">
      <c r="A336" s="737">
        <f>A335+1</f>
        <v>202</v>
      </c>
      <c r="C336" s="420" t="s">
        <v>256</v>
      </c>
      <c r="D336" s="99"/>
      <c r="E336" s="431"/>
      <c r="F336" s="422">
        <v>0</v>
      </c>
      <c r="G336" s="644" t="s">
        <v>3178</v>
      </c>
      <c r="H336" s="99"/>
      <c r="I336" s="644"/>
      <c r="J336" s="644"/>
    </row>
    <row r="337" spans="1:10" x14ac:dyDescent="0.2">
      <c r="A337" s="737">
        <f>A336+1</f>
        <v>203</v>
      </c>
      <c r="C337" s="420" t="s">
        <v>1246</v>
      </c>
      <c r="D337" s="99"/>
      <c r="E337" s="430"/>
      <c r="F337" s="421" t="s">
        <v>255</v>
      </c>
      <c r="G337" s="644" t="s">
        <v>3179</v>
      </c>
      <c r="H337" s="99"/>
      <c r="I337" s="644"/>
      <c r="J337" s="644"/>
    </row>
    <row r="338" spans="1:10" x14ac:dyDescent="0.2">
      <c r="C338" s="420"/>
      <c r="D338" s="99"/>
      <c r="E338" s="431"/>
      <c r="F338" s="422"/>
      <c r="G338" s="644"/>
      <c r="H338" s="99"/>
      <c r="I338" s="644"/>
      <c r="J338" s="644"/>
    </row>
    <row r="339" spans="1:10" x14ac:dyDescent="0.2">
      <c r="C339" s="429" t="s">
        <v>1254</v>
      </c>
      <c r="D339" s="99"/>
      <c r="E339" s="644"/>
      <c r="F339" s="744"/>
      <c r="G339" s="195" t="s">
        <v>1249</v>
      </c>
      <c r="H339" s="99"/>
      <c r="I339" s="644"/>
      <c r="J339" s="644"/>
    </row>
    <row r="340" spans="1:10" x14ac:dyDescent="0.2">
      <c r="A340" s="737">
        <f>A337+1</f>
        <v>204</v>
      </c>
      <c r="C340" s="743" t="s">
        <v>254</v>
      </c>
      <c r="D340" s="99"/>
      <c r="E340" s="430"/>
      <c r="F340" s="421" t="s">
        <v>255</v>
      </c>
      <c r="G340" s="644" t="s">
        <v>3177</v>
      </c>
      <c r="H340" s="99"/>
      <c r="I340" s="644"/>
      <c r="J340" s="644"/>
    </row>
    <row r="341" spans="1:10" x14ac:dyDescent="0.2">
      <c r="A341" s="737">
        <f>A340+1</f>
        <v>205</v>
      </c>
      <c r="C341" s="420" t="s">
        <v>256</v>
      </c>
      <c r="D341" s="99"/>
      <c r="E341" s="431"/>
      <c r="F341" s="422">
        <v>0</v>
      </c>
      <c r="G341" s="644" t="s">
        <v>3178</v>
      </c>
      <c r="H341" s="99"/>
      <c r="I341" s="644"/>
      <c r="J341" s="644"/>
    </row>
    <row r="342" spans="1:10" x14ac:dyDescent="0.2">
      <c r="A342" s="737">
        <f>A341+1</f>
        <v>206</v>
      </c>
      <c r="C342" s="420" t="s">
        <v>1246</v>
      </c>
      <c r="D342" s="99"/>
      <c r="E342" s="430"/>
      <c r="F342" s="421" t="s">
        <v>255</v>
      </c>
      <c r="G342" s="644" t="s">
        <v>3179</v>
      </c>
      <c r="H342" s="99"/>
      <c r="I342" s="644"/>
      <c r="J342" s="644"/>
    </row>
    <row r="343" spans="1:10" x14ac:dyDescent="0.2">
      <c r="C343" s="99"/>
      <c r="D343" s="99"/>
      <c r="E343" s="99"/>
      <c r="F343" s="421"/>
      <c r="G343" s="99"/>
      <c r="H343" s="99"/>
      <c r="I343" s="99"/>
      <c r="J343" s="99"/>
    </row>
    <row r="344" spans="1:10" x14ac:dyDescent="0.2">
      <c r="C344" s="429" t="s">
        <v>1255</v>
      </c>
      <c r="D344" s="99"/>
      <c r="E344" s="644"/>
      <c r="F344" s="744"/>
      <c r="G344" s="195" t="s">
        <v>1249</v>
      </c>
      <c r="H344" s="99"/>
      <c r="I344" s="99"/>
      <c r="J344" s="99"/>
    </row>
    <row r="345" spans="1:10" x14ac:dyDescent="0.2">
      <c r="A345" s="737">
        <f>A342+1</f>
        <v>207</v>
      </c>
      <c r="C345" s="743" t="s">
        <v>254</v>
      </c>
      <c r="D345" s="99"/>
      <c r="E345" s="430"/>
      <c r="F345" s="421" t="s">
        <v>255</v>
      </c>
      <c r="G345" s="1160" t="s">
        <v>3180</v>
      </c>
      <c r="H345" s="99"/>
      <c r="I345" s="99"/>
      <c r="J345" s="99"/>
    </row>
    <row r="346" spans="1:10" x14ac:dyDescent="0.2">
      <c r="A346" s="737">
        <f>A345+1</f>
        <v>208</v>
      </c>
      <c r="C346" s="420" t="s">
        <v>256</v>
      </c>
      <c r="D346" s="99"/>
      <c r="E346" s="431"/>
      <c r="F346" s="422">
        <v>0</v>
      </c>
      <c r="G346" s="745" t="s">
        <v>86</v>
      </c>
      <c r="H346" s="99"/>
      <c r="I346" s="99"/>
      <c r="J346" s="99"/>
    </row>
    <row r="347" spans="1:10" x14ac:dyDescent="0.2">
      <c r="A347" s="737">
        <f>A346+1</f>
        <v>209</v>
      </c>
      <c r="C347" s="420" t="s">
        <v>1246</v>
      </c>
      <c r="D347" s="99"/>
      <c r="E347" s="430"/>
      <c r="F347" s="421" t="s">
        <v>255</v>
      </c>
      <c r="G347" s="1160" t="s">
        <v>3180</v>
      </c>
      <c r="H347" s="99"/>
      <c r="I347" s="99"/>
      <c r="J347" s="99"/>
    </row>
    <row r="348" spans="1:10" x14ac:dyDescent="0.2">
      <c r="C348" s="99"/>
      <c r="D348" s="99"/>
      <c r="E348" s="99"/>
      <c r="F348" s="421"/>
      <c r="G348" s="99"/>
      <c r="H348" s="99"/>
      <c r="I348" s="99"/>
      <c r="J348" s="99"/>
    </row>
    <row r="349" spans="1:10" x14ac:dyDescent="0.2">
      <c r="C349" s="429" t="s">
        <v>1256</v>
      </c>
      <c r="D349" s="99"/>
      <c r="E349" s="644"/>
      <c r="F349" s="744"/>
      <c r="G349" s="195" t="s">
        <v>1249</v>
      </c>
      <c r="H349" s="99"/>
      <c r="I349" s="99"/>
      <c r="J349" s="99"/>
    </row>
    <row r="350" spans="1:10" x14ac:dyDescent="0.2">
      <c r="A350" s="737">
        <f>A347+1</f>
        <v>210</v>
      </c>
      <c r="C350" s="743" t="s">
        <v>254</v>
      </c>
      <c r="D350" s="99"/>
      <c r="E350" s="430"/>
      <c r="F350" s="421" t="s">
        <v>255</v>
      </c>
      <c r="G350" s="1160" t="s">
        <v>3180</v>
      </c>
      <c r="H350" s="99"/>
      <c r="I350" s="99"/>
      <c r="J350" s="99"/>
    </row>
    <row r="351" spans="1:10" x14ac:dyDescent="0.2">
      <c r="A351" s="737">
        <f>A350+1</f>
        <v>211</v>
      </c>
      <c r="C351" s="420" t="s">
        <v>256</v>
      </c>
      <c r="D351" s="99"/>
      <c r="E351" s="431"/>
      <c r="F351" s="422">
        <v>0</v>
      </c>
      <c r="G351" s="745" t="s">
        <v>86</v>
      </c>
      <c r="H351" s="99"/>
      <c r="I351" s="99"/>
      <c r="J351" s="99"/>
    </row>
    <row r="352" spans="1:10" x14ac:dyDescent="0.2">
      <c r="A352" s="737">
        <f>A351+1</f>
        <v>212</v>
      </c>
      <c r="C352" s="420" t="s">
        <v>1246</v>
      </c>
      <c r="D352" s="99"/>
      <c r="E352" s="430"/>
      <c r="F352" s="421" t="s">
        <v>255</v>
      </c>
      <c r="G352" s="1160" t="s">
        <v>3180</v>
      </c>
      <c r="H352" s="99"/>
      <c r="I352" s="99"/>
      <c r="J352" s="99"/>
    </row>
    <row r="353" spans="1:10" x14ac:dyDescent="0.2">
      <c r="C353" s="99"/>
      <c r="D353" s="99"/>
      <c r="E353" s="99"/>
      <c r="F353" s="421"/>
      <c r="G353" s="99"/>
      <c r="H353" s="99"/>
      <c r="I353" s="99"/>
      <c r="J353" s="99"/>
    </row>
    <row r="354" spans="1:10" x14ac:dyDescent="0.2">
      <c r="C354" s="429" t="s">
        <v>1257</v>
      </c>
      <c r="D354" s="99"/>
      <c r="E354" s="644"/>
      <c r="F354" s="744"/>
      <c r="G354" s="195" t="s">
        <v>1249</v>
      </c>
      <c r="H354" s="99"/>
      <c r="I354" s="99"/>
      <c r="J354" s="99"/>
    </row>
    <row r="355" spans="1:10" x14ac:dyDescent="0.2">
      <c r="A355" s="737">
        <f>A352+1</f>
        <v>213</v>
      </c>
      <c r="C355" s="743" t="s">
        <v>254</v>
      </c>
      <c r="D355" s="99"/>
      <c r="E355" s="430"/>
      <c r="F355" s="421" t="s">
        <v>255</v>
      </c>
      <c r="G355" s="1160" t="s">
        <v>3180</v>
      </c>
      <c r="H355" s="99"/>
      <c r="I355" s="99"/>
      <c r="J355" s="99"/>
    </row>
    <row r="356" spans="1:10" x14ac:dyDescent="0.2">
      <c r="A356" s="737">
        <f>A355+1</f>
        <v>214</v>
      </c>
      <c r="C356" s="420" t="s">
        <v>256</v>
      </c>
      <c r="D356" s="99"/>
      <c r="E356" s="431"/>
      <c r="F356" s="422">
        <v>0</v>
      </c>
      <c r="G356" s="745" t="s">
        <v>86</v>
      </c>
      <c r="H356" s="99"/>
      <c r="I356" s="99"/>
      <c r="J356" s="99"/>
    </row>
    <row r="357" spans="1:10" x14ac:dyDescent="0.2">
      <c r="A357" s="737">
        <f>A356+1</f>
        <v>215</v>
      </c>
      <c r="C357" s="420" t="s">
        <v>1246</v>
      </c>
      <c r="D357" s="99"/>
      <c r="E357" s="430"/>
      <c r="F357" s="421" t="s">
        <v>255</v>
      </c>
      <c r="G357" s="1160" t="s">
        <v>3180</v>
      </c>
      <c r="H357" s="99"/>
      <c r="I357" s="99"/>
      <c r="J357" s="99"/>
    </row>
    <row r="358" spans="1:10" x14ac:dyDescent="0.2">
      <c r="C358" s="99"/>
      <c r="D358" s="99"/>
      <c r="E358" s="99"/>
      <c r="F358" s="421"/>
      <c r="G358" s="99"/>
      <c r="H358" s="99"/>
      <c r="I358" s="99"/>
      <c r="J358" s="99"/>
    </row>
    <row r="359" spans="1:10" x14ac:dyDescent="0.2">
      <c r="C359" s="429" t="s">
        <v>1258</v>
      </c>
      <c r="D359" s="99"/>
      <c r="E359" s="644"/>
      <c r="F359" s="744"/>
      <c r="G359" s="195" t="s">
        <v>1249</v>
      </c>
      <c r="H359" s="99"/>
      <c r="I359" s="99"/>
      <c r="J359" s="99"/>
    </row>
    <row r="360" spans="1:10" x14ac:dyDescent="0.2">
      <c r="A360" s="737">
        <f>A357+1</f>
        <v>216</v>
      </c>
      <c r="C360" s="743" t="s">
        <v>254</v>
      </c>
      <c r="D360" s="99"/>
      <c r="E360" s="430"/>
      <c r="F360" s="421" t="s">
        <v>255</v>
      </c>
      <c r="G360" s="1160" t="s">
        <v>3180</v>
      </c>
      <c r="H360" s="99"/>
      <c r="I360" s="99"/>
      <c r="J360" s="99"/>
    </row>
    <row r="361" spans="1:10" x14ac:dyDescent="0.2">
      <c r="A361" s="737">
        <f>A360+1</f>
        <v>217</v>
      </c>
      <c r="C361" s="420" t="s">
        <v>256</v>
      </c>
      <c r="D361" s="99"/>
      <c r="E361" s="431"/>
      <c r="F361" s="422">
        <v>0</v>
      </c>
      <c r="G361" s="745" t="s">
        <v>86</v>
      </c>
      <c r="H361" s="99"/>
      <c r="I361" s="99"/>
      <c r="J361" s="99"/>
    </row>
    <row r="362" spans="1:10" x14ac:dyDescent="0.2">
      <c r="A362" s="737">
        <f>A361+1</f>
        <v>218</v>
      </c>
      <c r="C362" s="420" t="s">
        <v>1246</v>
      </c>
      <c r="D362" s="99"/>
      <c r="E362" s="430"/>
      <c r="F362" s="421" t="s">
        <v>255</v>
      </c>
      <c r="G362" s="1160" t="s">
        <v>3180</v>
      </c>
      <c r="H362" s="99"/>
      <c r="I362" s="99"/>
      <c r="J362" s="99"/>
    </row>
    <row r="363" spans="1:10" x14ac:dyDescent="0.2">
      <c r="C363" s="99"/>
      <c r="D363" s="99"/>
      <c r="E363" s="99"/>
      <c r="F363" s="99"/>
      <c r="G363" s="99"/>
      <c r="H363" s="99"/>
      <c r="I363" s="99"/>
      <c r="J363" s="99"/>
    </row>
    <row r="364" spans="1:10" x14ac:dyDescent="0.2">
      <c r="C364" s="424" t="s">
        <v>1259</v>
      </c>
      <c r="D364" s="99"/>
      <c r="E364" s="99"/>
      <c r="F364" s="99"/>
      <c r="G364" s="195" t="s">
        <v>1249</v>
      </c>
      <c r="H364" s="99"/>
      <c r="I364" s="99"/>
      <c r="J364" s="99"/>
    </row>
    <row r="365" spans="1:10" x14ac:dyDescent="0.2">
      <c r="A365" s="737">
        <f>A362+1</f>
        <v>219</v>
      </c>
      <c r="C365" s="743" t="s">
        <v>254</v>
      </c>
      <c r="D365" s="99"/>
      <c r="E365" s="99"/>
      <c r="F365" s="99"/>
      <c r="G365" s="99"/>
      <c r="H365" s="99"/>
      <c r="I365" s="99"/>
      <c r="J365" s="99"/>
    </row>
    <row r="366" spans="1:10" x14ac:dyDescent="0.2">
      <c r="A366" s="737">
        <f>A365+1</f>
        <v>220</v>
      </c>
      <c r="C366" s="420" t="s">
        <v>256</v>
      </c>
      <c r="D366" s="99"/>
      <c r="E366" s="99"/>
      <c r="F366" s="99"/>
      <c r="G366" s="99"/>
      <c r="H366" s="99"/>
      <c r="I366" s="99"/>
      <c r="J366" s="99"/>
    </row>
    <row r="367" spans="1:10" x14ac:dyDescent="0.2">
      <c r="A367" s="737">
        <f>A366+1</f>
        <v>221</v>
      </c>
      <c r="C367" s="420" t="s">
        <v>1246</v>
      </c>
      <c r="D367" s="99"/>
      <c r="E367" s="99"/>
      <c r="F367" s="99"/>
      <c r="G367" s="99"/>
      <c r="H367" s="99"/>
      <c r="I367" s="99"/>
      <c r="J367" s="99"/>
    </row>
    <row r="368" spans="1:10" x14ac:dyDescent="0.2">
      <c r="C368" s="425" t="s">
        <v>574</v>
      </c>
    </row>
    <row r="370" spans="2:3" x14ac:dyDescent="0.2">
      <c r="B370" s="426" t="s">
        <v>429</v>
      </c>
    </row>
    <row r="371" spans="2:3" x14ac:dyDescent="0.2">
      <c r="C371" s="626" t="s">
        <v>1454</v>
      </c>
    </row>
    <row r="372" spans="2:3" x14ac:dyDescent="0.2">
      <c r="C372" t="s">
        <v>1260</v>
      </c>
    </row>
  </sheetData>
  <phoneticPr fontId="11" type="noConversion"/>
  <pageMargins left="0.75" right="0.75" top="1" bottom="1" header="0.5" footer="0.5"/>
  <pageSetup scale="70" orientation="portrait" cellComments="asDisplayed" r:id="rId1"/>
  <headerFooter alignWithMargins="0">
    <oddHeader>&amp;CSchedule 14
Incentive Plant
&amp;"Arial,Bold"Exhibit G-2</oddHeader>
    <oddFooter>&amp;R&amp;A</oddFooter>
  </headerFooter>
  <rowBreaks count="5" manualBreakCount="5">
    <brk id="66" max="16383" man="1"/>
    <brk id="131" max="16383" man="1"/>
    <brk id="189" max="16383" man="1"/>
    <brk id="246" max="16383" man="1"/>
    <brk id="30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K7"/>
  <sheetViews>
    <sheetView zoomScaleNormal="100" workbookViewId="0">
      <selection activeCell="A7" sqref="A7:K7"/>
    </sheetView>
  </sheetViews>
  <sheetFormatPr defaultRowHeight="12.75" x14ac:dyDescent="0.2"/>
  <cols>
    <col min="3" max="3" width="8.42578125" customWidth="1"/>
  </cols>
  <sheetData>
    <row r="5" spans="1:11" ht="26.25" x14ac:dyDescent="0.4">
      <c r="A5" s="1194" t="s">
        <v>2535</v>
      </c>
      <c r="B5" s="1194"/>
      <c r="C5" s="1194"/>
      <c r="D5" s="1194"/>
      <c r="E5" s="1194"/>
      <c r="F5" s="1194"/>
      <c r="G5" s="1194"/>
      <c r="H5" s="1194"/>
      <c r="I5" s="1194"/>
      <c r="J5" s="1194"/>
      <c r="K5" s="1194"/>
    </row>
    <row r="6" spans="1:11" x14ac:dyDescent="0.2">
      <c r="D6" s="1"/>
    </row>
    <row r="7" spans="1:11" ht="20.25" x14ac:dyDescent="0.3">
      <c r="A7" s="1192" t="s">
        <v>2536</v>
      </c>
      <c r="B7" s="1192"/>
      <c r="C7" s="1192"/>
      <c r="D7" s="1192"/>
      <c r="E7" s="1192"/>
      <c r="F7" s="1192"/>
      <c r="G7" s="1192"/>
      <c r="H7" s="1192"/>
      <c r="I7" s="1192"/>
      <c r="J7" s="1192"/>
      <c r="K7" s="1192"/>
    </row>
  </sheetData>
  <mergeCells count="2">
    <mergeCell ref="A5:K5"/>
    <mergeCell ref="A7:K7"/>
  </mergeCells>
  <printOptions horizontalCentered="1"/>
  <pageMargins left="0.7" right="0.7" top="0.75" bottom="0.75" header="0.3" footer="0.3"/>
  <pageSetup scale="92" orientation="portrait" verticalDpi="0" r:id="rId1"/>
  <headerFooter>
    <oddHeader xml:space="preserve">&amp;C&amp;"Arial,Bold"Exhibit G-2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zoomScale="90" zoomScaleNormal="90" workbookViewId="0"/>
  </sheetViews>
  <sheetFormatPr defaultRowHeight="12.75" x14ac:dyDescent="0.2"/>
  <cols>
    <col min="1" max="2" width="4.7109375" customWidth="1"/>
    <col min="3" max="4" width="10.7109375" customWidth="1"/>
    <col min="5" max="9" width="15.7109375" customWidth="1"/>
  </cols>
  <sheetData>
    <row r="1" spans="1:9" x14ac:dyDescent="0.2">
      <c r="A1" s="1" t="s">
        <v>168</v>
      </c>
      <c r="B1" s="1"/>
    </row>
    <row r="2" spans="1:9" x14ac:dyDescent="0.2">
      <c r="A2" s="1"/>
      <c r="B2" s="1"/>
      <c r="G2" s="97" t="s">
        <v>281</v>
      </c>
      <c r="H2" s="97"/>
    </row>
    <row r="3" spans="1:9" x14ac:dyDescent="0.2">
      <c r="A3" s="1"/>
      <c r="B3" s="12" t="s">
        <v>1088</v>
      </c>
    </row>
    <row r="4" spans="1:9" x14ac:dyDescent="0.2">
      <c r="A4" s="1"/>
      <c r="B4" s="13" t="s">
        <v>1089</v>
      </c>
    </row>
    <row r="5" spans="1:9" x14ac:dyDescent="0.2">
      <c r="A5" s="1"/>
      <c r="B5" s="630" t="s">
        <v>1944</v>
      </c>
    </row>
    <row r="7" spans="1:9" ht="13.5" customHeight="1" x14ac:dyDescent="0.2">
      <c r="B7" s="1" t="s">
        <v>309</v>
      </c>
    </row>
    <row r="8" spans="1:9" x14ac:dyDescent="0.2">
      <c r="A8" s="1"/>
      <c r="B8" s="1"/>
    </row>
    <row r="9" spans="1:9" x14ac:dyDescent="0.2">
      <c r="A9" s="1"/>
      <c r="B9" s="1"/>
      <c r="C9" s="12" t="s">
        <v>335</v>
      </c>
    </row>
    <row r="10" spans="1:9" x14ac:dyDescent="0.2">
      <c r="A10" s="1"/>
      <c r="B10" s="1"/>
      <c r="C10" s="12" t="s">
        <v>1273</v>
      </c>
    </row>
    <row r="11" spans="1:9" x14ac:dyDescent="0.2">
      <c r="A11" s="1"/>
      <c r="B11" s="1"/>
      <c r="C11" s="12"/>
    </row>
    <row r="12" spans="1:9" x14ac:dyDescent="0.2">
      <c r="A12" s="1"/>
      <c r="B12" s="1"/>
      <c r="C12" s="626" t="s">
        <v>1911</v>
      </c>
    </row>
    <row r="13" spans="1:9" x14ac:dyDescent="0.2">
      <c r="A13" s="1"/>
      <c r="B13" s="1"/>
    </row>
    <row r="14" spans="1:9" x14ac:dyDescent="0.2">
      <c r="A14" s="53" t="s">
        <v>369</v>
      </c>
      <c r="B14" s="1"/>
      <c r="C14" s="12" t="s">
        <v>408</v>
      </c>
      <c r="G14" s="123" t="s">
        <v>199</v>
      </c>
      <c r="I14" s="3" t="s">
        <v>207</v>
      </c>
    </row>
    <row r="15" spans="1:9" x14ac:dyDescent="0.2">
      <c r="A15" s="2">
        <v>1</v>
      </c>
      <c r="B15" s="1"/>
      <c r="C15" s="13" t="s">
        <v>409</v>
      </c>
      <c r="G15" s="69">
        <f>'1-BaseTRR'!K80</f>
        <v>0.48972197304283327</v>
      </c>
      <c r="H15" s="14"/>
      <c r="I15" s="15" t="str">
        <f>"1-BaseTRR, L "&amp;'1-BaseTRR'!A80&amp;""</f>
        <v>1-BaseTRR, L 46</v>
      </c>
    </row>
    <row r="16" spans="1:9" x14ac:dyDescent="0.2">
      <c r="A16" s="2">
        <v>2</v>
      </c>
      <c r="B16" s="1"/>
      <c r="C16" s="13" t="s">
        <v>251</v>
      </c>
      <c r="G16" s="69">
        <f>'1-BaseTRR'!K102</f>
        <v>0.40886310376909896</v>
      </c>
      <c r="H16" s="14"/>
      <c r="I16" s="15" t="str">
        <f>"1-BaseTRR, L "&amp;'1-BaseTRR'!A102&amp;""</f>
        <v>1-BaseTRR, L 58</v>
      </c>
    </row>
    <row r="17" spans="1:9" x14ac:dyDescent="0.2">
      <c r="A17" s="2">
        <v>3</v>
      </c>
      <c r="B17" s="1"/>
      <c r="F17" s="96" t="s">
        <v>555</v>
      </c>
      <c r="G17" s="65">
        <f>G15*(1/(1-G16))* 10000</f>
        <v>8284.4088427792103</v>
      </c>
      <c r="H17" s="14"/>
      <c r="I17" s="15" t="s">
        <v>410</v>
      </c>
    </row>
    <row r="18" spans="1:9" x14ac:dyDescent="0.2">
      <c r="G18" s="14"/>
      <c r="H18" s="14"/>
      <c r="I18" s="14"/>
    </row>
    <row r="19" spans="1:9" x14ac:dyDescent="0.2">
      <c r="B19" s="1" t="s">
        <v>310</v>
      </c>
      <c r="G19" s="14"/>
      <c r="H19" s="14"/>
      <c r="I19" s="14"/>
    </row>
    <row r="20" spans="1:9" x14ac:dyDescent="0.2">
      <c r="A20" s="1"/>
      <c r="B20" s="1"/>
      <c r="C20" s="12" t="s">
        <v>340</v>
      </c>
      <c r="G20" s="14"/>
      <c r="H20" s="14"/>
      <c r="I20" s="14"/>
    </row>
    <row r="21" spans="1:9" x14ac:dyDescent="0.2">
      <c r="A21" s="1"/>
      <c r="B21" s="1"/>
      <c r="C21" s="12" t="s">
        <v>556</v>
      </c>
      <c r="G21" s="14"/>
      <c r="H21" s="14"/>
      <c r="I21" s="14"/>
    </row>
    <row r="22" spans="1:9" x14ac:dyDescent="0.2">
      <c r="A22" s="1"/>
      <c r="B22" s="1"/>
      <c r="G22" s="14"/>
      <c r="H22" s="14"/>
      <c r="I22" s="14"/>
    </row>
    <row r="23" spans="1:9" x14ac:dyDescent="0.2">
      <c r="A23" s="1"/>
      <c r="B23" s="1"/>
      <c r="F23" s="2" t="s">
        <v>312</v>
      </c>
      <c r="G23" s="14"/>
      <c r="H23" s="14"/>
      <c r="I23" s="14"/>
    </row>
    <row r="24" spans="1:9" x14ac:dyDescent="0.2">
      <c r="A24" s="53" t="s">
        <v>369</v>
      </c>
      <c r="B24" s="53"/>
      <c r="E24" s="3" t="s">
        <v>9</v>
      </c>
      <c r="F24" s="3" t="s">
        <v>36</v>
      </c>
      <c r="G24" s="129" t="s">
        <v>207</v>
      </c>
      <c r="H24" s="14"/>
      <c r="I24" s="14"/>
    </row>
    <row r="25" spans="1:9" x14ac:dyDescent="0.2">
      <c r="A25" s="2">
        <f>A17+1</f>
        <v>4</v>
      </c>
      <c r="B25" s="2"/>
      <c r="C25" t="s">
        <v>260</v>
      </c>
      <c r="E25" s="43">
        <f>'14-IncentivePlant'!F308</f>
        <v>7.4999999999999997E-3</v>
      </c>
      <c r="F25" s="100">
        <f>E25/0.01</f>
        <v>0.75</v>
      </c>
      <c r="G25" s="47" t="str">
        <f>"14-IncentivePlant, L "&amp;'14-IncentivePlant'!A308&amp;""</f>
        <v>14-IncentivePlant, L 184</v>
      </c>
      <c r="H25" s="14"/>
      <c r="I25" s="14"/>
    </row>
    <row r="26" spans="1:9" x14ac:dyDescent="0.2">
      <c r="A26" s="2">
        <f>A25+1</f>
        <v>5</v>
      </c>
      <c r="B26" s="2"/>
      <c r="C26" t="s">
        <v>261</v>
      </c>
      <c r="E26" s="43">
        <f>'14-IncentivePlant'!F313</f>
        <v>1.2500000000000001E-2</v>
      </c>
      <c r="F26" s="100">
        <f>E26/0.01</f>
        <v>1.25</v>
      </c>
      <c r="G26" s="47" t="str">
        <f>"14-IncentivePlant, L "&amp;'14-IncentivePlant'!A313&amp;""</f>
        <v>14-IncentivePlant, L 187</v>
      </c>
      <c r="H26" s="14"/>
      <c r="I26" s="14"/>
    </row>
    <row r="27" spans="1:9" x14ac:dyDescent="0.2">
      <c r="A27" s="2">
        <f>A26+1</f>
        <v>6</v>
      </c>
      <c r="B27" s="2"/>
      <c r="C27" s="626" t="s">
        <v>3210</v>
      </c>
      <c r="E27" s="43">
        <f>'14-IncentivePlant'!F318</f>
        <v>0.01</v>
      </c>
      <c r="F27" s="100">
        <f>E27/0.01</f>
        <v>1</v>
      </c>
      <c r="G27" s="47" t="str">
        <f>"14-IncentivePlant, L "&amp;'14-IncentivePlant'!A318&amp;""</f>
        <v>14-IncentivePlant, L 190</v>
      </c>
      <c r="H27" s="14"/>
      <c r="I27" s="14"/>
    </row>
    <row r="28" spans="1:9" x14ac:dyDescent="0.2">
      <c r="A28" s="2">
        <f>A27+1</f>
        <v>7</v>
      </c>
      <c r="B28" s="2"/>
      <c r="C28" s="120"/>
      <c r="D28" s="99"/>
      <c r="E28" s="43"/>
      <c r="F28" s="100"/>
      <c r="G28" s="14"/>
      <c r="H28" s="14"/>
      <c r="I28" s="14"/>
    </row>
    <row r="29" spans="1:9" x14ac:dyDescent="0.2">
      <c r="A29" s="2">
        <f>A28+1</f>
        <v>8</v>
      </c>
      <c r="B29" s="2"/>
      <c r="C29" s="193" t="s">
        <v>574</v>
      </c>
      <c r="E29" s="43"/>
      <c r="F29" s="100"/>
      <c r="G29" s="14"/>
      <c r="H29" s="14"/>
      <c r="I29" s="14"/>
    </row>
    <row r="31" spans="1:9" x14ac:dyDescent="0.2">
      <c r="B31" s="1" t="s">
        <v>311</v>
      </c>
    </row>
    <row r="32" spans="1:9" x14ac:dyDescent="0.2">
      <c r="A32" s="1"/>
      <c r="B32" s="1"/>
      <c r="C32" s="12" t="s">
        <v>1743</v>
      </c>
    </row>
    <row r="33" spans="1:9" x14ac:dyDescent="0.2">
      <c r="A33" s="1"/>
      <c r="B33" s="1"/>
      <c r="C33" s="12" t="s">
        <v>557</v>
      </c>
    </row>
    <row r="34" spans="1:9" x14ac:dyDescent="0.2">
      <c r="A34" s="1"/>
      <c r="B34" s="1"/>
      <c r="C34" s="12" t="s">
        <v>558</v>
      </c>
    </row>
    <row r="35" spans="1:9" x14ac:dyDescent="0.2">
      <c r="E35" s="2"/>
      <c r="G35" s="2"/>
    </row>
    <row r="36" spans="1:9" x14ac:dyDescent="0.2">
      <c r="E36" s="2" t="s">
        <v>73</v>
      </c>
      <c r="G36" s="2" t="s">
        <v>73</v>
      </c>
    </row>
    <row r="37" spans="1:9" x14ac:dyDescent="0.2">
      <c r="E37" s="2" t="s">
        <v>8</v>
      </c>
      <c r="F37" s="2" t="s">
        <v>312</v>
      </c>
      <c r="G37" s="2" t="s">
        <v>8</v>
      </c>
    </row>
    <row r="38" spans="1:9" x14ac:dyDescent="0.2">
      <c r="A38" s="53" t="s">
        <v>369</v>
      </c>
      <c r="B38" s="53"/>
      <c r="E38" s="3" t="s">
        <v>201</v>
      </c>
      <c r="F38" s="3" t="s">
        <v>36</v>
      </c>
      <c r="G38" s="3" t="s">
        <v>313</v>
      </c>
      <c r="H38" s="3" t="s">
        <v>207</v>
      </c>
    </row>
    <row r="39" spans="1:9" x14ac:dyDescent="0.2">
      <c r="A39" s="2">
        <f>A29+1</f>
        <v>9</v>
      </c>
      <c r="B39" s="2"/>
      <c r="C39" t="s">
        <v>260</v>
      </c>
      <c r="E39" s="7">
        <f>'14-IncentivePlant'!E46</f>
        <v>179233968.20649755</v>
      </c>
      <c r="F39" s="100">
        <f>F25</f>
        <v>0.75</v>
      </c>
      <c r="G39" s="7">
        <f>(E39/1000000)*(F39*$G$17)</f>
        <v>1113635.603352237</v>
      </c>
      <c r="H39" s="47" t="str">
        <f>"14-IncentivePlant, L "&amp;'14-IncentivePlant'!A46&amp;", Col. 1"</f>
        <v>14-IncentivePlant, L 13, Col. 1</v>
      </c>
    </row>
    <row r="40" spans="1:9" x14ac:dyDescent="0.2">
      <c r="A40" s="2">
        <f>A39+1</f>
        <v>10</v>
      </c>
      <c r="B40" s="2"/>
      <c r="C40" t="s">
        <v>261</v>
      </c>
      <c r="E40" s="7">
        <f>'14-IncentivePlant'!E47</f>
        <v>1447909314.8442135</v>
      </c>
      <c r="F40" s="100">
        <f>F26</f>
        <v>1.25</v>
      </c>
      <c r="G40" s="7">
        <f>(E40/1000000)*(F40*$G$17)</f>
        <v>14993840.914297236</v>
      </c>
      <c r="H40" s="47" t="str">
        <f>"14-IncentivePlant, L "&amp;'14-IncentivePlant'!A47&amp;", Col. 1"</f>
        <v>14-IncentivePlant, L 14, Col. 1</v>
      </c>
    </row>
    <row r="41" spans="1:9" x14ac:dyDescent="0.2">
      <c r="A41" s="2">
        <f>A40+1</f>
        <v>11</v>
      </c>
      <c r="B41" s="2"/>
      <c r="C41" s="626" t="s">
        <v>3210</v>
      </c>
      <c r="E41" s="7">
        <f>'14-IncentivePlant'!E48</f>
        <v>151361046.07106277</v>
      </c>
      <c r="F41" s="100">
        <f>F27</f>
        <v>1</v>
      </c>
      <c r="G41" s="7">
        <f>(E41/1000000)*(F41*$G$17)</f>
        <v>1253936.788523424</v>
      </c>
      <c r="H41" s="47" t="str">
        <f>"14-IncentivePlant, L "&amp;'14-IncentivePlant'!A48&amp;", Col. 1"</f>
        <v>14-IncentivePlant, L 15, Col. 1</v>
      </c>
    </row>
    <row r="42" spans="1:9" x14ac:dyDescent="0.2">
      <c r="A42" s="2">
        <f>A41+1</f>
        <v>12</v>
      </c>
      <c r="B42" s="2"/>
      <c r="C42" s="120"/>
      <c r="D42" s="99"/>
      <c r="H42" s="14"/>
    </row>
    <row r="43" spans="1:9" x14ac:dyDescent="0.2">
      <c r="A43" s="2">
        <f>A42+1</f>
        <v>13</v>
      </c>
      <c r="B43" s="2"/>
      <c r="C43" s="193" t="s">
        <v>574</v>
      </c>
      <c r="H43" s="14"/>
    </row>
    <row r="44" spans="1:9" x14ac:dyDescent="0.2">
      <c r="A44" s="2">
        <f>A43+1</f>
        <v>14</v>
      </c>
      <c r="F44" s="37" t="s">
        <v>88</v>
      </c>
      <c r="G44" s="7">
        <f>SUM(G39:G42)</f>
        <v>17361413.306172896</v>
      </c>
      <c r="H44" s="625" t="s">
        <v>2157</v>
      </c>
    </row>
    <row r="45" spans="1:9" x14ac:dyDescent="0.2">
      <c r="H45" s="625" t="s">
        <v>2158</v>
      </c>
      <c r="I45" s="7"/>
    </row>
    <row r="46" spans="1:9" x14ac:dyDescent="0.2">
      <c r="B46" s="1" t="s">
        <v>1865</v>
      </c>
      <c r="H46" s="14"/>
    </row>
    <row r="47" spans="1:9" x14ac:dyDescent="0.2">
      <c r="A47" s="1"/>
      <c r="B47" s="1"/>
      <c r="C47" s="626" t="s">
        <v>1866</v>
      </c>
      <c r="H47" s="14"/>
    </row>
    <row r="48" spans="1:9" x14ac:dyDescent="0.2">
      <c r="A48" s="1"/>
      <c r="B48" s="1"/>
      <c r="C48" s="626" t="s">
        <v>1945</v>
      </c>
      <c r="H48" s="14"/>
    </row>
    <row r="49" spans="1:9" x14ac:dyDescent="0.2">
      <c r="A49" s="1"/>
      <c r="B49" s="1"/>
      <c r="C49" s="626" t="s">
        <v>2156</v>
      </c>
      <c r="H49" s="14"/>
    </row>
    <row r="50" spans="1:9" x14ac:dyDescent="0.2">
      <c r="H50" s="14"/>
    </row>
    <row r="51" spans="1:9" x14ac:dyDescent="0.2">
      <c r="E51" s="2" t="s">
        <v>0</v>
      </c>
      <c r="G51" s="2" t="s">
        <v>0</v>
      </c>
      <c r="H51" s="14"/>
    </row>
    <row r="52" spans="1:9" x14ac:dyDescent="0.2">
      <c r="E52" s="2" t="s">
        <v>8</v>
      </c>
      <c r="F52" s="2" t="s">
        <v>312</v>
      </c>
      <c r="G52" s="2" t="s">
        <v>8</v>
      </c>
      <c r="H52" s="14"/>
    </row>
    <row r="53" spans="1:9" x14ac:dyDescent="0.2">
      <c r="A53" s="53" t="s">
        <v>369</v>
      </c>
      <c r="B53" s="53"/>
      <c r="E53" s="3" t="s">
        <v>1103</v>
      </c>
      <c r="F53" s="3" t="s">
        <v>36</v>
      </c>
      <c r="G53" s="3" t="s">
        <v>313</v>
      </c>
      <c r="H53" s="129" t="s">
        <v>207</v>
      </c>
    </row>
    <row r="54" spans="1:9" x14ac:dyDescent="0.2">
      <c r="A54" s="2">
        <f>A44+1</f>
        <v>15</v>
      </c>
      <c r="B54" s="2"/>
      <c r="C54" t="s">
        <v>260</v>
      </c>
      <c r="E54" s="7">
        <f>'14-IncentivePlant'!E60</f>
        <v>181872286.03564537</v>
      </c>
      <c r="F54" s="100">
        <f>F25</f>
        <v>0.75</v>
      </c>
      <c r="G54" s="7">
        <f>(E54/1000000)*(F54*$G$17)</f>
        <v>1130028.2810176278</v>
      </c>
      <c r="H54" s="47" t="str">
        <f>"14-IncentivePlant, L "&amp;'14-IncentivePlant'!A60&amp;", Col. 1"</f>
        <v>14-IncentivePlant, L 19, Col. 1</v>
      </c>
    </row>
    <row r="55" spans="1:9" x14ac:dyDescent="0.2">
      <c r="A55" s="2">
        <f>A54+1</f>
        <v>16</v>
      </c>
      <c r="B55" s="2"/>
      <c r="C55" t="s">
        <v>261</v>
      </c>
      <c r="E55" s="7">
        <f>'14-IncentivePlant'!E61</f>
        <v>1177058495.8457389</v>
      </c>
      <c r="F55" s="100">
        <f>F26</f>
        <v>1.25</v>
      </c>
      <c r="G55" s="7">
        <f>(E55/1000000)*(F55*$G$17)</f>
        <v>12189042.264316045</v>
      </c>
      <c r="H55" s="47" t="str">
        <f>"14-IncentivePlant, L "&amp;'14-IncentivePlant'!A61&amp;", Col. 1"</f>
        <v>14-IncentivePlant, L 20, Col. 1</v>
      </c>
    </row>
    <row r="56" spans="1:9" x14ac:dyDescent="0.2">
      <c r="A56" s="2">
        <f>A55+1</f>
        <v>17</v>
      </c>
      <c r="B56" s="2"/>
      <c r="C56" s="626" t="s">
        <v>3210</v>
      </c>
      <c r="E56" s="7">
        <f>'14-IncentivePlant'!E62</f>
        <v>75061661.378607213</v>
      </c>
      <c r="F56" s="100">
        <f>F27</f>
        <v>1</v>
      </c>
      <c r="G56" s="7">
        <f>(E56/1000000)*(F56*$G$17)</f>
        <v>621841.49127863231</v>
      </c>
      <c r="H56" s="47" t="str">
        <f>"14-IncentivePlant, L "&amp;'14-IncentivePlant'!A62&amp;", Col. 1"</f>
        <v>14-IncentivePlant, L 21, Col. 1</v>
      </c>
    </row>
    <row r="57" spans="1:9" x14ac:dyDescent="0.2">
      <c r="A57" s="2">
        <f>A56+1</f>
        <v>18</v>
      </c>
      <c r="B57" s="2"/>
      <c r="C57" s="120"/>
      <c r="D57" s="99"/>
    </row>
    <row r="58" spans="1:9" x14ac:dyDescent="0.2">
      <c r="A58" s="2">
        <f>A57+1</f>
        <v>19</v>
      </c>
      <c r="B58" s="2"/>
      <c r="C58" s="193" t="s">
        <v>574</v>
      </c>
    </row>
    <row r="59" spans="1:9" x14ac:dyDescent="0.2">
      <c r="A59" s="2">
        <f>A58+1</f>
        <v>20</v>
      </c>
      <c r="F59" s="624" t="s">
        <v>1867</v>
      </c>
      <c r="G59" s="7">
        <f>SUM(G54:G57)</f>
        <v>13940912.036612304</v>
      </c>
      <c r="H59" s="630" t="s">
        <v>2157</v>
      </c>
    </row>
    <row r="60" spans="1:9" x14ac:dyDescent="0.2">
      <c r="H60" s="630" t="s">
        <v>2158</v>
      </c>
      <c r="I60" s="7"/>
    </row>
    <row r="61" spans="1:9" x14ac:dyDescent="0.2">
      <c r="B61" s="1" t="s">
        <v>1960</v>
      </c>
    </row>
    <row r="63" spans="1:9" x14ac:dyDescent="0.2">
      <c r="C63" s="1" t="s">
        <v>1961</v>
      </c>
    </row>
    <row r="65" spans="1:8" x14ac:dyDescent="0.2">
      <c r="E65" s="708" t="s">
        <v>10</v>
      </c>
    </row>
    <row r="66" spans="1:8" x14ac:dyDescent="0.2">
      <c r="C66" s="708" t="s">
        <v>8</v>
      </c>
      <c r="E66" s="708" t="s">
        <v>338</v>
      </c>
    </row>
    <row r="67" spans="1:8" x14ac:dyDescent="0.2">
      <c r="A67" s="53" t="s">
        <v>369</v>
      </c>
      <c r="C67" s="3" t="s">
        <v>259</v>
      </c>
      <c r="E67" s="3" t="s">
        <v>3</v>
      </c>
      <c r="F67" s="3" t="s">
        <v>207</v>
      </c>
    </row>
    <row r="68" spans="1:8" x14ac:dyDescent="0.2">
      <c r="A68" s="708">
        <f>A59+1</f>
        <v>21</v>
      </c>
      <c r="C68" t="s">
        <v>260</v>
      </c>
      <c r="E68" s="7">
        <f>'14-IncentivePlant'!G60</f>
        <v>181872286.03564537</v>
      </c>
      <c r="F68" s="625" t="str">
        <f>"14-IncentivePlant, L "&amp;'14-IncentivePlant'!A60&amp;", Col. 3"</f>
        <v>14-IncentivePlant, L 19, Col. 3</v>
      </c>
      <c r="G68" s="14"/>
      <c r="H68" s="14"/>
    </row>
    <row r="69" spans="1:8" x14ac:dyDescent="0.2">
      <c r="A69" s="708">
        <f t="shared" ref="A69:A71" si="0">A68+1</f>
        <v>22</v>
      </c>
      <c r="C69" t="s">
        <v>261</v>
      </c>
      <c r="E69" s="7">
        <f>'14-IncentivePlant'!G61</f>
        <v>379329188.74206746</v>
      </c>
      <c r="F69" s="625" t="str">
        <f>"14-IncentivePlant, L "&amp;'14-IncentivePlant'!A61&amp;", Col. 3"</f>
        <v>14-IncentivePlant, L 20, Col. 3</v>
      </c>
      <c r="G69" s="14"/>
      <c r="H69" s="14"/>
    </row>
    <row r="70" spans="1:8" x14ac:dyDescent="0.2">
      <c r="A70" s="708">
        <f t="shared" si="0"/>
        <v>23</v>
      </c>
      <c r="C70" s="626" t="s">
        <v>3210</v>
      </c>
      <c r="E70" s="7">
        <f>'14-IncentivePlant'!G62</f>
        <v>16766.289044878205</v>
      </c>
      <c r="F70" s="625" t="str">
        <f>"14-IncentivePlant, L "&amp;'14-IncentivePlant'!A62&amp;", Col. 3"</f>
        <v>14-IncentivePlant, L 21, Col. 3</v>
      </c>
      <c r="G70" s="14"/>
      <c r="H70" s="14"/>
    </row>
    <row r="71" spans="1:8" x14ac:dyDescent="0.2">
      <c r="A71" s="708">
        <f t="shared" si="0"/>
        <v>24</v>
      </c>
      <c r="C71" s="120"/>
      <c r="F71" s="625"/>
      <c r="G71" s="14"/>
      <c r="H71" s="14"/>
    </row>
    <row r="72" spans="1:8" x14ac:dyDescent="0.2">
      <c r="C72" s="709" t="s">
        <v>574</v>
      </c>
    </row>
    <row r="73" spans="1:8" x14ac:dyDescent="0.2">
      <c r="C73" s="709"/>
    </row>
    <row r="74" spans="1:8" x14ac:dyDescent="0.2">
      <c r="C74" s="1" t="s">
        <v>1962</v>
      </c>
    </row>
    <row r="75" spans="1:8" x14ac:dyDescent="0.2">
      <c r="C75" s="1"/>
    </row>
    <row r="76" spans="1:8" x14ac:dyDescent="0.2">
      <c r="E76" s="3" t="s">
        <v>403</v>
      </c>
      <c r="F76" s="3" t="s">
        <v>387</v>
      </c>
    </row>
    <row r="77" spans="1:8" x14ac:dyDescent="0.2">
      <c r="E77" s="3"/>
      <c r="F77" s="708" t="s">
        <v>1963</v>
      </c>
    </row>
    <row r="78" spans="1:8" x14ac:dyDescent="0.2">
      <c r="E78" s="708" t="s">
        <v>316</v>
      </c>
      <c r="F78" s="708" t="s">
        <v>316</v>
      </c>
    </row>
    <row r="79" spans="1:8" x14ac:dyDescent="0.2">
      <c r="C79" s="708" t="s">
        <v>8</v>
      </c>
      <c r="E79" s="708" t="s">
        <v>8</v>
      </c>
      <c r="F79" s="708" t="s">
        <v>8</v>
      </c>
    </row>
    <row r="80" spans="1:8" x14ac:dyDescent="0.2">
      <c r="A80" s="53" t="s">
        <v>369</v>
      </c>
      <c r="C80" s="3" t="s">
        <v>259</v>
      </c>
      <c r="E80" s="3" t="s">
        <v>313</v>
      </c>
      <c r="F80" s="3" t="s">
        <v>313</v>
      </c>
      <c r="G80" s="3" t="s">
        <v>207</v>
      </c>
    </row>
    <row r="81" spans="1:8" x14ac:dyDescent="0.2">
      <c r="A81" s="708">
        <f>A71+1</f>
        <v>25</v>
      </c>
      <c r="C81" t="s">
        <v>260</v>
      </c>
      <c r="E81" s="7">
        <f>(E68/1000000)*(F54*$G$17)</f>
        <v>1130028.2810176278</v>
      </c>
      <c r="F81" s="7">
        <f>E81*(1-$G$16)</f>
        <v>668001.41069390089</v>
      </c>
      <c r="G81" s="630" t="s">
        <v>245</v>
      </c>
    </row>
    <row r="82" spans="1:8" x14ac:dyDescent="0.2">
      <c r="A82" s="708">
        <f t="shared" ref="A82:A86" si="1">A81+1</f>
        <v>26</v>
      </c>
      <c r="C82" t="s">
        <v>261</v>
      </c>
      <c r="E82" s="7">
        <f>(E69/1000000)*(F55*$G$17)</f>
        <v>3928147.6069238093</v>
      </c>
      <c r="F82" s="7">
        <f>E82*(1-$G$16)</f>
        <v>2322072.9842937822</v>
      </c>
      <c r="G82" s="630" t="s">
        <v>245</v>
      </c>
    </row>
    <row r="83" spans="1:8" x14ac:dyDescent="0.2">
      <c r="A83" s="708">
        <f t="shared" si="1"/>
        <v>27</v>
      </c>
      <c r="C83" s="626" t="s">
        <v>3210</v>
      </c>
      <c r="E83" s="7">
        <f>(E70/1000000)*(F56*$G$17)</f>
        <v>138.89879322398122</v>
      </c>
      <c r="F83" s="7">
        <f>E83*(1-$G$16)</f>
        <v>82.108201516641969</v>
      </c>
      <c r="G83" s="630" t="s">
        <v>245</v>
      </c>
    </row>
    <row r="84" spans="1:8" x14ac:dyDescent="0.2">
      <c r="A84" s="708">
        <f t="shared" si="1"/>
        <v>28</v>
      </c>
      <c r="C84" s="120"/>
      <c r="E84" s="7"/>
      <c r="F84" s="7"/>
      <c r="G84" s="630" t="s">
        <v>245</v>
      </c>
    </row>
    <row r="85" spans="1:8" x14ac:dyDescent="0.2">
      <c r="A85" s="708">
        <f t="shared" si="1"/>
        <v>29</v>
      </c>
      <c r="C85" s="709" t="s">
        <v>574</v>
      </c>
      <c r="E85" s="7"/>
      <c r="F85" s="7"/>
    </row>
    <row r="86" spans="1:8" x14ac:dyDescent="0.2">
      <c r="A86" s="708">
        <f t="shared" si="1"/>
        <v>30</v>
      </c>
      <c r="E86" s="624" t="s">
        <v>4</v>
      </c>
      <c r="F86" s="7">
        <f>SUM(F81:F85)</f>
        <v>2990156.5031891996</v>
      </c>
    </row>
    <row r="88" spans="1:8" x14ac:dyDescent="0.2">
      <c r="C88" s="1" t="s">
        <v>1964</v>
      </c>
    </row>
    <row r="89" spans="1:8" x14ac:dyDescent="0.2">
      <c r="A89" s="53" t="s">
        <v>369</v>
      </c>
      <c r="F89" s="3" t="s">
        <v>203</v>
      </c>
      <c r="G89" s="3" t="s">
        <v>207</v>
      </c>
    </row>
    <row r="90" spans="1:8" x14ac:dyDescent="0.2">
      <c r="A90" s="708">
        <f>A86+1</f>
        <v>31</v>
      </c>
      <c r="E90" s="624" t="s">
        <v>1965</v>
      </c>
      <c r="F90" s="7">
        <f>'4-TUTRR'!J29</f>
        <v>2789050550.8334966</v>
      </c>
      <c r="G90" s="625" t="str">
        <f>"4-TUTRR, Line "&amp;'4-TUTRR'!A29&amp;""</f>
        <v>4-TUTRR, Line 17</v>
      </c>
      <c r="H90" s="14"/>
    </row>
    <row r="91" spans="1:8" x14ac:dyDescent="0.2">
      <c r="A91" s="708">
        <f t="shared" ref="A91:A94" si="2">A90+1</f>
        <v>32</v>
      </c>
      <c r="E91" s="624" t="s">
        <v>1966</v>
      </c>
      <c r="F91" s="93">
        <f>'4-TUTRR'!J24</f>
        <v>899913283.18693578</v>
      </c>
      <c r="G91" s="625" t="str">
        <f>"4-TUTRR, Line "&amp;'4-TUTRR'!A24&amp;""</f>
        <v>4-TUTRR, Line 14</v>
      </c>
      <c r="H91" s="14"/>
    </row>
    <row r="92" spans="1:8" x14ac:dyDescent="0.2">
      <c r="A92" s="708">
        <f t="shared" si="2"/>
        <v>33</v>
      </c>
      <c r="E92" s="624" t="s">
        <v>1967</v>
      </c>
      <c r="F92" s="7">
        <f>F90-F91</f>
        <v>1889137267.6465607</v>
      </c>
      <c r="G92" s="118" t="str">
        <f>"Line "&amp;A90&amp;" - Line "&amp;A91&amp;""</f>
        <v>Line 31 - Line 32</v>
      </c>
      <c r="H92" s="14"/>
    </row>
    <row r="93" spans="1:8" x14ac:dyDescent="0.2">
      <c r="A93" s="708">
        <f t="shared" si="2"/>
        <v>34</v>
      </c>
      <c r="E93" s="624" t="s">
        <v>1968</v>
      </c>
      <c r="F93" s="8">
        <f>'1-BaseTRR'!K80</f>
        <v>0.48972197304283327</v>
      </c>
      <c r="G93" s="625" t="str">
        <f>"1-BaseTRR, Line "&amp;'1-BaseTRR'!A80&amp;""</f>
        <v>1-BaseTRR, Line 46</v>
      </c>
      <c r="H93" s="14"/>
    </row>
    <row r="94" spans="1:8" x14ac:dyDescent="0.2">
      <c r="A94" s="708">
        <f t="shared" si="2"/>
        <v>35</v>
      </c>
      <c r="E94" s="624" t="s">
        <v>1969</v>
      </c>
      <c r="F94" s="7">
        <f>F92*F93</f>
        <v>925152030.06062067</v>
      </c>
      <c r="G94" s="118" t="str">
        <f>"Line "&amp;A92&amp;" * Line "&amp;A93&amp;""</f>
        <v>Line 33 * Line 34</v>
      </c>
      <c r="H94" s="14"/>
    </row>
    <row r="95" spans="1:8" x14ac:dyDescent="0.2">
      <c r="G95" s="14"/>
      <c r="H95" s="14"/>
    </row>
    <row r="96" spans="1:8" x14ac:dyDescent="0.2">
      <c r="C96" s="1" t="s">
        <v>1970</v>
      </c>
      <c r="G96" s="14"/>
      <c r="H96" s="14"/>
    </row>
    <row r="97" spans="1:8" x14ac:dyDescent="0.2">
      <c r="A97" s="53" t="s">
        <v>369</v>
      </c>
      <c r="G97" s="14"/>
      <c r="H97" s="14"/>
    </row>
    <row r="98" spans="1:8" x14ac:dyDescent="0.2">
      <c r="A98" s="708">
        <f>A94+1</f>
        <v>36</v>
      </c>
      <c r="E98" s="624" t="s">
        <v>1971</v>
      </c>
      <c r="F98" s="43">
        <f>F86/F94</f>
        <v>3.2320704122470222E-3</v>
      </c>
      <c r="G98" s="118" t="str">
        <f>"Line "&amp;A86&amp;" / Line "&amp;A94&amp;""</f>
        <v>Line 30 / Line 35</v>
      </c>
      <c r="H98" s="14"/>
    </row>
    <row r="99" spans="1:8" x14ac:dyDescent="0.2">
      <c r="A99" s="708">
        <f t="shared" ref="A99:A101" si="3">A98+1</f>
        <v>37</v>
      </c>
      <c r="E99" s="624" t="s">
        <v>1972</v>
      </c>
      <c r="G99" s="14"/>
      <c r="H99" s="14"/>
    </row>
    <row r="100" spans="1:8" x14ac:dyDescent="0.2">
      <c r="A100" s="708">
        <f t="shared" si="3"/>
        <v>38</v>
      </c>
      <c r="E100" s="624" t="s">
        <v>1973</v>
      </c>
      <c r="F100" s="710">
        <f>'1-BaseTRR'!K85</f>
        <v>9.8000000000000004E-2</v>
      </c>
      <c r="G100" s="625" t="str">
        <f>"1-BaseTRR, Line "&amp;'1-BaseTRR'!A85&amp;""</f>
        <v>1-BaseTRR, Line 49</v>
      </c>
      <c r="H100" s="14"/>
    </row>
    <row r="101" spans="1:8" x14ac:dyDescent="0.2">
      <c r="A101" s="708">
        <f t="shared" si="3"/>
        <v>39</v>
      </c>
      <c r="E101" s="624" t="s">
        <v>1974</v>
      </c>
      <c r="F101" s="43">
        <f>F98+F100</f>
        <v>0.10123207041224702</v>
      </c>
      <c r="G101" s="16" t="str">
        <f>"Line "&amp;A98&amp;" + Line "&amp;A100&amp;""</f>
        <v>Line 36 + Line 38</v>
      </c>
    </row>
    <row r="103" spans="1:8" x14ac:dyDescent="0.2">
      <c r="B103" s="1" t="s">
        <v>429</v>
      </c>
    </row>
    <row r="104" spans="1:8" x14ac:dyDescent="0.2">
      <c r="B104" s="626" t="s">
        <v>598</v>
      </c>
    </row>
    <row r="105" spans="1:8" x14ac:dyDescent="0.2">
      <c r="B105" s="626" t="s">
        <v>599</v>
      </c>
    </row>
    <row r="107" spans="1:8" x14ac:dyDescent="0.2">
      <c r="B107" s="1" t="s">
        <v>265</v>
      </c>
    </row>
    <row r="108" spans="1:8" x14ac:dyDescent="0.2">
      <c r="B108" s="626" t="str">
        <f>"1) Column 1: The True Up Incentive Adder for each Incentive Project equals the IREF on Line "&amp;A17&amp;","</f>
        <v>1) Column 1: The True Up Incentive Adder for each Incentive Project equals the IREF on Line 3,</v>
      </c>
    </row>
    <row r="109" spans="1:8" x14ac:dyDescent="0.2">
      <c r="B109" s="626" t="str">
        <f>"times the applicable Multiplicative Factor on Lines "&amp;A54&amp;" to "&amp;A57&amp;", times the million $ of"</f>
        <v>times the applicable Multiplicative Factor on Lines 15 to 18, times the million $ of</v>
      </c>
    </row>
    <row r="110" spans="1:8" x14ac:dyDescent="0.2">
      <c r="B110" s="626" t="str">
        <f>"TIP Net Plant In Service on Lines "&amp;A68&amp;" to "&amp;A71&amp;"."</f>
        <v>TIP Net Plant In Service on Lines 21 to 24.</v>
      </c>
    </row>
    <row r="111" spans="1:8" x14ac:dyDescent="0.2">
      <c r="B111" s="626" t="s">
        <v>1975</v>
      </c>
    </row>
    <row r="112" spans="1:8" x14ac:dyDescent="0.2">
      <c r="B112" s="626" t="str">
        <f>"Column 1 by (1 - CTR) (Where the CTR is on Line "&amp;A16&amp;")."</f>
        <v>Column 1 by (1 - CTR) (Where the CTR is on Line 2).</v>
      </c>
    </row>
  </sheetData>
  <phoneticPr fontId="11" type="noConversion"/>
  <pageMargins left="0.75" right="0.75" top="1" bottom="1" header="0.5" footer="0.5"/>
  <pageSetup scale="75" orientation="portrait" cellComments="asDisplayed" r:id="rId1"/>
  <headerFooter alignWithMargins="0">
    <oddHeader>&amp;CSchedule 15
Incentive Adders
&amp;"Arial,Bold"Exhibit G-2</oddHeader>
    <oddFooter>&amp;R&amp;A</oddFooter>
  </headerFooter>
  <rowBreaks count="1" manualBreakCount="1">
    <brk id="60"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95"/>
  <sheetViews>
    <sheetView zoomScale="85" zoomScaleNormal="85" workbookViewId="0"/>
  </sheetViews>
  <sheetFormatPr defaultColWidth="9.140625" defaultRowHeight="12.75" x14ac:dyDescent="0.2"/>
  <cols>
    <col min="1" max="1" width="4.7109375" style="901" customWidth="1"/>
    <col min="2" max="2" width="6" style="901" customWidth="1"/>
    <col min="3" max="3" width="15.7109375" style="901" customWidth="1"/>
    <col min="4" max="4" width="9.140625" style="901" customWidth="1"/>
    <col min="5" max="6" width="14.7109375" style="901" customWidth="1"/>
    <col min="7" max="7" width="16" style="901" bestFit="1" customWidth="1"/>
    <col min="8" max="8" width="18.28515625" style="901" customWidth="1"/>
    <col min="9" max="10" width="15.7109375" style="901" customWidth="1"/>
    <col min="11" max="11" width="16.85546875" style="901" customWidth="1"/>
    <col min="12" max="16" width="15.7109375" style="901" customWidth="1"/>
    <col min="17" max="17" width="2.85546875" style="901" customWidth="1"/>
    <col min="18" max="21" width="18.7109375" style="901" customWidth="1"/>
    <col min="22" max="22" width="15.7109375" style="901" customWidth="1"/>
    <col min="23" max="23" width="20.85546875" style="901" bestFit="1" customWidth="1"/>
    <col min="24" max="40" width="15.7109375" style="901" customWidth="1"/>
    <col min="41" max="16384" width="9.140625" style="901"/>
  </cols>
  <sheetData>
    <row r="1" spans="1:40" x14ac:dyDescent="0.2">
      <c r="A1" s="852" t="s">
        <v>1744</v>
      </c>
    </row>
    <row r="2" spans="1:40" x14ac:dyDescent="0.2">
      <c r="F2" s="902" t="s">
        <v>393</v>
      </c>
      <c r="G2" s="902"/>
    </row>
    <row r="3" spans="1:40" x14ac:dyDescent="0.2">
      <c r="B3" s="853" t="s">
        <v>1745</v>
      </c>
    </row>
    <row r="4" spans="1:40" x14ac:dyDescent="0.2">
      <c r="B4" s="853" t="s">
        <v>2631</v>
      </c>
    </row>
    <row r="5" spans="1:40" x14ac:dyDescent="0.2">
      <c r="B5" s="853" t="s">
        <v>2632</v>
      </c>
    </row>
    <row r="6" spans="1:40" x14ac:dyDescent="0.2">
      <c r="B6" s="853"/>
    </row>
    <row r="7" spans="1:40" x14ac:dyDescent="0.2">
      <c r="B7" s="852" t="s">
        <v>2633</v>
      </c>
      <c r="H7" s="853"/>
      <c r="I7" s="853"/>
    </row>
    <row r="8" spans="1:40" x14ac:dyDescent="0.2">
      <c r="B8" s="853"/>
      <c r="E8" s="903" t="s">
        <v>403</v>
      </c>
      <c r="F8" s="903" t="s">
        <v>387</v>
      </c>
      <c r="G8" s="903" t="s">
        <v>388</v>
      </c>
      <c r="H8" s="903" t="s">
        <v>389</v>
      </c>
      <c r="I8" s="903" t="s">
        <v>390</v>
      </c>
      <c r="J8" s="903" t="s">
        <v>391</v>
      </c>
      <c r="K8" s="903" t="s">
        <v>392</v>
      </c>
      <c r="L8" s="903" t="s">
        <v>606</v>
      </c>
      <c r="M8" s="903" t="s">
        <v>1055</v>
      </c>
      <c r="N8" s="903" t="s">
        <v>1072</v>
      </c>
      <c r="O8" s="903" t="s">
        <v>1075</v>
      </c>
      <c r="P8" s="903" t="s">
        <v>1093</v>
      </c>
      <c r="T8" s="903"/>
      <c r="U8" s="903"/>
      <c r="X8" s="904"/>
      <c r="Y8" s="904"/>
      <c r="Z8" s="904"/>
      <c r="AA8" s="904"/>
      <c r="AB8" s="904"/>
      <c r="AC8" s="904"/>
      <c r="AD8" s="904"/>
      <c r="AE8" s="904"/>
      <c r="AF8" s="904"/>
      <c r="AG8" s="904"/>
      <c r="AH8" s="904"/>
      <c r="AI8" s="904"/>
      <c r="AJ8" s="904"/>
      <c r="AK8" s="904"/>
      <c r="AL8" s="904"/>
      <c r="AM8" s="904"/>
      <c r="AN8" s="904"/>
    </row>
    <row r="9" spans="1:40" x14ac:dyDescent="0.2">
      <c r="B9" s="853"/>
      <c r="E9" s="905" t="s">
        <v>244</v>
      </c>
      <c r="F9" s="905" t="s">
        <v>244</v>
      </c>
      <c r="G9" s="905" t="s">
        <v>244</v>
      </c>
      <c r="H9" s="905" t="s">
        <v>244</v>
      </c>
      <c r="I9" s="905" t="s">
        <v>244</v>
      </c>
      <c r="J9" s="905" t="s">
        <v>244</v>
      </c>
      <c r="K9" s="905" t="s">
        <v>244</v>
      </c>
      <c r="L9" s="905" t="s">
        <v>244</v>
      </c>
      <c r="M9" s="905" t="s">
        <v>244</v>
      </c>
      <c r="N9" s="905" t="s">
        <v>244</v>
      </c>
      <c r="O9" s="905" t="s">
        <v>244</v>
      </c>
      <c r="P9" s="905" t="s">
        <v>244</v>
      </c>
      <c r="Q9" s="907"/>
    </row>
    <row r="10" spans="1:40" x14ac:dyDescent="0.2">
      <c r="C10" s="908" t="s">
        <v>226</v>
      </c>
      <c r="E10" s="908" t="s">
        <v>2596</v>
      </c>
      <c r="F10" s="908"/>
      <c r="G10" s="908"/>
      <c r="H10" s="909"/>
      <c r="I10" s="909" t="s">
        <v>2581</v>
      </c>
      <c r="J10" s="909"/>
      <c r="K10" s="909"/>
      <c r="L10" s="909"/>
      <c r="M10" s="909"/>
      <c r="O10" s="908" t="s">
        <v>2596</v>
      </c>
      <c r="P10" s="908" t="s">
        <v>2634</v>
      </c>
      <c r="T10" s="909"/>
      <c r="U10" s="909"/>
      <c r="X10" s="909"/>
      <c r="Y10" s="909"/>
      <c r="Z10" s="909"/>
      <c r="AA10" s="909"/>
      <c r="AB10" s="909"/>
      <c r="AC10" s="909"/>
      <c r="AD10" s="909"/>
      <c r="AE10" s="909"/>
      <c r="AF10" s="909"/>
      <c r="AG10" s="909"/>
      <c r="AH10" s="909"/>
      <c r="AI10" s="909"/>
      <c r="AJ10" s="909"/>
      <c r="AK10" s="909"/>
      <c r="AL10" s="909"/>
      <c r="AM10" s="909"/>
      <c r="AN10" s="909"/>
    </row>
    <row r="11" spans="1:40" x14ac:dyDescent="0.2">
      <c r="B11" s="852"/>
      <c r="C11" s="908" t="s">
        <v>227</v>
      </c>
      <c r="E11" s="908" t="s">
        <v>224</v>
      </c>
      <c r="F11" s="908" t="s">
        <v>2598</v>
      </c>
      <c r="G11" s="909" t="s">
        <v>2599</v>
      </c>
      <c r="H11" s="909" t="s">
        <v>2582</v>
      </c>
      <c r="I11" s="909" t="s">
        <v>2635</v>
      </c>
      <c r="J11" s="909"/>
      <c r="K11" s="909" t="s">
        <v>336</v>
      </c>
      <c r="L11" s="909" t="s">
        <v>1225</v>
      </c>
      <c r="M11" s="909" t="s">
        <v>336</v>
      </c>
      <c r="O11" s="909" t="s">
        <v>2083</v>
      </c>
      <c r="P11" s="909" t="s">
        <v>2083</v>
      </c>
      <c r="T11" s="909"/>
      <c r="U11" s="909"/>
      <c r="X11" s="909"/>
      <c r="Y11" s="909"/>
      <c r="Z11" s="909"/>
      <c r="AA11" s="909"/>
      <c r="AB11" s="909"/>
      <c r="AC11" s="909"/>
      <c r="AD11" s="909"/>
      <c r="AE11" s="909"/>
      <c r="AF11" s="909"/>
      <c r="AG11" s="909"/>
      <c r="AH11" s="909"/>
      <c r="AI11" s="909"/>
      <c r="AJ11" s="909"/>
      <c r="AK11" s="909"/>
      <c r="AL11" s="909"/>
      <c r="AM11" s="909"/>
      <c r="AN11" s="909"/>
    </row>
    <row r="12" spans="1:40" x14ac:dyDescent="0.2">
      <c r="A12" s="910" t="s">
        <v>369</v>
      </c>
      <c r="C12" s="891" t="s">
        <v>220</v>
      </c>
      <c r="D12" s="891" t="s">
        <v>221</v>
      </c>
      <c r="E12" s="904" t="s">
        <v>2602</v>
      </c>
      <c r="F12" s="904" t="s">
        <v>2603</v>
      </c>
      <c r="G12" s="911" t="s">
        <v>2604</v>
      </c>
      <c r="H12" s="911" t="s">
        <v>1128</v>
      </c>
      <c r="I12" s="911" t="s">
        <v>1114</v>
      </c>
      <c r="J12" s="911" t="s">
        <v>2581</v>
      </c>
      <c r="K12" s="911" t="s">
        <v>517</v>
      </c>
      <c r="L12" s="911" t="s">
        <v>2587</v>
      </c>
      <c r="M12" s="911" t="s">
        <v>1630</v>
      </c>
      <c r="N12" s="911" t="s">
        <v>1103</v>
      </c>
      <c r="O12" s="911" t="s">
        <v>1114</v>
      </c>
      <c r="P12" s="911" t="s">
        <v>1114</v>
      </c>
      <c r="T12" s="911"/>
      <c r="U12" s="911"/>
      <c r="V12" s="911"/>
      <c r="W12" s="911"/>
      <c r="X12" s="911"/>
      <c r="Y12" s="911"/>
      <c r="Z12" s="911"/>
      <c r="AA12" s="911"/>
      <c r="AB12" s="911"/>
      <c r="AC12" s="911"/>
      <c r="AD12" s="911"/>
      <c r="AE12" s="911"/>
      <c r="AF12" s="911"/>
      <c r="AG12" s="911"/>
      <c r="AH12" s="911"/>
      <c r="AI12" s="911"/>
      <c r="AJ12" s="911"/>
      <c r="AK12" s="911"/>
      <c r="AL12" s="911"/>
      <c r="AM12" s="911"/>
      <c r="AN12" s="911"/>
    </row>
    <row r="13" spans="1:40" x14ac:dyDescent="0.2">
      <c r="A13" s="908">
        <v>1</v>
      </c>
      <c r="C13" s="901" t="str">
        <f>C42</f>
        <v>January</v>
      </c>
      <c r="D13" s="893">
        <v>2012</v>
      </c>
      <c r="E13" s="850">
        <f t="shared" ref="E13:P28" si="0">E42+E70</f>
        <v>1104455.1475000002</v>
      </c>
      <c r="F13" s="850">
        <f t="shared" si="0"/>
        <v>-212294</v>
      </c>
      <c r="G13" s="850">
        <f t="shared" si="0"/>
        <v>98756.186062500012</v>
      </c>
      <c r="H13" s="850">
        <f t="shared" si="0"/>
        <v>113240.42668500003</v>
      </c>
      <c r="I13" s="850">
        <f t="shared" si="0"/>
        <v>1302264.9068775002</v>
      </c>
      <c r="J13" s="850">
        <f t="shared" si="0"/>
        <v>39067.947206325007</v>
      </c>
      <c r="K13" s="850">
        <f t="shared" si="0"/>
        <v>1129038.8540838251</v>
      </c>
      <c r="L13" s="850">
        <f t="shared" si="0"/>
        <v>0</v>
      </c>
      <c r="M13" s="850">
        <f t="shared" si="0"/>
        <v>0</v>
      </c>
      <c r="N13" s="850">
        <f t="shared" si="0"/>
        <v>1129038.8540838251</v>
      </c>
      <c r="O13" s="850">
        <f t="shared" si="0"/>
        <v>0</v>
      </c>
      <c r="P13" s="850">
        <f t="shared" si="0"/>
        <v>0</v>
      </c>
      <c r="T13" s="912"/>
      <c r="U13" s="912"/>
      <c r="V13" s="913"/>
      <c r="W13" s="912"/>
      <c r="X13" s="914"/>
      <c r="Y13" s="681"/>
      <c r="Z13" s="912"/>
      <c r="AA13" s="912"/>
      <c r="AB13" s="912"/>
      <c r="AC13" s="912"/>
      <c r="AD13" s="912"/>
      <c r="AE13" s="912"/>
      <c r="AF13" s="912"/>
      <c r="AG13" s="912"/>
      <c r="AH13" s="912"/>
      <c r="AI13" s="912"/>
      <c r="AJ13" s="912"/>
      <c r="AK13" s="912"/>
      <c r="AL13" s="912"/>
      <c r="AM13" s="912"/>
      <c r="AN13" s="912"/>
    </row>
    <row r="14" spans="1:40" x14ac:dyDescent="0.2">
      <c r="A14" s="908">
        <f>A13+1</f>
        <v>2</v>
      </c>
      <c r="C14" s="901" t="str">
        <f t="shared" ref="C14:C29" si="1">C43</f>
        <v>February</v>
      </c>
      <c r="D14" s="893">
        <v>2012</v>
      </c>
      <c r="E14" s="850">
        <f t="shared" si="0"/>
        <v>166818002.85458386</v>
      </c>
      <c r="F14" s="850">
        <f t="shared" si="0"/>
        <v>158750696.44708389</v>
      </c>
      <c r="G14" s="850">
        <f t="shared" si="0"/>
        <v>605047.9805624967</v>
      </c>
      <c r="H14" s="850">
        <f t="shared" si="0"/>
        <v>340152.32108500012</v>
      </c>
      <c r="I14" s="850">
        <f t="shared" si="0"/>
        <v>3911751.6924775015</v>
      </c>
      <c r="J14" s="850">
        <f t="shared" si="0"/>
        <v>117352.55077432503</v>
      </c>
      <c r="K14" s="850">
        <f t="shared" si="0"/>
        <v>168329289.9189195</v>
      </c>
      <c r="L14" s="850">
        <f t="shared" si="0"/>
        <v>2340.1425551643156</v>
      </c>
      <c r="M14" s="850">
        <f t="shared" si="0"/>
        <v>2340.1425551643156</v>
      </c>
      <c r="N14" s="850">
        <f t="shared" si="0"/>
        <v>168326949.77636433</v>
      </c>
      <c r="O14" s="850">
        <f t="shared" si="0"/>
        <v>333575.0774999999</v>
      </c>
      <c r="P14" s="850">
        <f t="shared" si="0"/>
        <v>339112.42378649989</v>
      </c>
      <c r="T14" s="912"/>
      <c r="U14" s="912"/>
      <c r="V14" s="913"/>
      <c r="W14" s="912"/>
      <c r="X14" s="914"/>
      <c r="Y14" s="681"/>
      <c r="Z14" s="912"/>
      <c r="AA14" s="912"/>
      <c r="AB14" s="912"/>
      <c r="AC14" s="912"/>
      <c r="AD14" s="912"/>
      <c r="AE14" s="912"/>
      <c r="AF14" s="912"/>
      <c r="AG14" s="912"/>
      <c r="AH14" s="912"/>
      <c r="AI14" s="912"/>
      <c r="AJ14" s="912"/>
      <c r="AK14" s="912"/>
      <c r="AL14" s="912"/>
      <c r="AM14" s="912"/>
      <c r="AN14" s="912"/>
    </row>
    <row r="15" spans="1:40" x14ac:dyDescent="0.2">
      <c r="A15" s="908">
        <f t="shared" ref="A15:A33" si="2">A14+1</f>
        <v>3</v>
      </c>
      <c r="C15" s="901" t="str">
        <f t="shared" si="1"/>
        <v>March</v>
      </c>
      <c r="D15" s="893">
        <v>2012</v>
      </c>
      <c r="E15" s="850">
        <f t="shared" si="0"/>
        <v>2473799.1274999999</v>
      </c>
      <c r="F15" s="850">
        <f t="shared" si="0"/>
        <v>664200.40999999992</v>
      </c>
      <c r="G15" s="850">
        <f t="shared" si="0"/>
        <v>135719.90381250001</v>
      </c>
      <c r="H15" s="850">
        <f t="shared" si="0"/>
        <v>113240.42668500003</v>
      </c>
      <c r="I15" s="850">
        <f t="shared" si="0"/>
        <v>1302264.9068775002</v>
      </c>
      <c r="J15" s="850">
        <f t="shared" si="0"/>
        <v>39067.947206325007</v>
      </c>
      <c r="K15" s="850">
        <f t="shared" si="0"/>
        <v>170864636.47075331</v>
      </c>
      <c r="L15" s="850">
        <f t="shared" si="0"/>
        <v>348893.69236057228</v>
      </c>
      <c r="M15" s="850">
        <f t="shared" si="0"/>
        <v>351233.83491573663</v>
      </c>
      <c r="N15" s="850">
        <f t="shared" si="0"/>
        <v>170513402.63583758</v>
      </c>
      <c r="O15" s="850">
        <f t="shared" si="0"/>
        <v>333575.0774999999</v>
      </c>
      <c r="P15" s="850">
        <f t="shared" si="0"/>
        <v>339112.42378649989</v>
      </c>
      <c r="T15" s="912"/>
      <c r="U15" s="912"/>
      <c r="V15" s="913"/>
      <c r="W15" s="912"/>
      <c r="X15" s="914"/>
      <c r="Y15" s="681"/>
      <c r="Z15" s="912"/>
      <c r="AA15" s="912"/>
      <c r="AB15" s="912"/>
      <c r="AC15" s="912"/>
      <c r="AD15" s="912"/>
      <c r="AE15" s="912"/>
      <c r="AF15" s="912"/>
      <c r="AG15" s="912"/>
      <c r="AH15" s="912"/>
      <c r="AI15" s="912"/>
      <c r="AJ15" s="912"/>
      <c r="AK15" s="912"/>
      <c r="AL15" s="912"/>
      <c r="AM15" s="912"/>
      <c r="AN15" s="912"/>
    </row>
    <row r="16" spans="1:40" x14ac:dyDescent="0.2">
      <c r="A16" s="908">
        <f t="shared" si="2"/>
        <v>4</v>
      </c>
      <c r="C16" s="901" t="str">
        <f t="shared" si="1"/>
        <v>April</v>
      </c>
      <c r="D16" s="893">
        <v>2012</v>
      </c>
      <c r="E16" s="850">
        <f t="shared" si="0"/>
        <v>139694585.45378447</v>
      </c>
      <c r="F16" s="850">
        <f t="shared" si="0"/>
        <v>118497397.28878447</v>
      </c>
      <c r="G16" s="850">
        <f t="shared" si="0"/>
        <v>1589789.112375</v>
      </c>
      <c r="H16" s="850">
        <f t="shared" si="0"/>
        <v>605006.48668500013</v>
      </c>
      <c r="I16" s="850">
        <f t="shared" si="0"/>
        <v>6957574.5968775004</v>
      </c>
      <c r="J16" s="850">
        <f t="shared" si="0"/>
        <v>208727.237906325</v>
      </c>
      <c r="K16" s="850">
        <f t="shared" si="0"/>
        <v>311752731.7881341</v>
      </c>
      <c r="L16" s="850">
        <f t="shared" si="0"/>
        <v>354148.66860569891</v>
      </c>
      <c r="M16" s="850">
        <f t="shared" si="0"/>
        <v>705382.50352143554</v>
      </c>
      <c r="N16" s="850">
        <f t="shared" si="0"/>
        <v>311047349.28461266</v>
      </c>
      <c r="O16" s="850">
        <f t="shared" si="0"/>
        <v>333575.0774999999</v>
      </c>
      <c r="P16" s="850">
        <f t="shared" si="0"/>
        <v>339112.42378649989</v>
      </c>
      <c r="T16" s="912"/>
      <c r="U16" s="912"/>
      <c r="V16" s="913"/>
      <c r="W16" s="912"/>
      <c r="X16" s="914"/>
      <c r="Y16" s="681"/>
      <c r="Z16" s="912"/>
      <c r="AA16" s="912"/>
      <c r="AB16" s="912"/>
      <c r="AC16" s="912"/>
      <c r="AD16" s="912"/>
      <c r="AE16" s="912"/>
      <c r="AF16" s="912"/>
      <c r="AG16" s="912"/>
      <c r="AH16" s="912"/>
      <c r="AI16" s="912"/>
      <c r="AJ16" s="912"/>
      <c r="AK16" s="912"/>
      <c r="AL16" s="912"/>
      <c r="AM16" s="912"/>
      <c r="AN16" s="912"/>
    </row>
    <row r="17" spans="1:40" x14ac:dyDescent="0.2">
      <c r="A17" s="908">
        <f t="shared" si="2"/>
        <v>5</v>
      </c>
      <c r="C17" s="901" t="str">
        <f t="shared" si="1"/>
        <v>May</v>
      </c>
      <c r="D17" s="893">
        <v>2012</v>
      </c>
      <c r="E17" s="850">
        <f t="shared" si="0"/>
        <v>209764774.62100354</v>
      </c>
      <c r="F17" s="850">
        <f t="shared" si="0"/>
        <v>188750013.60410354</v>
      </c>
      <c r="G17" s="850">
        <f t="shared" si="0"/>
        <v>1576107.0762674997</v>
      </c>
      <c r="H17" s="850">
        <f t="shared" si="0"/>
        <v>375970.42668500025</v>
      </c>
      <c r="I17" s="850">
        <f t="shared" si="0"/>
        <v>4323659.9068775028</v>
      </c>
      <c r="J17" s="850">
        <f t="shared" si="0"/>
        <v>129709.79720632508</v>
      </c>
      <c r="K17" s="850">
        <f t="shared" si="0"/>
        <v>522847352.85592651</v>
      </c>
      <c r="L17" s="850">
        <f t="shared" si="0"/>
        <v>646165.3925436784</v>
      </c>
      <c r="M17" s="850">
        <f t="shared" si="0"/>
        <v>1351547.8960651141</v>
      </c>
      <c r="N17" s="850">
        <f t="shared" si="0"/>
        <v>521495804.9598614</v>
      </c>
      <c r="O17" s="850">
        <f t="shared" si="0"/>
        <v>333575.0774999999</v>
      </c>
      <c r="P17" s="850">
        <f t="shared" si="0"/>
        <v>339112.42378649989</v>
      </c>
      <c r="T17" s="912"/>
      <c r="U17" s="912"/>
      <c r="V17" s="913"/>
      <c r="W17" s="912"/>
      <c r="X17" s="914"/>
      <c r="Y17" s="681"/>
      <c r="Z17" s="912"/>
      <c r="AA17" s="912"/>
      <c r="AB17" s="912"/>
      <c r="AC17" s="912"/>
      <c r="AD17" s="912"/>
      <c r="AE17" s="912"/>
      <c r="AF17" s="912"/>
      <c r="AG17" s="912"/>
      <c r="AH17" s="912"/>
      <c r="AI17" s="912"/>
      <c r="AJ17" s="912"/>
      <c r="AK17" s="912"/>
      <c r="AL17" s="912"/>
      <c r="AM17" s="912"/>
      <c r="AN17" s="912"/>
    </row>
    <row r="18" spans="1:40" x14ac:dyDescent="0.2">
      <c r="A18" s="908">
        <f t="shared" si="2"/>
        <v>6</v>
      </c>
      <c r="C18" s="901" t="str">
        <f t="shared" si="1"/>
        <v xml:space="preserve">June </v>
      </c>
      <c r="D18" s="893">
        <v>2012</v>
      </c>
      <c r="E18" s="850">
        <f t="shared" si="0"/>
        <v>32840865.26860949</v>
      </c>
      <c r="F18" s="850">
        <f t="shared" si="0"/>
        <v>7862411.7919594888</v>
      </c>
      <c r="G18" s="850">
        <f t="shared" si="0"/>
        <v>1873384.0107487501</v>
      </c>
      <c r="H18" s="850">
        <f t="shared" si="0"/>
        <v>1319216.5346850001</v>
      </c>
      <c r="I18" s="850">
        <f t="shared" si="0"/>
        <v>15170990.1488775</v>
      </c>
      <c r="J18" s="850">
        <f t="shared" si="0"/>
        <v>455129.704466325</v>
      </c>
      <c r="K18" s="850">
        <f t="shared" si="0"/>
        <v>556697515.30506611</v>
      </c>
      <c r="L18" s="850">
        <f t="shared" si="0"/>
        <v>1083698.1702157836</v>
      </c>
      <c r="M18" s="850">
        <f t="shared" si="0"/>
        <v>2435246.0662808977</v>
      </c>
      <c r="N18" s="850">
        <f t="shared" si="0"/>
        <v>554262269.23878527</v>
      </c>
      <c r="O18" s="850">
        <f t="shared" si="0"/>
        <v>333575.0774999999</v>
      </c>
      <c r="P18" s="850">
        <f t="shared" si="0"/>
        <v>339112.42378649989</v>
      </c>
      <c r="T18" s="912"/>
      <c r="U18" s="912"/>
      <c r="V18" s="913"/>
      <c r="W18" s="912"/>
      <c r="X18" s="914"/>
      <c r="Y18" s="681"/>
      <c r="Z18" s="912"/>
      <c r="AA18" s="912"/>
      <c r="AB18" s="912"/>
      <c r="AC18" s="912"/>
      <c r="AD18" s="912"/>
      <c r="AE18" s="912"/>
      <c r="AF18" s="912"/>
      <c r="AG18" s="912"/>
      <c r="AH18" s="912"/>
      <c r="AI18" s="912"/>
      <c r="AJ18" s="912"/>
      <c r="AK18" s="912"/>
      <c r="AL18" s="912"/>
      <c r="AM18" s="912"/>
      <c r="AN18" s="912"/>
    </row>
    <row r="19" spans="1:40" x14ac:dyDescent="0.2">
      <c r="A19" s="908">
        <f t="shared" si="2"/>
        <v>7</v>
      </c>
      <c r="C19" s="901" t="str">
        <f t="shared" si="1"/>
        <v>July</v>
      </c>
      <c r="D19" s="893">
        <v>2012</v>
      </c>
      <c r="E19" s="850">
        <f t="shared" si="0"/>
        <v>103499537.29771133</v>
      </c>
      <c r="F19" s="850">
        <f t="shared" si="0"/>
        <v>94688634.640311331</v>
      </c>
      <c r="G19" s="850">
        <f t="shared" si="0"/>
        <v>660817.69930500025</v>
      </c>
      <c r="H19" s="850">
        <f t="shared" si="0"/>
        <v>131317.62668500002</v>
      </c>
      <c r="I19" s="850">
        <f t="shared" si="0"/>
        <v>1510152.7068775003</v>
      </c>
      <c r="J19" s="850">
        <f t="shared" si="0"/>
        <v>45304.581206325005</v>
      </c>
      <c r="K19" s="850">
        <f t="shared" si="0"/>
        <v>660771857.25660372</v>
      </c>
      <c r="L19" s="850">
        <f t="shared" si="0"/>
        <v>1153858.9138960675</v>
      </c>
      <c r="M19" s="850">
        <f t="shared" si="0"/>
        <v>3589104.9801769652</v>
      </c>
      <c r="N19" s="850">
        <f t="shared" si="0"/>
        <v>657182752.27642679</v>
      </c>
      <c r="O19" s="850">
        <f>O48+O76</f>
        <v>333575.0774999999</v>
      </c>
      <c r="P19" s="850">
        <f t="shared" si="0"/>
        <v>339112.42378649989</v>
      </c>
      <c r="T19" s="912"/>
      <c r="U19" s="912"/>
      <c r="V19" s="913"/>
      <c r="W19" s="912"/>
      <c r="X19" s="914"/>
      <c r="Y19" s="681"/>
      <c r="Z19" s="912"/>
      <c r="AA19" s="912"/>
      <c r="AB19" s="912"/>
      <c r="AC19" s="912"/>
      <c r="AD19" s="912"/>
      <c r="AE19" s="912"/>
      <c r="AF19" s="912"/>
      <c r="AG19" s="912"/>
      <c r="AH19" s="912"/>
      <c r="AI19" s="912"/>
      <c r="AJ19" s="912"/>
      <c r="AK19" s="912"/>
      <c r="AL19" s="912"/>
      <c r="AM19" s="912"/>
      <c r="AN19" s="912"/>
    </row>
    <row r="20" spans="1:40" x14ac:dyDescent="0.2">
      <c r="A20" s="908">
        <f t="shared" si="2"/>
        <v>8</v>
      </c>
      <c r="C20" s="901" t="str">
        <f t="shared" si="1"/>
        <v>August</v>
      </c>
      <c r="D20" s="893">
        <v>2012</v>
      </c>
      <c r="E20" s="850">
        <f t="shared" si="0"/>
        <v>6196457.2810500003</v>
      </c>
      <c r="F20" s="850">
        <f t="shared" si="0"/>
        <v>274217.18</v>
      </c>
      <c r="G20" s="850">
        <f t="shared" si="0"/>
        <v>444168.00757875002</v>
      </c>
      <c r="H20" s="850">
        <f t="shared" si="0"/>
        <v>263740.42668500001</v>
      </c>
      <c r="I20" s="850">
        <f t="shared" si="0"/>
        <v>3033014.9068775005</v>
      </c>
      <c r="J20" s="850">
        <f t="shared" si="0"/>
        <v>90990.447206325014</v>
      </c>
      <c r="K20" s="850">
        <f t="shared" si="0"/>
        <v>667239732.56575382</v>
      </c>
      <c r="L20" s="850">
        <f t="shared" si="0"/>
        <v>1369572.3019876997</v>
      </c>
      <c r="M20" s="850">
        <f t="shared" si="0"/>
        <v>4958677.2821646649</v>
      </c>
      <c r="N20" s="850">
        <f t="shared" si="0"/>
        <v>662281055.28358924</v>
      </c>
      <c r="O20" s="850">
        <f t="shared" si="0"/>
        <v>333575.0774999999</v>
      </c>
      <c r="P20" s="850">
        <f t="shared" si="0"/>
        <v>339112.42378649989</v>
      </c>
      <c r="T20" s="912"/>
      <c r="U20" s="912"/>
      <c r="V20" s="913"/>
      <c r="W20" s="912"/>
      <c r="X20" s="914"/>
      <c r="Y20" s="681"/>
      <c r="Z20" s="912"/>
      <c r="AA20" s="912"/>
      <c r="AB20" s="912"/>
      <c r="AC20" s="912"/>
      <c r="AD20" s="912"/>
      <c r="AE20" s="912"/>
      <c r="AF20" s="912"/>
      <c r="AG20" s="912"/>
      <c r="AH20" s="912"/>
      <c r="AI20" s="912"/>
      <c r="AJ20" s="912"/>
      <c r="AK20" s="912"/>
      <c r="AL20" s="912"/>
      <c r="AM20" s="912"/>
      <c r="AN20" s="912"/>
    </row>
    <row r="21" spans="1:40" x14ac:dyDescent="0.2">
      <c r="A21" s="908">
        <f t="shared" si="2"/>
        <v>9</v>
      </c>
      <c r="C21" s="901" t="str">
        <f t="shared" si="1"/>
        <v>September</v>
      </c>
      <c r="D21" s="893">
        <v>2012</v>
      </c>
      <c r="E21" s="850">
        <f t="shared" si="0"/>
        <v>20352022.427065387</v>
      </c>
      <c r="F21" s="850">
        <f t="shared" si="0"/>
        <v>3562670.2898653871</v>
      </c>
      <c r="G21" s="850">
        <f t="shared" si="0"/>
        <v>1259201.41029</v>
      </c>
      <c r="H21" s="850">
        <f t="shared" si="0"/>
        <v>482223.42668500001</v>
      </c>
      <c r="I21" s="850">
        <f t="shared" si="0"/>
        <v>5545569.4068775</v>
      </c>
      <c r="J21" s="850">
        <f t="shared" si="0"/>
        <v>166367.08220632499</v>
      </c>
      <c r="K21" s="850">
        <f t="shared" si="0"/>
        <v>688535100.05863059</v>
      </c>
      <c r="L21" s="850">
        <f t="shared" si="0"/>
        <v>1382978.1738916573</v>
      </c>
      <c r="M21" s="850">
        <f t="shared" si="0"/>
        <v>6341655.456056322</v>
      </c>
      <c r="N21" s="850">
        <f t="shared" si="0"/>
        <v>682193444.60257423</v>
      </c>
      <c r="O21" s="850">
        <f t="shared" si="0"/>
        <v>333575.0774999999</v>
      </c>
      <c r="P21" s="850">
        <f t="shared" si="0"/>
        <v>339112.42378649989</v>
      </c>
      <c r="T21" s="912"/>
      <c r="U21" s="912"/>
      <c r="V21" s="913"/>
      <c r="W21" s="912"/>
      <c r="X21" s="914"/>
      <c r="Y21" s="681"/>
      <c r="Z21" s="912"/>
      <c r="AA21" s="912"/>
      <c r="AB21" s="912"/>
      <c r="AC21" s="912"/>
      <c r="AD21" s="912"/>
      <c r="AE21" s="912"/>
      <c r="AF21" s="912"/>
      <c r="AG21" s="912"/>
      <c r="AH21" s="912"/>
      <c r="AI21" s="912"/>
      <c r="AJ21" s="912"/>
      <c r="AK21" s="912"/>
      <c r="AL21" s="912"/>
      <c r="AM21" s="912"/>
      <c r="AN21" s="912"/>
    </row>
    <row r="22" spans="1:40" x14ac:dyDescent="0.2">
      <c r="A22" s="908">
        <f t="shared" si="2"/>
        <v>10</v>
      </c>
      <c r="C22" s="901" t="str">
        <f t="shared" si="1"/>
        <v xml:space="preserve">October </v>
      </c>
      <c r="D22" s="893">
        <v>2012</v>
      </c>
      <c r="E22" s="850">
        <f t="shared" si="0"/>
        <v>4707618.7975000003</v>
      </c>
      <c r="F22" s="850">
        <f t="shared" si="0"/>
        <v>0</v>
      </c>
      <c r="G22" s="850">
        <f t="shared" si="0"/>
        <v>353071.4098125</v>
      </c>
      <c r="H22" s="850">
        <f t="shared" si="0"/>
        <v>113240.42668500003</v>
      </c>
      <c r="I22" s="850">
        <f t="shared" si="0"/>
        <v>1302264.9068775002</v>
      </c>
      <c r="J22" s="850">
        <f t="shared" si="0"/>
        <v>39067.947206325007</v>
      </c>
      <c r="K22" s="850">
        <f t="shared" si="0"/>
        <v>693521617.78646445</v>
      </c>
      <c r="L22" s="850">
        <f t="shared" si="0"/>
        <v>1427116.7750723779</v>
      </c>
      <c r="M22" s="850">
        <f t="shared" si="0"/>
        <v>7768772.231128701</v>
      </c>
      <c r="N22" s="850">
        <f t="shared" si="0"/>
        <v>685752845.55533576</v>
      </c>
      <c r="O22" s="850">
        <f t="shared" si="0"/>
        <v>333575.0774999999</v>
      </c>
      <c r="P22" s="850">
        <f t="shared" si="0"/>
        <v>339112.42378649989</v>
      </c>
      <c r="T22" s="912"/>
      <c r="U22" s="912"/>
      <c r="V22" s="913"/>
      <c r="W22" s="912"/>
      <c r="X22" s="914"/>
      <c r="Y22" s="681"/>
      <c r="Z22" s="912"/>
      <c r="AA22" s="912"/>
      <c r="AB22" s="912"/>
      <c r="AC22" s="912"/>
      <c r="AD22" s="912"/>
      <c r="AE22" s="912"/>
      <c r="AF22" s="912"/>
      <c r="AG22" s="912"/>
      <c r="AH22" s="912"/>
      <c r="AI22" s="912"/>
      <c r="AJ22" s="912"/>
      <c r="AK22" s="912"/>
      <c r="AL22" s="912"/>
      <c r="AM22" s="912"/>
      <c r="AN22" s="912"/>
    </row>
    <row r="23" spans="1:40" x14ac:dyDescent="0.2">
      <c r="A23" s="908">
        <f t="shared" si="2"/>
        <v>11</v>
      </c>
      <c r="C23" s="901" t="str">
        <f t="shared" si="1"/>
        <v>November</v>
      </c>
      <c r="D23" s="893">
        <v>2012</v>
      </c>
      <c r="E23" s="850">
        <f t="shared" si="0"/>
        <v>124647799.90927707</v>
      </c>
      <c r="F23" s="850">
        <f t="shared" si="0"/>
        <v>75601230.459277093</v>
      </c>
      <c r="G23" s="850">
        <f t="shared" si="0"/>
        <v>3678492.7087499984</v>
      </c>
      <c r="H23" s="850">
        <f t="shared" si="0"/>
        <v>113240.42668500003</v>
      </c>
      <c r="I23" s="850">
        <f t="shared" si="0"/>
        <v>1302264.9068775002</v>
      </c>
      <c r="J23" s="850">
        <f t="shared" si="0"/>
        <v>39067.947206325007</v>
      </c>
      <c r="K23" s="850">
        <f t="shared" si="0"/>
        <v>821773737.92501283</v>
      </c>
      <c r="L23" s="850">
        <f t="shared" si="0"/>
        <v>1437452.2584747223</v>
      </c>
      <c r="M23" s="850">
        <f t="shared" si="0"/>
        <v>9206224.4896034226</v>
      </c>
      <c r="N23" s="850">
        <f t="shared" si="0"/>
        <v>812567513.43540931</v>
      </c>
      <c r="O23" s="850">
        <f t="shared" si="0"/>
        <v>333575.0774999999</v>
      </c>
      <c r="P23" s="850">
        <f t="shared" si="0"/>
        <v>339112.42378649989</v>
      </c>
      <c r="T23" s="912"/>
      <c r="U23" s="912"/>
      <c r="V23" s="913"/>
      <c r="W23" s="912"/>
      <c r="X23" s="914"/>
      <c r="Y23" s="681"/>
      <c r="Z23" s="912"/>
      <c r="AA23" s="912"/>
      <c r="AB23" s="912"/>
      <c r="AC23" s="912"/>
      <c r="AD23" s="912"/>
      <c r="AE23" s="912"/>
      <c r="AF23" s="912"/>
      <c r="AG23" s="912"/>
      <c r="AH23" s="912"/>
      <c r="AI23" s="912"/>
      <c r="AJ23" s="912"/>
      <c r="AK23" s="912"/>
      <c r="AL23" s="912"/>
      <c r="AM23" s="912"/>
      <c r="AN23" s="912"/>
    </row>
    <row r="24" spans="1:40" x14ac:dyDescent="0.2">
      <c r="A24" s="908">
        <f t="shared" si="2"/>
        <v>12</v>
      </c>
      <c r="C24" s="901" t="str">
        <f t="shared" si="1"/>
        <v>December</v>
      </c>
      <c r="D24" s="893">
        <v>2012</v>
      </c>
      <c r="E24" s="850">
        <f t="shared" si="0"/>
        <v>179820193.15011704</v>
      </c>
      <c r="F24" s="850">
        <f t="shared" si="0"/>
        <v>94152007.039187044</v>
      </c>
      <c r="G24" s="850">
        <f t="shared" si="0"/>
        <v>6425113.9583197478</v>
      </c>
      <c r="H24" s="850">
        <f t="shared" si="0"/>
        <v>1475775.5855650005</v>
      </c>
      <c r="I24" s="850">
        <f t="shared" si="0"/>
        <v>16971419.233997505</v>
      </c>
      <c r="J24" s="850">
        <f t="shared" si="0"/>
        <v>509142.57701992511</v>
      </c>
      <c r="K24" s="850">
        <f t="shared" si="0"/>
        <v>1007052412.0249045</v>
      </c>
      <c r="L24" s="850">
        <f t="shared" si="0"/>
        <v>1703278.5788362185</v>
      </c>
      <c r="M24" s="850">
        <f t="shared" si="0"/>
        <v>10909503.068439642</v>
      </c>
      <c r="N24" s="850">
        <f t="shared" si="0"/>
        <v>996142908.95646477</v>
      </c>
      <c r="O24" s="850">
        <f t="shared" si="0"/>
        <v>1370651.2574999998</v>
      </c>
      <c r="P24" s="850">
        <f t="shared" si="0"/>
        <v>1393404.0683744997</v>
      </c>
      <c r="T24" s="912"/>
      <c r="U24" s="912"/>
      <c r="V24" s="913"/>
      <c r="W24" s="912"/>
      <c r="X24" s="914"/>
      <c r="Y24" s="681"/>
      <c r="Z24" s="912"/>
      <c r="AA24" s="912"/>
      <c r="AB24" s="912"/>
      <c r="AC24" s="912"/>
      <c r="AD24" s="912"/>
      <c r="AE24" s="912"/>
      <c r="AF24" s="912"/>
      <c r="AG24" s="912"/>
      <c r="AH24" s="912"/>
      <c r="AI24" s="912"/>
      <c r="AJ24" s="912"/>
      <c r="AK24" s="912"/>
      <c r="AL24" s="912"/>
      <c r="AM24" s="912"/>
      <c r="AN24" s="912"/>
    </row>
    <row r="25" spans="1:40" x14ac:dyDescent="0.2">
      <c r="A25" s="908">
        <f t="shared" si="2"/>
        <v>13</v>
      </c>
      <c r="C25" s="901" t="str">
        <f t="shared" si="1"/>
        <v>January</v>
      </c>
      <c r="D25" s="893">
        <v>2013</v>
      </c>
      <c r="E25" s="850">
        <f t="shared" si="0"/>
        <v>7645281.968297679</v>
      </c>
      <c r="F25" s="850">
        <f t="shared" si="0"/>
        <v>2226960.3212143453</v>
      </c>
      <c r="G25" s="850">
        <f t="shared" si="0"/>
        <v>406374.12353125005</v>
      </c>
      <c r="H25" s="850">
        <f t="shared" si="0"/>
        <v>55508.105489166686</v>
      </c>
      <c r="I25" s="850">
        <f t="shared" si="0"/>
        <v>638343.21312541689</v>
      </c>
      <c r="J25" s="850">
        <f t="shared" si="0"/>
        <v>19150.296393762506</v>
      </c>
      <c r="K25" s="850">
        <f t="shared" si="0"/>
        <v>1015067710.3076379</v>
      </c>
      <c r="L25" s="850">
        <f t="shared" si="0"/>
        <v>2087303.0154242846</v>
      </c>
      <c r="M25" s="850">
        <f t="shared" si="0"/>
        <v>12996806.083863927</v>
      </c>
      <c r="N25" s="850">
        <f t="shared" si="0"/>
        <v>1002070904.2237741</v>
      </c>
      <c r="O25" s="850">
        <f t="shared" si="0"/>
        <v>1370651.2574999998</v>
      </c>
      <c r="P25" s="850">
        <f t="shared" si="0"/>
        <v>1393404.0683744997</v>
      </c>
      <c r="T25" s="912"/>
      <c r="U25" s="912"/>
      <c r="V25" s="913"/>
      <c r="W25" s="912"/>
      <c r="X25" s="914"/>
      <c r="Y25" s="681"/>
      <c r="Z25" s="912"/>
      <c r="AA25" s="912"/>
      <c r="AB25" s="912"/>
      <c r="AC25" s="912"/>
      <c r="AD25" s="912"/>
      <c r="AE25" s="912"/>
      <c r="AF25" s="912"/>
      <c r="AG25" s="912"/>
      <c r="AH25" s="912"/>
      <c r="AI25" s="912"/>
      <c r="AJ25" s="912"/>
      <c r="AK25" s="912"/>
      <c r="AL25" s="912"/>
      <c r="AM25" s="912"/>
      <c r="AN25" s="912"/>
    </row>
    <row r="26" spans="1:40" x14ac:dyDescent="0.2">
      <c r="A26" s="908">
        <f t="shared" si="2"/>
        <v>14</v>
      </c>
      <c r="C26" s="901" t="str">
        <f t="shared" si="1"/>
        <v>February</v>
      </c>
      <c r="D26" s="893">
        <v>2013</v>
      </c>
      <c r="E26" s="850">
        <f t="shared" si="0"/>
        <v>5239683.0870833332</v>
      </c>
      <c r="F26" s="850">
        <f t="shared" si="0"/>
        <v>0</v>
      </c>
      <c r="G26" s="850">
        <f t="shared" si="0"/>
        <v>392976.23153125</v>
      </c>
      <c r="H26" s="850">
        <f t="shared" si="0"/>
        <v>55508.105489166686</v>
      </c>
      <c r="I26" s="850">
        <f t="shared" si="0"/>
        <v>638343.21312541689</v>
      </c>
      <c r="J26" s="850">
        <f t="shared" si="0"/>
        <v>19150.296393762506</v>
      </c>
      <c r="K26" s="850">
        <f t="shared" si="0"/>
        <v>1020664011.8171571</v>
      </c>
      <c r="L26" s="850">
        <f t="shared" si="0"/>
        <v>2103916.2086159228</v>
      </c>
      <c r="M26" s="850">
        <f t="shared" si="0"/>
        <v>15100722.29247985</v>
      </c>
      <c r="N26" s="850">
        <f t="shared" si="0"/>
        <v>1005563289.5246773</v>
      </c>
      <c r="O26" s="850">
        <f t="shared" si="0"/>
        <v>1370651.2574999998</v>
      </c>
      <c r="P26" s="850">
        <f t="shared" si="0"/>
        <v>1393404.0683744997</v>
      </c>
      <c r="T26" s="912"/>
      <c r="U26" s="912"/>
      <c r="V26" s="913"/>
      <c r="W26" s="912"/>
      <c r="X26" s="914"/>
      <c r="Y26" s="681"/>
      <c r="Z26" s="912"/>
      <c r="AA26" s="912"/>
      <c r="AB26" s="912"/>
      <c r="AC26" s="912"/>
      <c r="AD26" s="912"/>
      <c r="AE26" s="912"/>
      <c r="AF26" s="912"/>
      <c r="AG26" s="912"/>
      <c r="AH26" s="912"/>
      <c r="AI26" s="912"/>
      <c r="AJ26" s="912"/>
      <c r="AK26" s="912"/>
      <c r="AL26" s="912"/>
      <c r="AM26" s="912"/>
      <c r="AN26" s="912"/>
    </row>
    <row r="27" spans="1:40" x14ac:dyDescent="0.2">
      <c r="A27" s="908">
        <f t="shared" si="2"/>
        <v>15</v>
      </c>
      <c r="C27" s="901" t="str">
        <f t="shared" si="1"/>
        <v>March</v>
      </c>
      <c r="D27" s="893">
        <v>2013</v>
      </c>
      <c r="E27" s="850">
        <f t="shared" si="0"/>
        <v>12888181.237083334</v>
      </c>
      <c r="F27" s="850">
        <f t="shared" si="0"/>
        <v>515278.14999999997</v>
      </c>
      <c r="G27" s="850">
        <f t="shared" si="0"/>
        <v>927967.73153125006</v>
      </c>
      <c r="H27" s="850">
        <f t="shared" si="0"/>
        <v>767459.10548916669</v>
      </c>
      <c r="I27" s="850">
        <f t="shared" si="0"/>
        <v>8825779.713125417</v>
      </c>
      <c r="J27" s="850">
        <f t="shared" si="0"/>
        <v>264773.39139376249</v>
      </c>
      <c r="K27" s="850">
        <f t="shared" si="0"/>
        <v>1033977475.0716763</v>
      </c>
      <c r="L27" s="850">
        <f t="shared" si="0"/>
        <v>2115515.5820711288</v>
      </c>
      <c r="M27" s="850">
        <f t="shared" si="0"/>
        <v>17216237.874550976</v>
      </c>
      <c r="N27" s="850">
        <f t="shared" si="0"/>
        <v>1016761237.1971253</v>
      </c>
      <c r="O27" s="850">
        <f t="shared" si="0"/>
        <v>1370651.2574999998</v>
      </c>
      <c r="P27" s="850">
        <f t="shared" si="0"/>
        <v>1393404.0683744997</v>
      </c>
      <c r="T27" s="912"/>
      <c r="U27" s="912"/>
      <c r="V27" s="913"/>
      <c r="W27" s="912"/>
      <c r="X27" s="914"/>
      <c r="Y27" s="681"/>
      <c r="Z27" s="912"/>
      <c r="AA27" s="912"/>
      <c r="AB27" s="912"/>
      <c r="AC27" s="912"/>
      <c r="AD27" s="912"/>
      <c r="AE27" s="912"/>
      <c r="AF27" s="912"/>
      <c r="AG27" s="912"/>
      <c r="AH27" s="912"/>
      <c r="AI27" s="912"/>
      <c r="AJ27" s="912"/>
      <c r="AK27" s="912"/>
      <c r="AL27" s="912"/>
      <c r="AM27" s="912"/>
      <c r="AN27" s="912"/>
    </row>
    <row r="28" spans="1:40" x14ac:dyDescent="0.2">
      <c r="A28" s="908">
        <f t="shared" si="2"/>
        <v>16</v>
      </c>
      <c r="C28" s="901" t="str">
        <f t="shared" si="1"/>
        <v>April</v>
      </c>
      <c r="D28" s="893">
        <v>2013</v>
      </c>
      <c r="E28" s="850">
        <f t="shared" si="0"/>
        <v>32151040.643083334</v>
      </c>
      <c r="F28" s="850">
        <f t="shared" si="0"/>
        <v>26631018.476000004</v>
      </c>
      <c r="G28" s="850">
        <f t="shared" si="0"/>
        <v>414001.66253125004</v>
      </c>
      <c r="H28" s="850">
        <f t="shared" si="0"/>
        <v>168789.66876916663</v>
      </c>
      <c r="I28" s="850">
        <f t="shared" si="0"/>
        <v>1941081.1908454162</v>
      </c>
      <c r="J28" s="850">
        <f t="shared" si="0"/>
        <v>58232.435725362484</v>
      </c>
      <c r="K28" s="850">
        <f t="shared" si="0"/>
        <v>1066431960.1442472</v>
      </c>
      <c r="L28" s="850">
        <f t="shared" si="0"/>
        <v>2143110.2054145369</v>
      </c>
      <c r="M28" s="850">
        <f t="shared" si="0"/>
        <v>19359348.079965513</v>
      </c>
      <c r="N28" s="850">
        <f t="shared" si="0"/>
        <v>1047072612.0642817</v>
      </c>
      <c r="O28" s="850">
        <f t="shared" si="0"/>
        <v>1370651.2574999998</v>
      </c>
      <c r="P28" s="850">
        <f t="shared" si="0"/>
        <v>1393404.0683744997</v>
      </c>
      <c r="T28" s="912"/>
      <c r="U28" s="912"/>
      <c r="V28" s="913"/>
      <c r="W28" s="912"/>
      <c r="X28" s="914"/>
      <c r="Y28" s="681"/>
      <c r="Z28" s="912"/>
      <c r="AA28" s="912"/>
      <c r="AB28" s="912"/>
      <c r="AC28" s="912"/>
      <c r="AD28" s="912"/>
      <c r="AE28" s="912"/>
      <c r="AF28" s="912"/>
      <c r="AG28" s="912"/>
      <c r="AH28" s="912"/>
      <c r="AI28" s="912"/>
      <c r="AJ28" s="912"/>
      <c r="AK28" s="912"/>
      <c r="AL28" s="912"/>
      <c r="AM28" s="912"/>
      <c r="AN28" s="912"/>
    </row>
    <row r="29" spans="1:40" x14ac:dyDescent="0.2">
      <c r="A29" s="908">
        <f t="shared" si="2"/>
        <v>17</v>
      </c>
      <c r="C29" s="901" t="str">
        <f t="shared" si="1"/>
        <v>May</v>
      </c>
      <c r="D29" s="893">
        <v>2013</v>
      </c>
      <c r="E29" s="850">
        <f t="shared" ref="E29:P33" si="3">E58+E86</f>
        <v>30274565.632298782</v>
      </c>
      <c r="F29" s="850">
        <f t="shared" si="3"/>
        <v>18526798.29521545</v>
      </c>
      <c r="G29" s="850">
        <f t="shared" si="3"/>
        <v>881082.55028124969</v>
      </c>
      <c r="H29" s="850">
        <f t="shared" si="3"/>
        <v>575034.1054891668</v>
      </c>
      <c r="I29" s="850">
        <f t="shared" si="3"/>
        <v>6612892.2131254179</v>
      </c>
      <c r="J29" s="850">
        <f t="shared" si="3"/>
        <v>198386.76639376252</v>
      </c>
      <c r="K29" s="850">
        <f t="shared" si="3"/>
        <v>1097210960.9877319</v>
      </c>
      <c r="L29" s="850">
        <f t="shared" si="3"/>
        <v>2210378.1487183105</v>
      </c>
      <c r="M29" s="850">
        <f t="shared" si="3"/>
        <v>21569726.228683826</v>
      </c>
      <c r="N29" s="850">
        <f t="shared" si="3"/>
        <v>1075641234.759048</v>
      </c>
      <c r="O29" s="850">
        <f t="shared" si="3"/>
        <v>1370651.2574999998</v>
      </c>
      <c r="P29" s="850">
        <f t="shared" si="3"/>
        <v>1393404.0683744997</v>
      </c>
      <c r="T29" s="912"/>
      <c r="U29" s="912"/>
      <c r="V29" s="913"/>
      <c r="W29" s="912"/>
      <c r="X29" s="914"/>
      <c r="Y29" s="681"/>
      <c r="Z29" s="912"/>
      <c r="AA29" s="912"/>
      <c r="AB29" s="912"/>
      <c r="AC29" s="912"/>
      <c r="AD29" s="912"/>
      <c r="AE29" s="912"/>
      <c r="AF29" s="912"/>
      <c r="AG29" s="912"/>
      <c r="AH29" s="912"/>
      <c r="AI29" s="912"/>
      <c r="AJ29" s="912"/>
      <c r="AK29" s="912"/>
      <c r="AL29" s="912"/>
      <c r="AM29" s="912"/>
      <c r="AN29" s="912"/>
    </row>
    <row r="30" spans="1:40" x14ac:dyDescent="0.2">
      <c r="A30" s="908">
        <f t="shared" si="2"/>
        <v>18</v>
      </c>
      <c r="C30" s="901" t="str">
        <f t="shared" ref="C30:C33" si="4">C59</f>
        <v xml:space="preserve">June </v>
      </c>
      <c r="D30" s="893">
        <v>2013</v>
      </c>
      <c r="E30" s="850">
        <f t="shared" si="3"/>
        <v>27797947.738383316</v>
      </c>
      <c r="F30" s="850">
        <f t="shared" si="3"/>
        <v>10902610.011299985</v>
      </c>
      <c r="G30" s="850">
        <f t="shared" si="3"/>
        <v>1267150.3295312498</v>
      </c>
      <c r="H30" s="850">
        <f t="shared" si="3"/>
        <v>1322647.0935691665</v>
      </c>
      <c r="I30" s="850">
        <f t="shared" si="3"/>
        <v>15210441.576045414</v>
      </c>
      <c r="J30" s="850">
        <f t="shared" si="3"/>
        <v>456313.24728136242</v>
      </c>
      <c r="K30" s="850">
        <f t="shared" si="3"/>
        <v>1125409725.2093587</v>
      </c>
      <c r="L30" s="850">
        <f t="shared" si="3"/>
        <v>2274173.3400164209</v>
      </c>
      <c r="M30" s="850">
        <f t="shared" si="3"/>
        <v>23843899.568700247</v>
      </c>
      <c r="N30" s="850">
        <f t="shared" si="3"/>
        <v>1101565825.6406584</v>
      </c>
      <c r="O30" s="850">
        <f t="shared" si="3"/>
        <v>15230499.823399985</v>
      </c>
      <c r="P30" s="850">
        <f t="shared" si="3"/>
        <v>15483326.120468425</v>
      </c>
      <c r="T30" s="912"/>
      <c r="U30" s="912"/>
      <c r="V30" s="913"/>
      <c r="W30" s="912"/>
      <c r="X30" s="914"/>
      <c r="Y30" s="681"/>
      <c r="Z30" s="912"/>
      <c r="AA30" s="912"/>
      <c r="AB30" s="912"/>
      <c r="AC30" s="912"/>
      <c r="AD30" s="912"/>
      <c r="AE30" s="912"/>
      <c r="AF30" s="912"/>
      <c r="AG30" s="912"/>
      <c r="AH30" s="912"/>
      <c r="AI30" s="912"/>
      <c r="AJ30" s="912"/>
      <c r="AK30" s="912"/>
      <c r="AL30" s="912"/>
      <c r="AM30" s="912"/>
      <c r="AN30" s="912"/>
    </row>
    <row r="31" spans="1:40" x14ac:dyDescent="0.2">
      <c r="A31" s="908">
        <f t="shared" si="2"/>
        <v>19</v>
      </c>
      <c r="C31" s="901" t="str">
        <f t="shared" si="4"/>
        <v>July</v>
      </c>
      <c r="D31" s="893">
        <v>2013</v>
      </c>
      <c r="E31" s="850">
        <f t="shared" si="3"/>
        <v>240500755.10822117</v>
      </c>
      <c r="F31" s="850">
        <f t="shared" si="3"/>
        <v>30843632.021137841</v>
      </c>
      <c r="G31" s="850">
        <f t="shared" si="3"/>
        <v>15724284.231531249</v>
      </c>
      <c r="H31" s="850">
        <f t="shared" si="3"/>
        <v>116910.38548916669</v>
      </c>
      <c r="I31" s="850">
        <f t="shared" si="3"/>
        <v>1344469.4331254167</v>
      </c>
      <c r="J31" s="850">
        <f t="shared" si="3"/>
        <v>40334.082993762502</v>
      </c>
      <c r="K31" s="850">
        <f t="shared" si="3"/>
        <v>1381558188.2466154</v>
      </c>
      <c r="L31" s="850">
        <f t="shared" si="3"/>
        <v>2332620.5120684598</v>
      </c>
      <c r="M31" s="850">
        <f t="shared" si="3"/>
        <v>26176520.080768708</v>
      </c>
      <c r="N31" s="850">
        <f t="shared" si="3"/>
        <v>1355381668.1658468</v>
      </c>
      <c r="O31" s="850">
        <f t="shared" si="3"/>
        <v>15230499.823399985</v>
      </c>
      <c r="P31" s="850">
        <f t="shared" si="3"/>
        <v>15483326.120468425</v>
      </c>
      <c r="T31" s="912"/>
      <c r="U31" s="912"/>
      <c r="V31" s="913"/>
      <c r="W31" s="912"/>
      <c r="X31" s="914"/>
      <c r="Y31" s="681"/>
      <c r="Z31" s="912"/>
      <c r="AA31" s="912"/>
      <c r="AB31" s="912"/>
      <c r="AC31" s="912"/>
      <c r="AD31" s="912"/>
      <c r="AE31" s="912"/>
      <c r="AF31" s="912"/>
      <c r="AG31" s="912"/>
      <c r="AH31" s="912"/>
      <c r="AI31" s="912"/>
      <c r="AJ31" s="912"/>
      <c r="AK31" s="912"/>
      <c r="AL31" s="912"/>
      <c r="AM31" s="912"/>
      <c r="AN31" s="912"/>
    </row>
    <row r="32" spans="1:40" x14ac:dyDescent="0.2">
      <c r="A32" s="908">
        <f t="shared" si="2"/>
        <v>20</v>
      </c>
      <c r="C32" s="901" t="str">
        <f t="shared" si="4"/>
        <v>August</v>
      </c>
      <c r="D32" s="893">
        <v>2013</v>
      </c>
      <c r="E32" s="850">
        <f t="shared" si="3"/>
        <v>9030516.5135833342</v>
      </c>
      <c r="F32" s="850">
        <f t="shared" si="3"/>
        <v>871973.42650000099</v>
      </c>
      <c r="G32" s="850">
        <f t="shared" si="3"/>
        <v>611890.73153125006</v>
      </c>
      <c r="H32" s="850">
        <f t="shared" si="3"/>
        <v>173758.10548916669</v>
      </c>
      <c r="I32" s="850">
        <f t="shared" si="3"/>
        <v>1998218.2131254168</v>
      </c>
      <c r="J32" s="850">
        <f t="shared" si="3"/>
        <v>59946.546393762503</v>
      </c>
      <c r="K32" s="850">
        <f t="shared" si="3"/>
        <v>1391086783.9326346</v>
      </c>
      <c r="L32" s="850">
        <f t="shared" si="3"/>
        <v>2863535.7384357844</v>
      </c>
      <c r="M32" s="850">
        <f t="shared" si="3"/>
        <v>29040055.819204491</v>
      </c>
      <c r="N32" s="850">
        <f t="shared" si="3"/>
        <v>1362046728.11343</v>
      </c>
      <c r="O32" s="850">
        <f t="shared" si="3"/>
        <v>15230499.823399985</v>
      </c>
      <c r="P32" s="850">
        <f t="shared" si="3"/>
        <v>15483326.120468425</v>
      </c>
      <c r="T32" s="912"/>
      <c r="U32" s="912"/>
      <c r="V32" s="913"/>
      <c r="W32" s="912"/>
      <c r="X32" s="914"/>
      <c r="Y32" s="681"/>
      <c r="Z32" s="912"/>
      <c r="AA32" s="912"/>
      <c r="AB32" s="912"/>
      <c r="AC32" s="912"/>
      <c r="AD32" s="912"/>
      <c r="AE32" s="912"/>
      <c r="AF32" s="912"/>
      <c r="AG32" s="912"/>
      <c r="AH32" s="912"/>
      <c r="AI32" s="912"/>
      <c r="AJ32" s="912"/>
      <c r="AK32" s="912"/>
      <c r="AL32" s="912"/>
      <c r="AM32" s="912"/>
      <c r="AN32" s="912"/>
    </row>
    <row r="33" spans="1:40" x14ac:dyDescent="0.2">
      <c r="A33" s="908">
        <f t="shared" si="2"/>
        <v>21</v>
      </c>
      <c r="C33" s="901" t="str">
        <f t="shared" si="4"/>
        <v>September</v>
      </c>
      <c r="D33" s="893">
        <v>2013</v>
      </c>
      <c r="E33" s="850">
        <f t="shared" si="3"/>
        <v>794239841.55814612</v>
      </c>
      <c r="F33" s="850">
        <f t="shared" si="3"/>
        <v>151361046.07106274</v>
      </c>
      <c r="G33" s="850">
        <f t="shared" si="3"/>
        <v>48215909.661531255</v>
      </c>
      <c r="H33" s="850">
        <f t="shared" si="3"/>
        <v>55508.105489166686</v>
      </c>
      <c r="I33" s="850">
        <f t="shared" si="3"/>
        <v>638343.21312541689</v>
      </c>
      <c r="J33" s="850">
        <f t="shared" si="3"/>
        <v>19150.296393762506</v>
      </c>
      <c r="K33" s="915">
        <f t="shared" si="3"/>
        <v>2233506177.3432164</v>
      </c>
      <c r="L33" s="870">
        <f t="shared" si="3"/>
        <v>2883285.521337545</v>
      </c>
      <c r="M33" s="870">
        <f t="shared" si="3"/>
        <v>31923341.340542033</v>
      </c>
      <c r="N33" s="915">
        <f t="shared" si="3"/>
        <v>2201582836.0026746</v>
      </c>
      <c r="O33" s="870">
        <f t="shared" si="3"/>
        <v>15230499.823399985</v>
      </c>
      <c r="P33" s="915">
        <f t="shared" si="3"/>
        <v>15483326.120468425</v>
      </c>
      <c r="T33" s="912"/>
      <c r="U33" s="912"/>
      <c r="V33" s="913"/>
      <c r="W33" s="912"/>
      <c r="X33" s="914"/>
      <c r="Y33" s="681"/>
      <c r="Z33" s="912"/>
      <c r="AA33" s="912"/>
      <c r="AB33" s="912"/>
      <c r="AC33" s="912"/>
      <c r="AD33" s="912"/>
      <c r="AE33" s="912"/>
      <c r="AF33" s="912"/>
      <c r="AG33" s="912"/>
      <c r="AH33" s="912"/>
      <c r="AI33" s="912"/>
      <c r="AJ33" s="912"/>
      <c r="AK33" s="912"/>
      <c r="AL33" s="912"/>
      <c r="AM33" s="912"/>
      <c r="AN33" s="912"/>
    </row>
    <row r="34" spans="1:40" s="852" customFormat="1" x14ac:dyDescent="0.2">
      <c r="A34" s="908">
        <f>A33+1</f>
        <v>22</v>
      </c>
      <c r="D34" s="948" t="s">
        <v>2084</v>
      </c>
      <c r="K34" s="1071">
        <f>AVERAGE(K21:K33)</f>
        <v>1121215066.2196374</v>
      </c>
      <c r="M34" s="949"/>
      <c r="N34" s="949">
        <f>AVERAGE(N21:N33)</f>
        <v>1103411003.7108691</v>
      </c>
      <c r="O34" s="949"/>
      <c r="P34" s="949">
        <f>AVERAGE(P21:P33)</f>
        <v>5485466.6279600151</v>
      </c>
      <c r="Q34" s="950"/>
      <c r="T34" s="926"/>
      <c r="U34" s="926"/>
    </row>
    <row r="35" spans="1:40" x14ac:dyDescent="0.2">
      <c r="A35" s="908"/>
      <c r="T35" s="850"/>
      <c r="U35" s="850"/>
      <c r="Z35" s="850"/>
    </row>
    <row r="36" spans="1:40" x14ac:dyDescent="0.2">
      <c r="A36" s="908"/>
      <c r="B36" s="852" t="s">
        <v>2636</v>
      </c>
      <c r="G36" s="908"/>
      <c r="K36" s="681"/>
      <c r="M36" s="681"/>
      <c r="N36" s="681"/>
      <c r="O36" s="681"/>
      <c r="P36" s="681"/>
    </row>
    <row r="37" spans="1:40" x14ac:dyDescent="0.2">
      <c r="A37" s="908"/>
      <c r="B37" s="852"/>
      <c r="E37" s="904" t="s">
        <v>403</v>
      </c>
      <c r="F37" s="904" t="s">
        <v>387</v>
      </c>
      <c r="G37" s="904" t="s">
        <v>388</v>
      </c>
      <c r="H37" s="904" t="s">
        <v>389</v>
      </c>
      <c r="I37" s="904" t="s">
        <v>390</v>
      </c>
      <c r="J37" s="904" t="s">
        <v>391</v>
      </c>
      <c r="K37" s="951" t="s">
        <v>392</v>
      </c>
      <c r="L37" s="904" t="s">
        <v>606</v>
      </c>
      <c r="M37" s="951" t="s">
        <v>1055</v>
      </c>
      <c r="N37" s="951" t="s">
        <v>1072</v>
      </c>
      <c r="O37" s="951" t="s">
        <v>1075</v>
      </c>
      <c r="P37" s="951" t="s">
        <v>1093</v>
      </c>
    </row>
    <row r="38" spans="1:40" ht="25.5" x14ac:dyDescent="0.2">
      <c r="A38" s="908"/>
      <c r="B38" s="852"/>
      <c r="E38" s="952" t="s">
        <v>2637</v>
      </c>
      <c r="F38" s="952" t="s">
        <v>2638</v>
      </c>
      <c r="G38" s="952" t="s">
        <v>2639</v>
      </c>
      <c r="H38" s="953" t="s">
        <v>2640</v>
      </c>
      <c r="I38" s="953" t="s">
        <v>2640</v>
      </c>
      <c r="J38" s="907" t="s">
        <v>2640</v>
      </c>
      <c r="K38" s="954" t="s">
        <v>2641</v>
      </c>
      <c r="L38" s="955" t="s">
        <v>2642</v>
      </c>
      <c r="M38" s="956" t="s">
        <v>2643</v>
      </c>
      <c r="N38" s="922" t="s">
        <v>2578</v>
      </c>
      <c r="O38" s="922"/>
      <c r="P38" s="956" t="s">
        <v>2644</v>
      </c>
    </row>
    <row r="39" spans="1:40" x14ac:dyDescent="0.2">
      <c r="A39" s="908"/>
      <c r="C39" s="908" t="str">
        <f>C10</f>
        <v>Forecast</v>
      </c>
      <c r="E39" s="908" t="str">
        <f>E10</f>
        <v>Unloaded</v>
      </c>
      <c r="F39" s="908"/>
      <c r="G39" s="908"/>
      <c r="I39" s="909" t="str">
        <f>I10</f>
        <v>AFUDC</v>
      </c>
      <c r="J39" s="909"/>
      <c r="K39" s="909"/>
      <c r="L39" s="909"/>
      <c r="M39" s="909"/>
      <c r="N39" s="909"/>
      <c r="O39" s="908" t="str">
        <f t="shared" ref="O39:P41" si="5">O10</f>
        <v>Unloaded</v>
      </c>
      <c r="P39" s="908" t="str">
        <f t="shared" si="5"/>
        <v>Loaded</v>
      </c>
    </row>
    <row r="40" spans="1:40" x14ac:dyDescent="0.2">
      <c r="A40" s="908"/>
      <c r="B40" s="852"/>
      <c r="C40" s="908" t="str">
        <f>C11</f>
        <v>Period</v>
      </c>
      <c r="E40" s="908" t="str">
        <f>E11</f>
        <v>Total</v>
      </c>
      <c r="F40" s="908" t="str">
        <f t="shared" ref="E40:H41" si="6">F11</f>
        <v>Prior Period</v>
      </c>
      <c r="G40" s="909" t="str">
        <f t="shared" si="6"/>
        <v>Over Heads</v>
      </c>
      <c r="H40" s="909" t="str">
        <f t="shared" si="6"/>
        <v xml:space="preserve">Cost of </v>
      </c>
      <c r="I40" s="909" t="str">
        <f>I11</f>
        <v>Eligible Plant</v>
      </c>
      <c r="J40" s="909"/>
      <c r="K40" s="909" t="str">
        <f>K11</f>
        <v>Incremental</v>
      </c>
      <c r="L40" s="909" t="str">
        <f>L11</f>
        <v>Depreciation</v>
      </c>
      <c r="M40" s="909"/>
      <c r="N40" s="909"/>
      <c r="O40" s="909" t="str">
        <f t="shared" si="5"/>
        <v>Low Voltage</v>
      </c>
      <c r="P40" s="909" t="str">
        <f t="shared" si="5"/>
        <v>Low Voltage</v>
      </c>
    </row>
    <row r="41" spans="1:40" x14ac:dyDescent="0.2">
      <c r="A41" s="910" t="s">
        <v>369</v>
      </c>
      <c r="C41" s="891" t="str">
        <f t="shared" ref="C41:D41" si="7">C12</f>
        <v>Month</v>
      </c>
      <c r="D41" s="891" t="str">
        <f t="shared" si="7"/>
        <v>Year</v>
      </c>
      <c r="E41" s="904" t="str">
        <f t="shared" si="6"/>
        <v>Plant Adds</v>
      </c>
      <c r="F41" s="904" t="str">
        <f t="shared" si="6"/>
        <v>CWIP Closed</v>
      </c>
      <c r="G41" s="911" t="str">
        <f t="shared" si="6"/>
        <v>Closed to PIS</v>
      </c>
      <c r="H41" s="911" t="str">
        <f t="shared" si="6"/>
        <v>Removal</v>
      </c>
      <c r="I41" s="911" t="str">
        <f>I12</f>
        <v>Additions</v>
      </c>
      <c r="J41" s="911" t="str">
        <f>J12</f>
        <v>AFUDC</v>
      </c>
      <c r="K41" s="911" t="str">
        <f>K12</f>
        <v>Gross Plant</v>
      </c>
      <c r="L41" s="911" t="str">
        <f>L12</f>
        <v>Accrual</v>
      </c>
      <c r="M41" s="911" t="str">
        <f>M12</f>
        <v>Reserve</v>
      </c>
      <c r="N41" s="911" t="str">
        <f>N12</f>
        <v>Net Plant</v>
      </c>
      <c r="O41" s="911" t="str">
        <f t="shared" si="5"/>
        <v>Additions</v>
      </c>
      <c r="P41" s="911" t="str">
        <f t="shared" si="5"/>
        <v>Additions</v>
      </c>
      <c r="T41" s="911"/>
      <c r="U41" s="911"/>
      <c r="V41" s="911"/>
      <c r="W41" s="911"/>
      <c r="X41" s="911"/>
      <c r="Y41" s="911"/>
    </row>
    <row r="42" spans="1:40" x14ac:dyDescent="0.2">
      <c r="A42" s="908">
        <f>A34+1</f>
        <v>23</v>
      </c>
      <c r="C42" s="892" t="s">
        <v>209</v>
      </c>
      <c r="D42" s="893">
        <v>2012</v>
      </c>
      <c r="E42" s="919">
        <f>'10-CWIP'!G55</f>
        <v>-212294</v>
      </c>
      <c r="F42" s="919">
        <f>'10-CWIP'!H55</f>
        <v>-212294</v>
      </c>
      <c r="G42" s="919">
        <f>'10-CWIP'!I55</f>
        <v>0</v>
      </c>
      <c r="H42" s="957">
        <v>0</v>
      </c>
      <c r="I42" s="912">
        <v>0</v>
      </c>
      <c r="J42" s="958">
        <v>0</v>
      </c>
      <c r="K42" s="850">
        <f>0+E42+G42</f>
        <v>-212294</v>
      </c>
      <c r="L42" s="850">
        <v>0</v>
      </c>
      <c r="M42" s="850">
        <f>L42</f>
        <v>0</v>
      </c>
      <c r="N42" s="850">
        <f t="shared" ref="N42:N62" si="8">K42-M42</f>
        <v>-212294</v>
      </c>
      <c r="O42" s="959">
        <v>0</v>
      </c>
      <c r="P42" s="958">
        <f t="shared" ref="P42:P62" si="9">O42*(1-$E$98)*(1+$E$94+$E$102)</f>
        <v>0</v>
      </c>
      <c r="S42" s="850"/>
      <c r="T42" s="918"/>
      <c r="U42" s="914"/>
      <c r="V42" s="681"/>
      <c r="W42" s="918"/>
      <c r="X42" s="914"/>
      <c r="Y42" s="681"/>
    </row>
    <row r="43" spans="1:40" x14ac:dyDescent="0.2">
      <c r="A43" s="908">
        <f t="shared" ref="A43:A90" si="10">A42+1</f>
        <v>24</v>
      </c>
      <c r="C43" s="895" t="s">
        <v>210</v>
      </c>
      <c r="D43" s="893">
        <v>2012</v>
      </c>
      <c r="E43" s="919">
        <f>'10-CWIP'!G56</f>
        <v>151780257.04958385</v>
      </c>
      <c r="F43" s="919">
        <f>'10-CWIP'!H56</f>
        <v>147668210.1895839</v>
      </c>
      <c r="G43" s="919">
        <f>'10-CWIP'!I56</f>
        <v>308403.51449999661</v>
      </c>
      <c r="H43" s="957">
        <v>0</v>
      </c>
      <c r="I43" s="912">
        <v>0</v>
      </c>
      <c r="J43" s="958">
        <v>0</v>
      </c>
      <c r="K43" s="850">
        <f>K42+E43+G43</f>
        <v>151876366.56408384</v>
      </c>
      <c r="L43" s="850">
        <f t="shared" ref="L43:L62" si="11">K42*$E$124/12</f>
        <v>-440.01871309308245</v>
      </c>
      <c r="M43" s="850">
        <f>M42+L43</f>
        <v>-440.01871309308245</v>
      </c>
      <c r="N43" s="850">
        <f t="shared" si="8"/>
        <v>151876806.58279693</v>
      </c>
      <c r="O43" s="959">
        <v>0</v>
      </c>
      <c r="P43" s="958">
        <f t="shared" si="9"/>
        <v>0</v>
      </c>
      <c r="S43" s="850"/>
      <c r="T43" s="918"/>
      <c r="U43" s="914"/>
      <c r="V43" s="681"/>
      <c r="W43" s="918"/>
      <c r="X43" s="914"/>
      <c r="Y43" s="681"/>
    </row>
    <row r="44" spans="1:40" x14ac:dyDescent="0.2">
      <c r="A44" s="908">
        <f t="shared" si="10"/>
        <v>25</v>
      </c>
      <c r="C44" s="895" t="s">
        <v>223</v>
      </c>
      <c r="D44" s="893">
        <v>2012</v>
      </c>
      <c r="E44" s="919">
        <f>'10-CWIP'!G57</f>
        <v>1157049.9799999997</v>
      </c>
      <c r="F44" s="919">
        <f>'10-CWIP'!H57</f>
        <v>664200.40999999992</v>
      </c>
      <c r="G44" s="919">
        <f>'10-CWIP'!I57</f>
        <v>36963.717749999989</v>
      </c>
      <c r="H44" s="957">
        <v>0</v>
      </c>
      <c r="I44" s="912">
        <v>0</v>
      </c>
      <c r="J44" s="958">
        <v>0</v>
      </c>
      <c r="K44" s="850">
        <f t="shared" ref="K44:K62" si="12">K43+E44+G44</f>
        <v>153070380.26183385</v>
      </c>
      <c r="L44" s="850">
        <f t="shared" si="11"/>
        <v>314791.95532978524</v>
      </c>
      <c r="M44" s="850">
        <f t="shared" ref="M44:M62" si="13">M43+L44</f>
        <v>314351.93661669217</v>
      </c>
      <c r="N44" s="850">
        <f t="shared" si="8"/>
        <v>152756028.32521716</v>
      </c>
      <c r="O44" s="959">
        <v>0</v>
      </c>
      <c r="P44" s="958">
        <f t="shared" si="9"/>
        <v>0</v>
      </c>
      <c r="S44" s="850"/>
      <c r="T44" s="918"/>
      <c r="U44" s="914"/>
      <c r="V44" s="681"/>
      <c r="W44" s="918"/>
      <c r="X44" s="914"/>
      <c r="Y44" s="681"/>
    </row>
    <row r="45" spans="1:40" x14ac:dyDescent="0.2">
      <c r="A45" s="908">
        <f t="shared" si="10"/>
        <v>26</v>
      </c>
      <c r="C45" s="892" t="s">
        <v>211</v>
      </c>
      <c r="D45" s="893">
        <v>2012</v>
      </c>
      <c r="E45" s="919">
        <f>'10-CWIP'!G58</f>
        <v>116908713.23415448</v>
      </c>
      <c r="F45" s="919">
        <f>'10-CWIP'!H58</f>
        <v>102746484.21665448</v>
      </c>
      <c r="G45" s="919">
        <f>'10-CWIP'!I58</f>
        <v>1062167.1763124999</v>
      </c>
      <c r="H45" s="957">
        <v>0</v>
      </c>
      <c r="I45" s="912">
        <v>0</v>
      </c>
      <c r="J45" s="958">
        <v>0</v>
      </c>
      <c r="K45" s="850">
        <f t="shared" si="12"/>
        <v>271041260.67230082</v>
      </c>
      <c r="L45" s="850">
        <f t="shared" si="11"/>
        <v>317266.77030665445</v>
      </c>
      <c r="M45" s="850">
        <f t="shared" si="13"/>
        <v>631618.70692334662</v>
      </c>
      <c r="N45" s="850">
        <f t="shared" si="8"/>
        <v>270409641.96537745</v>
      </c>
      <c r="O45" s="959">
        <v>0</v>
      </c>
      <c r="P45" s="958">
        <f t="shared" si="9"/>
        <v>0</v>
      </c>
      <c r="S45" s="850"/>
      <c r="T45" s="918"/>
      <c r="U45" s="914"/>
      <c r="V45" s="681"/>
      <c r="W45" s="918"/>
      <c r="X45" s="914"/>
      <c r="Y45" s="681"/>
    </row>
    <row r="46" spans="1:40" x14ac:dyDescent="0.2">
      <c r="A46" s="908">
        <f t="shared" si="10"/>
        <v>27</v>
      </c>
      <c r="C46" s="895" t="s">
        <v>212</v>
      </c>
      <c r="D46" s="893">
        <v>2012</v>
      </c>
      <c r="E46" s="919">
        <f>'10-CWIP'!G59</f>
        <v>198673814.46350354</v>
      </c>
      <c r="F46" s="919">
        <f>'10-CWIP'!H59</f>
        <v>182030802.59410354</v>
      </c>
      <c r="G46" s="919">
        <f>'10-CWIP'!I59</f>
        <v>1248225.8902049996</v>
      </c>
      <c r="H46" s="957">
        <v>0</v>
      </c>
      <c r="I46" s="912">
        <v>0</v>
      </c>
      <c r="J46" s="958">
        <v>0</v>
      </c>
      <c r="K46" s="850">
        <f t="shared" si="12"/>
        <v>470963301.02600938</v>
      </c>
      <c r="L46" s="850">
        <f t="shared" si="11"/>
        <v>561783.31331150432</v>
      </c>
      <c r="M46" s="850">
        <f t="shared" si="13"/>
        <v>1193402.0202348509</v>
      </c>
      <c r="N46" s="850">
        <f t="shared" si="8"/>
        <v>469769899.00577456</v>
      </c>
      <c r="O46" s="959">
        <v>0</v>
      </c>
      <c r="P46" s="958">
        <f t="shared" si="9"/>
        <v>0</v>
      </c>
      <c r="S46" s="850"/>
      <c r="T46" s="918"/>
      <c r="U46" s="914"/>
      <c r="V46" s="681"/>
      <c r="W46" s="918"/>
      <c r="X46" s="914"/>
      <c r="Y46" s="681"/>
    </row>
    <row r="47" spans="1:40" x14ac:dyDescent="0.2">
      <c r="A47" s="908">
        <f t="shared" si="10"/>
        <v>28</v>
      </c>
      <c r="C47" s="895" t="s">
        <v>213</v>
      </c>
      <c r="D47" s="893">
        <v>2012</v>
      </c>
      <c r="E47" s="919">
        <f>'10-CWIP'!G60</f>
        <v>15725704.263709486</v>
      </c>
      <c r="F47" s="919">
        <f>'10-CWIP'!H60</f>
        <v>6086977.9345594849</v>
      </c>
      <c r="G47" s="919">
        <f>'10-CWIP'!I60</f>
        <v>722904.47468624997</v>
      </c>
      <c r="H47" s="957">
        <v>0</v>
      </c>
      <c r="I47" s="912">
        <v>0</v>
      </c>
      <c r="J47" s="958">
        <v>0</v>
      </c>
      <c r="K47" s="850">
        <f t="shared" si="12"/>
        <v>487411909.76440513</v>
      </c>
      <c r="L47" s="850">
        <f t="shared" si="11"/>
        <v>976158.84401600913</v>
      </c>
      <c r="M47" s="850">
        <f t="shared" si="13"/>
        <v>2169560.8642508602</v>
      </c>
      <c r="N47" s="850">
        <f t="shared" si="8"/>
        <v>485242348.90015429</v>
      </c>
      <c r="O47" s="959">
        <v>0</v>
      </c>
      <c r="P47" s="958">
        <f t="shared" si="9"/>
        <v>0</v>
      </c>
      <c r="S47" s="850"/>
      <c r="T47" s="918"/>
      <c r="U47" s="914"/>
      <c r="V47" s="681"/>
      <c r="W47" s="918"/>
      <c r="X47" s="914"/>
      <c r="Y47" s="681"/>
    </row>
    <row r="48" spans="1:40" x14ac:dyDescent="0.2">
      <c r="A48" s="908">
        <f t="shared" si="10"/>
        <v>29</v>
      </c>
      <c r="C48" s="892" t="s">
        <v>214</v>
      </c>
      <c r="D48" s="893">
        <v>2012</v>
      </c>
      <c r="E48" s="919">
        <f>'10-CWIP'!G61</f>
        <v>101704688.12021133</v>
      </c>
      <c r="F48" s="919">
        <f>'10-CWIP'!H61</f>
        <v>94420734.610311329</v>
      </c>
      <c r="G48" s="919">
        <f>'10-CWIP'!I61</f>
        <v>546296.51324250025</v>
      </c>
      <c r="H48" s="957">
        <v>0</v>
      </c>
      <c r="I48" s="912">
        <v>0</v>
      </c>
      <c r="J48" s="958">
        <v>0</v>
      </c>
      <c r="K48" s="850">
        <f t="shared" si="12"/>
        <v>589662894.39785898</v>
      </c>
      <c r="L48" s="850">
        <f t="shared" si="11"/>
        <v>1010251.6382035064</v>
      </c>
      <c r="M48" s="850">
        <f t="shared" si="13"/>
        <v>3179812.5024543665</v>
      </c>
      <c r="N48" s="850">
        <f t="shared" si="8"/>
        <v>586483081.89540458</v>
      </c>
      <c r="O48" s="959">
        <v>0</v>
      </c>
      <c r="P48" s="958">
        <f t="shared" si="9"/>
        <v>0</v>
      </c>
      <c r="S48" s="850"/>
      <c r="T48" s="918"/>
      <c r="U48" s="914"/>
      <c r="V48" s="681"/>
      <c r="W48" s="918"/>
      <c r="X48" s="914"/>
      <c r="Y48" s="681"/>
    </row>
    <row r="49" spans="1:25" x14ac:dyDescent="0.2">
      <c r="A49" s="908">
        <f t="shared" si="10"/>
        <v>30</v>
      </c>
      <c r="C49" s="895" t="s">
        <v>215</v>
      </c>
      <c r="D49" s="893">
        <v>2012</v>
      </c>
      <c r="E49" s="919">
        <f>'10-CWIP'!G62</f>
        <v>2855490.9535499997</v>
      </c>
      <c r="F49" s="919">
        <f>'10-CWIP'!H62</f>
        <v>0</v>
      </c>
      <c r="G49" s="919">
        <f>'10-CWIP'!I62</f>
        <v>214161.82151624997</v>
      </c>
      <c r="H49" s="957">
        <v>0</v>
      </c>
      <c r="I49" s="912">
        <v>0</v>
      </c>
      <c r="J49" s="958">
        <v>0</v>
      </c>
      <c r="K49" s="850">
        <f t="shared" si="12"/>
        <v>592732547.17292523</v>
      </c>
      <c r="L49" s="850">
        <f t="shared" si="11"/>
        <v>1222185.7798698412</v>
      </c>
      <c r="M49" s="850">
        <f t="shared" si="13"/>
        <v>4401998.2823242079</v>
      </c>
      <c r="N49" s="850">
        <f t="shared" si="8"/>
        <v>588330548.89060104</v>
      </c>
      <c r="O49" s="959">
        <v>0</v>
      </c>
      <c r="P49" s="958">
        <f t="shared" si="9"/>
        <v>0</v>
      </c>
      <c r="S49" s="850"/>
      <c r="T49" s="918"/>
      <c r="U49" s="914"/>
      <c r="V49" s="681"/>
      <c r="W49" s="918"/>
      <c r="X49" s="914"/>
      <c r="Y49" s="681"/>
    </row>
    <row r="50" spans="1:25" x14ac:dyDescent="0.2">
      <c r="A50" s="908">
        <f t="shared" si="10"/>
        <v>31</v>
      </c>
      <c r="C50" s="895" t="s">
        <v>216</v>
      </c>
      <c r="D50" s="893">
        <v>2012</v>
      </c>
      <c r="E50" s="919">
        <f>'10-CWIP'!G63</f>
        <v>14077551.020465389</v>
      </c>
      <c r="F50" s="919">
        <f>'10-CWIP'!H63</f>
        <v>2895448.0307653872</v>
      </c>
      <c r="G50" s="919">
        <f>'10-CWIP'!I63</f>
        <v>838657.72422750015</v>
      </c>
      <c r="H50" s="957">
        <v>0</v>
      </c>
      <c r="I50" s="912">
        <v>0</v>
      </c>
      <c r="J50" s="958">
        <v>0</v>
      </c>
      <c r="K50" s="850">
        <f t="shared" si="12"/>
        <v>607648755.91761816</v>
      </c>
      <c r="L50" s="850">
        <f t="shared" si="11"/>
        <v>1228548.2049206069</v>
      </c>
      <c r="M50" s="850">
        <f t="shared" si="13"/>
        <v>5630546.4872448146</v>
      </c>
      <c r="N50" s="850">
        <f t="shared" si="8"/>
        <v>602018209.43037331</v>
      </c>
      <c r="O50" s="959">
        <v>0</v>
      </c>
      <c r="P50" s="958">
        <f t="shared" si="9"/>
        <v>0</v>
      </c>
      <c r="S50" s="850"/>
      <c r="T50" s="918"/>
      <c r="U50" s="914"/>
      <c r="V50" s="681"/>
      <c r="W50" s="918"/>
      <c r="X50" s="914"/>
      <c r="Y50" s="681"/>
    </row>
    <row r="51" spans="1:25" x14ac:dyDescent="0.2">
      <c r="A51" s="908">
        <f t="shared" si="10"/>
        <v>32</v>
      </c>
      <c r="C51" s="892" t="s">
        <v>217</v>
      </c>
      <c r="D51" s="893">
        <v>2012</v>
      </c>
      <c r="E51" s="919">
        <f>'10-CWIP'!G64</f>
        <v>3390869.65</v>
      </c>
      <c r="F51" s="919">
        <f>'10-CWIP'!H64</f>
        <v>0</v>
      </c>
      <c r="G51" s="919">
        <f>'10-CWIP'!I64</f>
        <v>254315.22374999998</v>
      </c>
      <c r="H51" s="957">
        <v>0</v>
      </c>
      <c r="I51" s="912">
        <v>0</v>
      </c>
      <c r="J51" s="958">
        <v>0</v>
      </c>
      <c r="K51" s="850">
        <f t="shared" si="12"/>
        <v>611293940.79136813</v>
      </c>
      <c r="L51" s="850">
        <f t="shared" si="11"/>
        <v>1259464.8157342314</v>
      </c>
      <c r="M51" s="850">
        <f t="shared" si="13"/>
        <v>6890011.3029790465</v>
      </c>
      <c r="N51" s="850">
        <f t="shared" si="8"/>
        <v>604403929.48838913</v>
      </c>
      <c r="O51" s="959">
        <v>0</v>
      </c>
      <c r="P51" s="958">
        <f t="shared" si="9"/>
        <v>0</v>
      </c>
      <c r="S51" s="850"/>
      <c r="T51" s="918"/>
      <c r="U51" s="914"/>
      <c r="V51" s="681"/>
      <c r="W51" s="918"/>
      <c r="X51" s="914"/>
      <c r="Y51" s="681"/>
    </row>
    <row r="52" spans="1:25" x14ac:dyDescent="0.2">
      <c r="A52" s="908">
        <f t="shared" si="10"/>
        <v>33</v>
      </c>
      <c r="C52" s="892" t="s">
        <v>218</v>
      </c>
      <c r="D52" s="893">
        <v>2012</v>
      </c>
      <c r="E52" s="919">
        <f>'10-CWIP'!G65</f>
        <v>123331050.76177707</v>
      </c>
      <c r="F52" s="919">
        <f>'10-CWIP'!H65</f>
        <v>75601230.459277093</v>
      </c>
      <c r="G52" s="919">
        <f>'10-CWIP'!I65</f>
        <v>3579736.5226874985</v>
      </c>
      <c r="H52" s="957">
        <v>0</v>
      </c>
      <c r="I52" s="912">
        <v>0</v>
      </c>
      <c r="J52" s="958">
        <v>0</v>
      </c>
      <c r="K52" s="850">
        <f t="shared" si="12"/>
        <v>738204728.07583272</v>
      </c>
      <c r="L52" s="850">
        <f t="shared" si="11"/>
        <v>1267020.1378683182</v>
      </c>
      <c r="M52" s="850">
        <f t="shared" si="13"/>
        <v>8157031.4408473652</v>
      </c>
      <c r="N52" s="850">
        <f t="shared" si="8"/>
        <v>730047696.63498533</v>
      </c>
      <c r="O52" s="959">
        <v>0</v>
      </c>
      <c r="P52" s="958">
        <f t="shared" si="9"/>
        <v>0</v>
      </c>
      <c r="S52" s="850"/>
      <c r="T52" s="918"/>
      <c r="U52" s="914"/>
      <c r="V52" s="681"/>
      <c r="W52" s="918"/>
      <c r="X52" s="914"/>
      <c r="Y52" s="681"/>
    </row>
    <row r="53" spans="1:25" x14ac:dyDescent="0.2">
      <c r="A53" s="908">
        <f t="shared" si="10"/>
        <v>34</v>
      </c>
      <c r="C53" s="892" t="s">
        <v>208</v>
      </c>
      <c r="D53" s="893">
        <v>2012</v>
      </c>
      <c r="E53" s="919">
        <f>'10-CWIP'!G66</f>
        <v>126878105.33211704</v>
      </c>
      <c r="F53" s="919">
        <f>'10-CWIP'!H66</f>
        <v>58370100.448687054</v>
      </c>
      <c r="G53" s="919">
        <f>'10-CWIP'!I66</f>
        <v>5138100.3662572475</v>
      </c>
      <c r="H53" s="957">
        <v>0</v>
      </c>
      <c r="I53" s="912">
        <v>0</v>
      </c>
      <c r="J53" s="958">
        <v>0</v>
      </c>
      <c r="K53" s="850">
        <f t="shared" si="12"/>
        <v>870220933.774207</v>
      </c>
      <c r="L53" s="850">
        <f t="shared" si="11"/>
        <v>1530066.2969615571</v>
      </c>
      <c r="M53" s="850">
        <f t="shared" si="13"/>
        <v>9687097.7378089223</v>
      </c>
      <c r="N53" s="850">
        <f t="shared" si="8"/>
        <v>860533836.03639805</v>
      </c>
      <c r="O53" s="959">
        <v>0</v>
      </c>
      <c r="P53" s="958">
        <f t="shared" si="9"/>
        <v>0</v>
      </c>
      <c r="S53" s="850"/>
      <c r="T53" s="918"/>
      <c r="U53" s="914"/>
      <c r="V53" s="681"/>
      <c r="W53" s="918"/>
      <c r="X53" s="914"/>
      <c r="Y53" s="681"/>
    </row>
    <row r="54" spans="1:25" x14ac:dyDescent="0.2">
      <c r="A54" s="908">
        <f t="shared" si="10"/>
        <v>35</v>
      </c>
      <c r="C54" s="892" t="s">
        <v>209</v>
      </c>
      <c r="D54" s="893">
        <v>2013</v>
      </c>
      <c r="E54" s="919">
        <f>'10-CWIP'!G67</f>
        <v>6999838.8812143458</v>
      </c>
      <c r="F54" s="919">
        <f>'10-CWIP'!H67</f>
        <v>2226960.3212143453</v>
      </c>
      <c r="G54" s="919">
        <f>'10-CWIP'!I67</f>
        <v>357965.89200000005</v>
      </c>
      <c r="H54" s="957">
        <v>0</v>
      </c>
      <c r="I54" s="912">
        <v>0</v>
      </c>
      <c r="J54" s="958">
        <v>0</v>
      </c>
      <c r="K54" s="850">
        <f t="shared" si="12"/>
        <v>877578738.54742134</v>
      </c>
      <c r="L54" s="850">
        <f t="shared" si="11"/>
        <v>1803694.3831949423</v>
      </c>
      <c r="M54" s="850">
        <f t="shared" si="13"/>
        <v>11490792.121003864</v>
      </c>
      <c r="N54" s="850">
        <f t="shared" si="8"/>
        <v>866087946.42641747</v>
      </c>
      <c r="O54" s="959">
        <v>0</v>
      </c>
      <c r="P54" s="958">
        <f t="shared" si="9"/>
        <v>0</v>
      </c>
      <c r="S54" s="850"/>
      <c r="T54" s="918"/>
      <c r="U54" s="914"/>
      <c r="V54" s="681"/>
      <c r="W54" s="918"/>
      <c r="X54" s="914"/>
      <c r="Y54" s="681"/>
    </row>
    <row r="55" spans="1:25" x14ac:dyDescent="0.2">
      <c r="A55" s="908">
        <f t="shared" si="10"/>
        <v>36</v>
      </c>
      <c r="C55" s="895" t="s">
        <v>210</v>
      </c>
      <c r="D55" s="893">
        <v>2013</v>
      </c>
      <c r="E55" s="919">
        <f>'10-CWIP'!G68</f>
        <v>4594240</v>
      </c>
      <c r="F55" s="919">
        <f>'10-CWIP'!H68</f>
        <v>0</v>
      </c>
      <c r="G55" s="919">
        <f>'10-CWIP'!I68</f>
        <v>344568</v>
      </c>
      <c r="H55" s="957">
        <v>0</v>
      </c>
      <c r="I55" s="912">
        <v>0</v>
      </c>
      <c r="J55" s="958">
        <v>0</v>
      </c>
      <c r="K55" s="850">
        <f t="shared" si="12"/>
        <v>882517546.54742134</v>
      </c>
      <c r="L55" s="850">
        <f t="shared" si="11"/>
        <v>1818944.7990686831</v>
      </c>
      <c r="M55" s="850">
        <f t="shared" si="13"/>
        <v>13309736.920072548</v>
      </c>
      <c r="N55" s="850">
        <f t="shared" si="8"/>
        <v>869207809.62734878</v>
      </c>
      <c r="O55" s="959">
        <v>0</v>
      </c>
      <c r="P55" s="958">
        <f t="shared" si="9"/>
        <v>0</v>
      </c>
      <c r="S55" s="850"/>
      <c r="T55" s="918"/>
      <c r="U55" s="914"/>
      <c r="V55" s="681"/>
      <c r="W55" s="918"/>
      <c r="X55" s="914"/>
      <c r="Y55" s="681"/>
    </row>
    <row r="56" spans="1:25" x14ac:dyDescent="0.2">
      <c r="A56" s="908">
        <f t="shared" si="10"/>
        <v>37</v>
      </c>
      <c r="C56" s="895" t="s">
        <v>223</v>
      </c>
      <c r="D56" s="893">
        <v>2013</v>
      </c>
      <c r="E56" s="919">
        <f>'10-CWIP'!G69</f>
        <v>3448959.9999999995</v>
      </c>
      <c r="F56" s="919">
        <f>'10-CWIP'!H69</f>
        <v>0</v>
      </c>
      <c r="G56" s="919">
        <f>'10-CWIP'!I69</f>
        <v>258671.99999999994</v>
      </c>
      <c r="H56" s="957">
        <v>0</v>
      </c>
      <c r="I56" s="912">
        <v>0</v>
      </c>
      <c r="J56" s="958">
        <v>0</v>
      </c>
      <c r="K56" s="850">
        <f t="shared" si="12"/>
        <v>886225178.54742134</v>
      </c>
      <c r="L56" s="850">
        <f t="shared" si="11"/>
        <v>1829181.395205992</v>
      </c>
      <c r="M56" s="850">
        <f t="shared" si="13"/>
        <v>15138918.315278539</v>
      </c>
      <c r="N56" s="850">
        <f t="shared" si="8"/>
        <v>871086260.23214281</v>
      </c>
      <c r="O56" s="959">
        <v>0</v>
      </c>
      <c r="P56" s="958">
        <f t="shared" si="9"/>
        <v>0</v>
      </c>
      <c r="S56" s="850"/>
      <c r="T56" s="918"/>
      <c r="U56" s="914"/>
      <c r="V56" s="681"/>
      <c r="W56" s="918"/>
      <c r="X56" s="914"/>
      <c r="Y56" s="681"/>
    </row>
    <row r="57" spans="1:25" x14ac:dyDescent="0.2">
      <c r="A57" s="908">
        <f t="shared" si="10"/>
        <v>38</v>
      </c>
      <c r="C57" s="892" t="s">
        <v>211</v>
      </c>
      <c r="D57" s="893">
        <v>2013</v>
      </c>
      <c r="E57" s="919">
        <f>'10-CWIP'!G70</f>
        <v>25193673.690000001</v>
      </c>
      <c r="F57" s="919">
        <f>'10-CWIP'!H70</f>
        <v>21636322.09</v>
      </c>
      <c r="G57" s="919">
        <f>'10-CWIP'!I70</f>
        <v>266801.37000000011</v>
      </c>
      <c r="H57" s="957">
        <v>0</v>
      </c>
      <c r="I57" s="912">
        <v>0</v>
      </c>
      <c r="J57" s="958">
        <v>0</v>
      </c>
      <c r="K57" s="850">
        <f t="shared" si="12"/>
        <v>911685653.6074214</v>
      </c>
      <c r="L57" s="850">
        <f t="shared" si="11"/>
        <v>1836866.1505983379</v>
      </c>
      <c r="M57" s="850">
        <f t="shared" si="13"/>
        <v>16975784.465876877</v>
      </c>
      <c r="N57" s="850">
        <f t="shared" si="8"/>
        <v>894709869.14154458</v>
      </c>
      <c r="O57" s="959">
        <v>0</v>
      </c>
      <c r="P57" s="958">
        <f t="shared" si="9"/>
        <v>0</v>
      </c>
      <c r="S57" s="850"/>
      <c r="T57" s="918"/>
      <c r="U57" s="914"/>
      <c r="V57" s="681"/>
      <c r="W57" s="918"/>
      <c r="X57" s="914"/>
      <c r="Y57" s="681"/>
    </row>
    <row r="58" spans="1:25" x14ac:dyDescent="0.2">
      <c r="A58" s="908">
        <f t="shared" si="10"/>
        <v>39</v>
      </c>
      <c r="C58" s="895" t="s">
        <v>212</v>
      </c>
      <c r="D58" s="893">
        <v>2013</v>
      </c>
      <c r="E58" s="919">
        <f>'10-CWIP'!G71</f>
        <v>23425165.415215448</v>
      </c>
      <c r="F58" s="919">
        <f>'10-CWIP'!H71</f>
        <v>18363841.165215451</v>
      </c>
      <c r="G58" s="919">
        <f>'10-CWIP'!I71</f>
        <v>379599.31874999969</v>
      </c>
      <c r="H58" s="957">
        <v>0</v>
      </c>
      <c r="I58" s="912">
        <v>0</v>
      </c>
      <c r="J58" s="958">
        <v>0</v>
      </c>
      <c r="K58" s="850">
        <f t="shared" si="12"/>
        <v>935490418.34138691</v>
      </c>
      <c r="L58" s="850">
        <f t="shared" si="11"/>
        <v>1889637.7101838172</v>
      </c>
      <c r="M58" s="850">
        <f t="shared" si="13"/>
        <v>18865422.176060695</v>
      </c>
      <c r="N58" s="850">
        <f t="shared" si="8"/>
        <v>916624996.16532624</v>
      </c>
      <c r="O58" s="959">
        <v>0</v>
      </c>
      <c r="P58" s="958">
        <f t="shared" si="9"/>
        <v>0</v>
      </c>
      <c r="S58" s="850"/>
      <c r="T58" s="918"/>
      <c r="U58" s="914"/>
      <c r="V58" s="681"/>
      <c r="W58" s="918"/>
      <c r="X58" s="914"/>
      <c r="Y58" s="681"/>
    </row>
    <row r="59" spans="1:25" x14ac:dyDescent="0.2">
      <c r="A59" s="908">
        <f t="shared" si="10"/>
        <v>40</v>
      </c>
      <c r="C59" s="895" t="s">
        <v>213</v>
      </c>
      <c r="D59" s="893">
        <v>2013</v>
      </c>
      <c r="E59" s="919">
        <f>'10-CWIP'!G72</f>
        <v>1515720.36</v>
      </c>
      <c r="F59" s="919">
        <f>'10-CWIP'!H72</f>
        <v>0</v>
      </c>
      <c r="G59" s="919">
        <f>'10-CWIP'!I72</f>
        <v>113679.027</v>
      </c>
      <c r="H59" s="957">
        <v>0</v>
      </c>
      <c r="I59" s="912">
        <v>0</v>
      </c>
      <c r="J59" s="958">
        <v>0</v>
      </c>
      <c r="K59" s="850">
        <f t="shared" si="12"/>
        <v>937119817.72838688</v>
      </c>
      <c r="L59" s="850">
        <f t="shared" si="11"/>
        <v>1938977.5028474024</v>
      </c>
      <c r="M59" s="850">
        <f t="shared" si="13"/>
        <v>20804399.678908098</v>
      </c>
      <c r="N59" s="850">
        <f t="shared" si="8"/>
        <v>916315418.04947877</v>
      </c>
      <c r="O59" s="959">
        <v>0</v>
      </c>
      <c r="P59" s="958">
        <f t="shared" si="9"/>
        <v>0</v>
      </c>
      <c r="S59" s="850"/>
      <c r="T59" s="918"/>
      <c r="U59" s="914"/>
      <c r="V59" s="681"/>
      <c r="W59" s="918"/>
      <c r="X59" s="914"/>
      <c r="Y59" s="681"/>
    </row>
    <row r="60" spans="1:25" x14ac:dyDescent="0.2">
      <c r="A60" s="908">
        <f t="shared" si="10"/>
        <v>41</v>
      </c>
      <c r="C60" s="892" t="s">
        <v>214</v>
      </c>
      <c r="D60" s="893">
        <v>2013</v>
      </c>
      <c r="E60" s="919">
        <f>'10-CWIP'!G73</f>
        <v>239141332.02113783</v>
      </c>
      <c r="F60" s="919">
        <f>'10-CWIP'!H73</f>
        <v>30843632.021137841</v>
      </c>
      <c r="G60" s="919">
        <f>'10-CWIP'!I73</f>
        <v>15622327.5</v>
      </c>
      <c r="H60" s="957">
        <v>0</v>
      </c>
      <c r="I60" s="912">
        <v>0</v>
      </c>
      <c r="J60" s="958">
        <v>0</v>
      </c>
      <c r="K60" s="850">
        <f t="shared" si="12"/>
        <v>1191883477.2495246</v>
      </c>
      <c r="L60" s="850">
        <f t="shared" si="11"/>
        <v>1942354.7354652926</v>
      </c>
      <c r="M60" s="850">
        <f t="shared" si="13"/>
        <v>22746754.41437339</v>
      </c>
      <c r="N60" s="850">
        <f t="shared" si="8"/>
        <v>1169136722.8351512</v>
      </c>
      <c r="O60" s="959">
        <v>0</v>
      </c>
      <c r="P60" s="958">
        <f t="shared" si="9"/>
        <v>0</v>
      </c>
      <c r="S60" s="850"/>
      <c r="T60" s="918"/>
      <c r="U60" s="914"/>
      <c r="V60" s="681"/>
      <c r="W60" s="918"/>
      <c r="X60" s="914"/>
      <c r="Y60" s="681"/>
    </row>
    <row r="61" spans="1:25" x14ac:dyDescent="0.2">
      <c r="A61" s="908">
        <f t="shared" si="10"/>
        <v>42</v>
      </c>
      <c r="C61" s="895" t="s">
        <v>215</v>
      </c>
      <c r="D61" s="893">
        <v>2013</v>
      </c>
      <c r="E61" s="919">
        <f>'10-CWIP'!G74</f>
        <v>6138100</v>
      </c>
      <c r="F61" s="919">
        <f>'10-CWIP'!H74</f>
        <v>0</v>
      </c>
      <c r="G61" s="919">
        <f>'10-CWIP'!I74</f>
        <v>460357.5</v>
      </c>
      <c r="H61" s="957">
        <v>0</v>
      </c>
      <c r="I61" s="912">
        <v>0</v>
      </c>
      <c r="J61" s="958">
        <v>0</v>
      </c>
      <c r="K61" s="850">
        <f t="shared" si="12"/>
        <v>1198481934.7495246</v>
      </c>
      <c r="L61" s="850">
        <f t="shared" si="11"/>
        <v>2470399.6995498887</v>
      </c>
      <c r="M61" s="850">
        <f t="shared" si="13"/>
        <v>25217154.113923278</v>
      </c>
      <c r="N61" s="850">
        <f t="shared" si="8"/>
        <v>1173264780.6356013</v>
      </c>
      <c r="O61" s="959">
        <v>0</v>
      </c>
      <c r="P61" s="958">
        <f t="shared" si="9"/>
        <v>0</v>
      </c>
      <c r="S61" s="850"/>
      <c r="T61" s="918"/>
      <c r="U61" s="914"/>
      <c r="V61" s="681"/>
      <c r="W61" s="918"/>
      <c r="X61" s="914"/>
      <c r="Y61" s="681"/>
    </row>
    <row r="62" spans="1:25" x14ac:dyDescent="0.2">
      <c r="A62" s="908">
        <f t="shared" si="10"/>
        <v>43</v>
      </c>
      <c r="C62" s="895" t="s">
        <v>216</v>
      </c>
      <c r="D62" s="893">
        <v>2013</v>
      </c>
      <c r="E62" s="919">
        <f>'10-CWIP'!G75</f>
        <v>793594398.47106278</v>
      </c>
      <c r="F62" s="919">
        <f>'10-CWIP'!H75</f>
        <v>151361046.07106274</v>
      </c>
      <c r="G62" s="919">
        <f>'10-CWIP'!I75</f>
        <v>48167501.430000007</v>
      </c>
      <c r="H62" s="957">
        <v>0</v>
      </c>
      <c r="I62" s="912">
        <v>0</v>
      </c>
      <c r="J62" s="958">
        <v>0</v>
      </c>
      <c r="K62" s="850">
        <f t="shared" si="12"/>
        <v>2040243834.6505873</v>
      </c>
      <c r="L62" s="850">
        <f t="shared" si="11"/>
        <v>2484076.2272781776</v>
      </c>
      <c r="M62" s="850">
        <f t="shared" si="13"/>
        <v>27701230.341201454</v>
      </c>
      <c r="N62" s="850">
        <f t="shared" si="8"/>
        <v>2012542604.3093858</v>
      </c>
      <c r="O62" s="959">
        <v>0</v>
      </c>
      <c r="P62" s="958">
        <f t="shared" si="9"/>
        <v>0</v>
      </c>
      <c r="S62" s="850"/>
      <c r="T62" s="918"/>
      <c r="U62" s="914"/>
      <c r="V62" s="681"/>
      <c r="W62" s="918"/>
      <c r="X62" s="914"/>
      <c r="Y62" s="681"/>
    </row>
    <row r="63" spans="1:25" x14ac:dyDescent="0.2">
      <c r="A63" s="908"/>
      <c r="D63" s="917"/>
      <c r="G63" s="850"/>
      <c r="M63" s="847"/>
      <c r="N63" s="912"/>
    </row>
    <row r="64" spans="1:25" x14ac:dyDescent="0.2">
      <c r="A64" s="908"/>
      <c r="B64" s="852" t="s">
        <v>2645</v>
      </c>
      <c r="D64" s="917"/>
      <c r="G64" s="960"/>
      <c r="M64" s="847"/>
      <c r="N64" s="912"/>
    </row>
    <row r="65" spans="1:25" x14ac:dyDescent="0.2">
      <c r="A65" s="908"/>
      <c r="E65" s="903" t="s">
        <v>403</v>
      </c>
      <c r="F65" s="903" t="s">
        <v>387</v>
      </c>
      <c r="G65" s="903" t="s">
        <v>388</v>
      </c>
      <c r="H65" s="903" t="s">
        <v>389</v>
      </c>
      <c r="I65" s="903" t="s">
        <v>390</v>
      </c>
      <c r="J65" s="903" t="s">
        <v>391</v>
      </c>
      <c r="K65" s="903" t="s">
        <v>392</v>
      </c>
      <c r="L65" s="903" t="s">
        <v>606</v>
      </c>
      <c r="M65" s="903" t="s">
        <v>1055</v>
      </c>
      <c r="N65" s="903" t="s">
        <v>1072</v>
      </c>
      <c r="O65" s="903" t="s">
        <v>1075</v>
      </c>
      <c r="P65" s="903" t="s">
        <v>1093</v>
      </c>
    </row>
    <row r="66" spans="1:25" ht="25.5" x14ac:dyDescent="0.2">
      <c r="A66" s="908"/>
      <c r="E66" s="905"/>
      <c r="F66" s="905"/>
      <c r="G66" s="906" t="str">
        <f>"=(C"&amp;RIGHT(E65)&amp;"-C"&amp;RIGHT(F65)&amp;")*L"&amp;$A$94</f>
        <v>=(C1-C2)*L65</v>
      </c>
      <c r="H66" s="905" t="str">
        <f>"=(C"&amp;RIGHT(E65)&amp;"-C"&amp;RIGHT(F65)&amp;"+C"&amp;RIGHT(G65)&amp;")*L"&amp;$A$98</f>
        <v>=(C1-C2+C3)*L66</v>
      </c>
      <c r="I66" s="905" t="str">
        <f>"=C"&amp;RIGHT(E65)&amp;"-C"&amp;RIGHT(F65)&amp;"+C"&amp;RIGHT(G65)&amp;"-C"&amp;RIGHT(H65)</f>
        <v>=C1-C2+C3-C4</v>
      </c>
      <c r="J66" s="906" t="str">
        <f>"=C"&amp;RIGHT(I65)&amp;"*L"&amp;$A$102</f>
        <v>=C5*L67</v>
      </c>
      <c r="K66" s="954" t="s">
        <v>2646</v>
      </c>
      <c r="L66" s="955" t="s">
        <v>2642</v>
      </c>
      <c r="M66" s="956" t="s">
        <v>2643</v>
      </c>
      <c r="N66" s="905" t="str">
        <f>"=C"&amp;RIGHT(K65)&amp;"-C"&amp;RIGHT(M65)</f>
        <v>=C7-C9</v>
      </c>
      <c r="P66" s="956" t="s">
        <v>2644</v>
      </c>
    </row>
    <row r="67" spans="1:25" x14ac:dyDescent="0.2">
      <c r="A67" s="908"/>
      <c r="C67" s="908" t="str">
        <f>C10</f>
        <v>Forecast</v>
      </c>
      <c r="E67" s="908" t="str">
        <f t="shared" ref="E67:H69" si="14">E10</f>
        <v>Unloaded</v>
      </c>
      <c r="F67" s="908"/>
      <c r="G67" s="908"/>
      <c r="H67" s="909"/>
      <c r="I67" s="909" t="str">
        <f>I10</f>
        <v>AFUDC</v>
      </c>
      <c r="J67" s="909"/>
      <c r="K67" s="909"/>
      <c r="L67" s="909"/>
      <c r="M67" s="909"/>
      <c r="O67" s="908" t="str">
        <f t="shared" ref="O67:P68" si="15">O10</f>
        <v>Unloaded</v>
      </c>
      <c r="P67" s="908" t="str">
        <f t="shared" si="15"/>
        <v>Loaded</v>
      </c>
    </row>
    <row r="68" spans="1:25" x14ac:dyDescent="0.2">
      <c r="A68" s="908"/>
      <c r="C68" s="908" t="str">
        <f>C11</f>
        <v>Period</v>
      </c>
      <c r="E68" s="908" t="str">
        <f t="shared" si="14"/>
        <v>Total</v>
      </c>
      <c r="F68" s="908" t="str">
        <f t="shared" si="14"/>
        <v>Prior Period</v>
      </c>
      <c r="G68" s="909" t="str">
        <f t="shared" si="14"/>
        <v>Over Heads</v>
      </c>
      <c r="H68" s="909" t="str">
        <f t="shared" si="14"/>
        <v xml:space="preserve">Cost of </v>
      </c>
      <c r="I68" s="909" t="str">
        <f>I11</f>
        <v>Eligible Plant</v>
      </c>
      <c r="J68" s="909"/>
      <c r="K68" s="909" t="str">
        <f t="shared" ref="K68:M68" si="16">K11</f>
        <v>Incremental</v>
      </c>
      <c r="L68" s="909" t="str">
        <f t="shared" si="16"/>
        <v>Depreciation</v>
      </c>
      <c r="M68" s="909" t="str">
        <f t="shared" si="16"/>
        <v>Incremental</v>
      </c>
      <c r="O68" s="909" t="str">
        <f t="shared" si="15"/>
        <v>Low Voltage</v>
      </c>
      <c r="P68" s="909" t="str">
        <f t="shared" si="15"/>
        <v>Low Voltage</v>
      </c>
      <c r="Q68" s="908"/>
    </row>
    <row r="69" spans="1:25" x14ac:dyDescent="0.2">
      <c r="A69" s="910" t="s">
        <v>369</v>
      </c>
      <c r="C69" s="891" t="str">
        <f>C12</f>
        <v>Month</v>
      </c>
      <c r="D69" s="891" t="str">
        <f>D12</f>
        <v>Year</v>
      </c>
      <c r="E69" s="904" t="str">
        <f t="shared" si="14"/>
        <v>Plant Adds</v>
      </c>
      <c r="F69" s="904" t="str">
        <f t="shared" si="14"/>
        <v>CWIP Closed</v>
      </c>
      <c r="G69" s="911" t="str">
        <f t="shared" si="14"/>
        <v>Closed to PIS</v>
      </c>
      <c r="H69" s="911" t="str">
        <f t="shared" si="14"/>
        <v>Removal</v>
      </c>
      <c r="I69" s="911" t="str">
        <f>I12</f>
        <v>Additions</v>
      </c>
      <c r="J69" s="911" t="str">
        <f t="shared" ref="J69:P69" si="17">J12</f>
        <v>AFUDC</v>
      </c>
      <c r="K69" s="911" t="str">
        <f t="shared" si="17"/>
        <v>Gross Plant</v>
      </c>
      <c r="L69" s="911" t="str">
        <f t="shared" si="17"/>
        <v>Accrual</v>
      </c>
      <c r="M69" s="911" t="str">
        <f t="shared" si="17"/>
        <v>Reserve</v>
      </c>
      <c r="N69" s="911" t="str">
        <f t="shared" si="17"/>
        <v>Net Plant</v>
      </c>
      <c r="O69" s="911" t="str">
        <f t="shared" si="17"/>
        <v>Additions</v>
      </c>
      <c r="P69" s="911" t="str">
        <f t="shared" si="17"/>
        <v>Additions</v>
      </c>
      <c r="Q69" s="911"/>
      <c r="S69" s="961"/>
      <c r="T69" s="911"/>
      <c r="U69" s="911"/>
      <c r="V69" s="911"/>
      <c r="W69" s="911"/>
      <c r="X69" s="911"/>
      <c r="Y69" s="911"/>
    </row>
    <row r="70" spans="1:25" x14ac:dyDescent="0.2">
      <c r="A70" s="908">
        <f>A62+1</f>
        <v>44</v>
      </c>
      <c r="C70" s="892" t="str">
        <f t="shared" ref="C70:C85" si="18">C42</f>
        <v>January</v>
      </c>
      <c r="D70" s="893">
        <v>2012</v>
      </c>
      <c r="E70" s="920">
        <v>1316749.1475000002</v>
      </c>
      <c r="F70" s="920">
        <v>0</v>
      </c>
      <c r="G70" s="912">
        <f t="shared" ref="G70:G90" si="19">(E70-F70)*$E$94</f>
        <v>98756.186062500012</v>
      </c>
      <c r="H70" s="850">
        <f t="shared" ref="H70:H90" si="20">(E70-F70+G70)*$E$98</f>
        <v>113240.42668500003</v>
      </c>
      <c r="I70" s="912">
        <f>E70-F70+G70-H70</f>
        <v>1302264.9068775002</v>
      </c>
      <c r="J70" s="912">
        <f t="shared" ref="J70:J90" si="21">I70*$E$102</f>
        <v>39067.947206325007</v>
      </c>
      <c r="K70" s="850">
        <f>F70+I70+J70</f>
        <v>1341332.8540838251</v>
      </c>
      <c r="L70" s="850">
        <v>0</v>
      </c>
      <c r="M70" s="850">
        <f>L70</f>
        <v>0</v>
      </c>
      <c r="N70" s="850">
        <f t="shared" ref="N70:N90" si="22">K70-M70</f>
        <v>1341332.8540838251</v>
      </c>
      <c r="O70" s="959">
        <v>0</v>
      </c>
      <c r="P70" s="850">
        <f t="shared" ref="P70:P90" si="23">O70*(1-$E$98)*(1+$E$94+$E$102)</f>
        <v>0</v>
      </c>
      <c r="Q70" s="918"/>
      <c r="R70" s="914"/>
      <c r="S70" s="918"/>
      <c r="T70" s="918"/>
      <c r="U70" s="914"/>
      <c r="V70" s="681"/>
      <c r="W70" s="918"/>
      <c r="X70" s="914"/>
      <c r="Y70" s="681"/>
    </row>
    <row r="71" spans="1:25" x14ac:dyDescent="0.2">
      <c r="A71" s="908">
        <f t="shared" si="10"/>
        <v>45</v>
      </c>
      <c r="C71" s="892" t="str">
        <f t="shared" si="18"/>
        <v>February</v>
      </c>
      <c r="D71" s="893">
        <v>2012</v>
      </c>
      <c r="E71" s="920">
        <v>15037745.805000005</v>
      </c>
      <c r="F71" s="920">
        <v>11082486.257500004</v>
      </c>
      <c r="G71" s="912">
        <f t="shared" si="19"/>
        <v>296644.46606250008</v>
      </c>
      <c r="H71" s="850">
        <f t="shared" si="20"/>
        <v>340152.32108500012</v>
      </c>
      <c r="I71" s="912">
        <f t="shared" ref="I71:I90" si="24">E71-F71+G71-H71</f>
        <v>3911751.6924775015</v>
      </c>
      <c r="J71" s="912">
        <f t="shared" si="21"/>
        <v>117352.55077432503</v>
      </c>
      <c r="K71" s="850">
        <f>K70+J71+I71+F71</f>
        <v>16452923.354835656</v>
      </c>
      <c r="L71" s="850">
        <f t="shared" ref="L71:L90" si="25">K70*$E$124/12</f>
        <v>2780.1612682573982</v>
      </c>
      <c r="M71" s="850">
        <f>M70+L71</f>
        <v>2780.1612682573982</v>
      </c>
      <c r="N71" s="850">
        <f t="shared" si="22"/>
        <v>16450143.193567399</v>
      </c>
      <c r="O71" s="959">
        <v>333575.0774999999</v>
      </c>
      <c r="P71" s="850">
        <f t="shared" si="23"/>
        <v>339112.42378649989</v>
      </c>
      <c r="Q71" s="918"/>
      <c r="R71" s="914"/>
      <c r="S71" s="918"/>
      <c r="T71" s="918"/>
      <c r="U71" s="914"/>
      <c r="V71" s="681"/>
      <c r="W71" s="918"/>
      <c r="X71" s="914"/>
      <c r="Y71" s="681"/>
    </row>
    <row r="72" spans="1:25" x14ac:dyDescent="0.2">
      <c r="A72" s="908">
        <f t="shared" si="10"/>
        <v>46</v>
      </c>
      <c r="C72" s="892" t="str">
        <f t="shared" si="18"/>
        <v>March</v>
      </c>
      <c r="D72" s="893">
        <v>2012</v>
      </c>
      <c r="E72" s="920">
        <v>1316749.1475000002</v>
      </c>
      <c r="F72" s="920">
        <v>0</v>
      </c>
      <c r="G72" s="912">
        <f t="shared" si="19"/>
        <v>98756.186062500012</v>
      </c>
      <c r="H72" s="850">
        <f t="shared" si="20"/>
        <v>113240.42668500003</v>
      </c>
      <c r="I72" s="912">
        <f t="shared" si="24"/>
        <v>1302264.9068775002</v>
      </c>
      <c r="J72" s="912">
        <f t="shared" si="21"/>
        <v>39067.947206325007</v>
      </c>
      <c r="K72" s="850">
        <f t="shared" ref="K72:K90" si="26">K71+J72+I72+F72</f>
        <v>17794256.20891948</v>
      </c>
      <c r="L72" s="850">
        <f t="shared" si="25"/>
        <v>34101.737030787051</v>
      </c>
      <c r="M72" s="850">
        <f t="shared" ref="M72:M90" si="27">M71+L72</f>
        <v>36881.898299044449</v>
      </c>
      <c r="N72" s="850">
        <f t="shared" si="22"/>
        <v>17757374.310620435</v>
      </c>
      <c r="O72" s="959">
        <v>333575.0774999999</v>
      </c>
      <c r="P72" s="850">
        <f t="shared" si="23"/>
        <v>339112.42378649989</v>
      </c>
      <c r="Q72" s="918"/>
      <c r="R72" s="914"/>
      <c r="S72" s="918"/>
      <c r="T72" s="918"/>
      <c r="U72" s="914"/>
      <c r="V72" s="681"/>
      <c r="W72" s="918"/>
      <c r="X72" s="914"/>
      <c r="Y72" s="681"/>
    </row>
    <row r="73" spans="1:25" x14ac:dyDescent="0.2">
      <c r="A73" s="908">
        <f t="shared" si="10"/>
        <v>47</v>
      </c>
      <c r="C73" s="892" t="str">
        <f t="shared" si="18"/>
        <v>April</v>
      </c>
      <c r="D73" s="893">
        <v>2012</v>
      </c>
      <c r="E73" s="920">
        <v>22785872.219629999</v>
      </c>
      <c r="F73" s="920">
        <v>15750913.072129998</v>
      </c>
      <c r="G73" s="912">
        <f t="shared" si="19"/>
        <v>527621.9360625</v>
      </c>
      <c r="H73" s="850">
        <f t="shared" si="20"/>
        <v>605006.48668500013</v>
      </c>
      <c r="I73" s="912">
        <f t="shared" si="24"/>
        <v>6957574.5968775004</v>
      </c>
      <c r="J73" s="912">
        <f t="shared" si="21"/>
        <v>208727.237906325</v>
      </c>
      <c r="K73" s="850">
        <f t="shared" si="26"/>
        <v>40711471.115833305</v>
      </c>
      <c r="L73" s="850">
        <f t="shared" si="25"/>
        <v>36881.898299044449</v>
      </c>
      <c r="M73" s="850">
        <f t="shared" si="27"/>
        <v>73763.796598088898</v>
      </c>
      <c r="N73" s="850">
        <f t="shared" si="22"/>
        <v>40637707.319235213</v>
      </c>
      <c r="O73" s="959">
        <v>333575.0774999999</v>
      </c>
      <c r="P73" s="850">
        <f t="shared" si="23"/>
        <v>339112.42378649989</v>
      </c>
      <c r="Q73" s="918"/>
      <c r="R73" s="914"/>
      <c r="S73" s="918"/>
      <c r="T73" s="918"/>
      <c r="U73" s="914"/>
      <c r="V73" s="681"/>
      <c r="W73" s="918"/>
      <c r="X73" s="914"/>
      <c r="Y73" s="681"/>
    </row>
    <row r="74" spans="1:25" x14ac:dyDescent="0.2">
      <c r="A74" s="908">
        <f t="shared" si="10"/>
        <v>48</v>
      </c>
      <c r="C74" s="892" t="str">
        <f t="shared" si="18"/>
        <v>May</v>
      </c>
      <c r="D74" s="893">
        <v>2012</v>
      </c>
      <c r="E74" s="920">
        <v>11090960.157500001</v>
      </c>
      <c r="F74" s="920">
        <v>6719211.0099999979</v>
      </c>
      <c r="G74" s="912">
        <f t="shared" si="19"/>
        <v>327881.18606250017</v>
      </c>
      <c r="H74" s="850">
        <f t="shared" si="20"/>
        <v>375970.42668500025</v>
      </c>
      <c r="I74" s="912">
        <f t="shared" si="24"/>
        <v>4323659.9068775028</v>
      </c>
      <c r="J74" s="912">
        <f t="shared" si="21"/>
        <v>129709.79720632508</v>
      </c>
      <c r="K74" s="850">
        <f t="shared" si="26"/>
        <v>51884051.829917133</v>
      </c>
      <c r="L74" s="850">
        <f t="shared" si="25"/>
        <v>84382.079232174103</v>
      </c>
      <c r="M74" s="850">
        <f t="shared" si="27"/>
        <v>158145.87583026302</v>
      </c>
      <c r="N74" s="850">
        <f t="shared" si="22"/>
        <v>51725905.95408687</v>
      </c>
      <c r="O74" s="959">
        <v>333575.0774999999</v>
      </c>
      <c r="P74" s="850">
        <f t="shared" si="23"/>
        <v>339112.42378649989</v>
      </c>
      <c r="Q74" s="918"/>
      <c r="R74" s="914"/>
      <c r="S74" s="918"/>
      <c r="T74" s="918"/>
      <c r="U74" s="914"/>
      <c r="V74" s="681"/>
      <c r="W74" s="918"/>
      <c r="X74" s="914"/>
      <c r="Y74" s="681"/>
    </row>
    <row r="75" spans="1:25" x14ac:dyDescent="0.2">
      <c r="A75" s="908">
        <f t="shared" si="10"/>
        <v>49</v>
      </c>
      <c r="C75" s="892" t="str">
        <f t="shared" si="18"/>
        <v xml:space="preserve">June </v>
      </c>
      <c r="D75" s="893">
        <v>2012</v>
      </c>
      <c r="E75" s="920">
        <v>17115161.004900005</v>
      </c>
      <c r="F75" s="920">
        <v>1775433.8574000038</v>
      </c>
      <c r="G75" s="912">
        <f t="shared" si="19"/>
        <v>1150479.5360625</v>
      </c>
      <c r="H75" s="850">
        <f t="shared" si="20"/>
        <v>1319216.5346850001</v>
      </c>
      <c r="I75" s="912">
        <f t="shared" si="24"/>
        <v>15170990.1488775</v>
      </c>
      <c r="J75" s="912">
        <f t="shared" si="21"/>
        <v>455129.704466325</v>
      </c>
      <c r="K75" s="850">
        <f t="shared" si="26"/>
        <v>69285605.540660962</v>
      </c>
      <c r="L75" s="850">
        <f t="shared" si="25"/>
        <v>107539.3261997745</v>
      </c>
      <c r="M75" s="850">
        <f t="shared" si="27"/>
        <v>265685.20203003753</v>
      </c>
      <c r="N75" s="850">
        <f t="shared" si="22"/>
        <v>69019920.33863093</v>
      </c>
      <c r="O75" s="959">
        <v>333575.0774999999</v>
      </c>
      <c r="P75" s="850">
        <f t="shared" si="23"/>
        <v>339112.42378649989</v>
      </c>
      <c r="Q75" s="918"/>
      <c r="R75" s="914"/>
      <c r="S75" s="918"/>
      <c r="T75" s="918"/>
      <c r="U75" s="914"/>
      <c r="V75" s="681"/>
      <c r="W75" s="918"/>
      <c r="X75" s="914"/>
      <c r="Y75" s="681"/>
    </row>
    <row r="76" spans="1:25" x14ac:dyDescent="0.2">
      <c r="A76" s="908">
        <f t="shared" si="10"/>
        <v>50</v>
      </c>
      <c r="C76" s="892" t="str">
        <f t="shared" si="18"/>
        <v>July</v>
      </c>
      <c r="D76" s="893">
        <v>2012</v>
      </c>
      <c r="E76" s="920">
        <v>1794849.1775000002</v>
      </c>
      <c r="F76" s="920">
        <v>267900.02999999997</v>
      </c>
      <c r="G76" s="912">
        <f t="shared" si="19"/>
        <v>114521.18606250001</v>
      </c>
      <c r="H76" s="850">
        <f t="shared" si="20"/>
        <v>131317.62668500002</v>
      </c>
      <c r="I76" s="912">
        <f t="shared" si="24"/>
        <v>1510152.7068775003</v>
      </c>
      <c r="J76" s="912">
        <f t="shared" si="21"/>
        <v>45304.581206325005</v>
      </c>
      <c r="K76" s="850">
        <f t="shared" si="26"/>
        <v>71108962.858744785</v>
      </c>
      <c r="L76" s="850">
        <f t="shared" si="25"/>
        <v>143607.27569256115</v>
      </c>
      <c r="M76" s="850">
        <f t="shared" si="27"/>
        <v>409292.47772259871</v>
      </c>
      <c r="N76" s="850">
        <f t="shared" si="22"/>
        <v>70699670.381022185</v>
      </c>
      <c r="O76" s="959">
        <v>333575.0774999999</v>
      </c>
      <c r="P76" s="850">
        <f t="shared" si="23"/>
        <v>339112.42378649989</v>
      </c>
      <c r="Q76" s="918"/>
      <c r="R76" s="914"/>
      <c r="S76" s="918"/>
      <c r="T76" s="918"/>
      <c r="U76" s="914"/>
      <c r="V76" s="681"/>
      <c r="W76" s="918"/>
      <c r="X76" s="914"/>
      <c r="Y76" s="681"/>
    </row>
    <row r="77" spans="1:25" x14ac:dyDescent="0.2">
      <c r="A77" s="908">
        <f t="shared" si="10"/>
        <v>51</v>
      </c>
      <c r="C77" s="892" t="str">
        <f t="shared" si="18"/>
        <v>August</v>
      </c>
      <c r="D77" s="893">
        <v>2012</v>
      </c>
      <c r="E77" s="920">
        <v>3340966.3275000006</v>
      </c>
      <c r="F77" s="920">
        <v>274217.18</v>
      </c>
      <c r="G77" s="912">
        <f t="shared" si="19"/>
        <v>230006.18606250003</v>
      </c>
      <c r="H77" s="850">
        <f t="shared" si="20"/>
        <v>263740.42668500001</v>
      </c>
      <c r="I77" s="912">
        <f t="shared" si="24"/>
        <v>3033014.9068775005</v>
      </c>
      <c r="J77" s="912">
        <f t="shared" si="21"/>
        <v>90990.447206325014</v>
      </c>
      <c r="K77" s="850">
        <f t="shared" si="26"/>
        <v>74507185.392828614</v>
      </c>
      <c r="L77" s="850">
        <f t="shared" si="25"/>
        <v>147386.52211785861</v>
      </c>
      <c r="M77" s="850">
        <f t="shared" si="27"/>
        <v>556678.99984045734</v>
      </c>
      <c r="N77" s="850">
        <f t="shared" si="22"/>
        <v>73950506.39298816</v>
      </c>
      <c r="O77" s="959">
        <v>333575.0774999999</v>
      </c>
      <c r="P77" s="850">
        <f t="shared" si="23"/>
        <v>339112.42378649989</v>
      </c>
      <c r="Q77" s="918"/>
      <c r="R77" s="914"/>
      <c r="S77" s="918"/>
      <c r="T77" s="918"/>
      <c r="U77" s="914"/>
      <c r="V77" s="681"/>
      <c r="W77" s="918"/>
      <c r="X77" s="914"/>
      <c r="Y77" s="681"/>
    </row>
    <row r="78" spans="1:25" x14ac:dyDescent="0.2">
      <c r="A78" s="908">
        <f t="shared" si="10"/>
        <v>52</v>
      </c>
      <c r="C78" s="892" t="str">
        <f t="shared" si="18"/>
        <v>September</v>
      </c>
      <c r="D78" s="893">
        <v>2012</v>
      </c>
      <c r="E78" s="920">
        <v>6274471.4065999994</v>
      </c>
      <c r="F78" s="920">
        <v>667222.25909999979</v>
      </c>
      <c r="G78" s="912">
        <f t="shared" si="19"/>
        <v>420543.6860625</v>
      </c>
      <c r="H78" s="850">
        <f t="shared" si="20"/>
        <v>482223.42668500001</v>
      </c>
      <c r="I78" s="912">
        <f t="shared" si="24"/>
        <v>5545569.4068775</v>
      </c>
      <c r="J78" s="912">
        <f t="shared" si="21"/>
        <v>166367.08220632499</v>
      </c>
      <c r="K78" s="850">
        <f t="shared" si="26"/>
        <v>80886344.141012445</v>
      </c>
      <c r="L78" s="850">
        <f t="shared" si="25"/>
        <v>154429.96897105032</v>
      </c>
      <c r="M78" s="850">
        <f t="shared" si="27"/>
        <v>711108.96881150769</v>
      </c>
      <c r="N78" s="850">
        <f t="shared" si="22"/>
        <v>80175235.172200933</v>
      </c>
      <c r="O78" s="959">
        <v>333575.0774999999</v>
      </c>
      <c r="P78" s="850">
        <f t="shared" si="23"/>
        <v>339112.42378649989</v>
      </c>
      <c r="Q78" s="918"/>
      <c r="R78" s="914"/>
      <c r="S78" s="918"/>
      <c r="T78" s="918"/>
      <c r="U78" s="914"/>
      <c r="V78" s="681"/>
      <c r="W78" s="918"/>
      <c r="X78" s="914"/>
      <c r="Y78" s="681"/>
    </row>
    <row r="79" spans="1:25" x14ac:dyDescent="0.2">
      <c r="A79" s="908">
        <f t="shared" si="10"/>
        <v>53</v>
      </c>
      <c r="C79" s="892" t="str">
        <f t="shared" si="18"/>
        <v xml:space="preserve">October </v>
      </c>
      <c r="D79" s="893">
        <v>2012</v>
      </c>
      <c r="E79" s="920">
        <v>1316749.1475000002</v>
      </c>
      <c r="F79" s="920">
        <v>0</v>
      </c>
      <c r="G79" s="912">
        <f t="shared" si="19"/>
        <v>98756.186062500012</v>
      </c>
      <c r="H79" s="850">
        <f t="shared" si="20"/>
        <v>113240.42668500003</v>
      </c>
      <c r="I79" s="912">
        <f t="shared" si="24"/>
        <v>1302264.9068775002</v>
      </c>
      <c r="J79" s="912">
        <f t="shared" si="21"/>
        <v>39067.947206325007</v>
      </c>
      <c r="K79" s="850">
        <f t="shared" si="26"/>
        <v>82227676.995096266</v>
      </c>
      <c r="L79" s="850">
        <f t="shared" si="25"/>
        <v>167651.95933814655</v>
      </c>
      <c r="M79" s="850">
        <f t="shared" si="27"/>
        <v>878760.9281496543</v>
      </c>
      <c r="N79" s="850">
        <f t="shared" si="22"/>
        <v>81348916.066946611</v>
      </c>
      <c r="O79" s="959">
        <v>333575.0774999999</v>
      </c>
      <c r="P79" s="850">
        <f t="shared" si="23"/>
        <v>339112.42378649989</v>
      </c>
      <c r="Q79" s="918"/>
      <c r="R79" s="914"/>
      <c r="S79" s="918"/>
      <c r="T79" s="918"/>
      <c r="U79" s="914"/>
      <c r="V79" s="681"/>
      <c r="W79" s="918"/>
      <c r="X79" s="914"/>
      <c r="Y79" s="681"/>
    </row>
    <row r="80" spans="1:25" x14ac:dyDescent="0.2">
      <c r="A80" s="908">
        <f t="shared" si="10"/>
        <v>54</v>
      </c>
      <c r="C80" s="892" t="str">
        <f t="shared" si="18"/>
        <v>November</v>
      </c>
      <c r="D80" s="893">
        <v>2012</v>
      </c>
      <c r="E80" s="920">
        <v>1316749.1475000002</v>
      </c>
      <c r="F80" s="920">
        <v>0</v>
      </c>
      <c r="G80" s="912">
        <f t="shared" si="19"/>
        <v>98756.186062500012</v>
      </c>
      <c r="H80" s="850">
        <f t="shared" si="20"/>
        <v>113240.42668500003</v>
      </c>
      <c r="I80" s="912">
        <f t="shared" si="24"/>
        <v>1302264.9068775002</v>
      </c>
      <c r="J80" s="912">
        <f t="shared" si="21"/>
        <v>39067.947206325007</v>
      </c>
      <c r="K80" s="850">
        <f t="shared" si="26"/>
        <v>83569009.849180087</v>
      </c>
      <c r="L80" s="850">
        <f t="shared" si="25"/>
        <v>170432.12060640394</v>
      </c>
      <c r="M80" s="850">
        <f t="shared" si="27"/>
        <v>1049193.0487560583</v>
      </c>
      <c r="N80" s="850">
        <f t="shared" si="22"/>
        <v>82519816.800424024</v>
      </c>
      <c r="O80" s="959">
        <v>333575.0774999999</v>
      </c>
      <c r="P80" s="850">
        <f t="shared" si="23"/>
        <v>339112.42378649989</v>
      </c>
      <c r="Q80" s="918"/>
      <c r="R80" s="914"/>
      <c r="S80" s="918"/>
      <c r="T80" s="918"/>
      <c r="U80" s="914"/>
      <c r="V80" s="681"/>
      <c r="W80" s="918"/>
      <c r="X80" s="914"/>
      <c r="Y80" s="681"/>
    </row>
    <row r="81" spans="1:25" x14ac:dyDescent="0.2">
      <c r="A81" s="908">
        <f t="shared" si="10"/>
        <v>55</v>
      </c>
      <c r="C81" s="892" t="str">
        <f t="shared" si="18"/>
        <v>December</v>
      </c>
      <c r="D81" s="893">
        <v>2012</v>
      </c>
      <c r="E81" s="920">
        <v>52942087.817999989</v>
      </c>
      <c r="F81" s="920">
        <v>35781906.590499982</v>
      </c>
      <c r="G81" s="912">
        <f t="shared" si="19"/>
        <v>1287013.5920625005</v>
      </c>
      <c r="H81" s="850">
        <f t="shared" si="20"/>
        <v>1475775.5855650005</v>
      </c>
      <c r="I81" s="912">
        <f t="shared" si="24"/>
        <v>16971419.233997505</v>
      </c>
      <c r="J81" s="912">
        <f t="shared" si="21"/>
        <v>509142.57701992511</v>
      </c>
      <c r="K81" s="850">
        <f t="shared" si="26"/>
        <v>136831478.25069749</v>
      </c>
      <c r="L81" s="850">
        <f t="shared" si="25"/>
        <v>173212.28187466133</v>
      </c>
      <c r="M81" s="850">
        <f t="shared" si="27"/>
        <v>1222405.3306307197</v>
      </c>
      <c r="N81" s="850">
        <f t="shared" si="22"/>
        <v>135609072.92006677</v>
      </c>
      <c r="O81" s="959">
        <v>1370651.2574999998</v>
      </c>
      <c r="P81" s="850">
        <f t="shared" si="23"/>
        <v>1393404.0683744997</v>
      </c>
      <c r="Q81" s="918"/>
      <c r="R81" s="914"/>
      <c r="S81" s="918"/>
      <c r="T81" s="918"/>
      <c r="U81" s="914"/>
      <c r="V81" s="681"/>
      <c r="W81" s="918"/>
      <c r="X81" s="914"/>
      <c r="Y81" s="681"/>
    </row>
    <row r="82" spans="1:25" x14ac:dyDescent="0.2">
      <c r="A82" s="908">
        <f t="shared" si="10"/>
        <v>56</v>
      </c>
      <c r="C82" s="892" t="str">
        <f t="shared" si="18"/>
        <v>January</v>
      </c>
      <c r="D82" s="893">
        <v>2013</v>
      </c>
      <c r="E82" s="920">
        <v>645443.08708333352</v>
      </c>
      <c r="F82" s="920">
        <v>0</v>
      </c>
      <c r="G82" s="912">
        <f t="shared" si="19"/>
        <v>48408.231531250014</v>
      </c>
      <c r="H82" s="850">
        <f t="shared" si="20"/>
        <v>55508.105489166686</v>
      </c>
      <c r="I82" s="912">
        <f t="shared" si="24"/>
        <v>638343.21312541689</v>
      </c>
      <c r="J82" s="912">
        <f t="shared" si="21"/>
        <v>19150.296393762506</v>
      </c>
      <c r="K82" s="850">
        <f t="shared" si="26"/>
        <v>137488971.76021665</v>
      </c>
      <c r="L82" s="850">
        <f t="shared" si="25"/>
        <v>283608.63222934242</v>
      </c>
      <c r="M82" s="850">
        <f t="shared" si="27"/>
        <v>1506013.962860062</v>
      </c>
      <c r="N82" s="850">
        <f t="shared" si="22"/>
        <v>135982957.79735661</v>
      </c>
      <c r="O82" s="959">
        <v>1370651.2574999998</v>
      </c>
      <c r="P82" s="850">
        <f t="shared" si="23"/>
        <v>1393404.0683744997</v>
      </c>
      <c r="Q82" s="918"/>
      <c r="R82" s="914"/>
      <c r="S82" s="918"/>
      <c r="T82" s="918"/>
      <c r="U82" s="914"/>
      <c r="V82" s="681"/>
      <c r="W82" s="918"/>
      <c r="X82" s="914"/>
      <c r="Y82" s="681"/>
    </row>
    <row r="83" spans="1:25" x14ac:dyDescent="0.2">
      <c r="A83" s="908">
        <f t="shared" si="10"/>
        <v>57</v>
      </c>
      <c r="C83" s="892" t="str">
        <f t="shared" si="18"/>
        <v>February</v>
      </c>
      <c r="D83" s="893">
        <v>2013</v>
      </c>
      <c r="E83" s="920">
        <v>645443.08708333352</v>
      </c>
      <c r="F83" s="920">
        <v>0</v>
      </c>
      <c r="G83" s="912">
        <f t="shared" si="19"/>
        <v>48408.231531250014</v>
      </c>
      <c r="H83" s="850">
        <f t="shared" si="20"/>
        <v>55508.105489166686</v>
      </c>
      <c r="I83" s="912">
        <f t="shared" si="24"/>
        <v>638343.21312541689</v>
      </c>
      <c r="J83" s="912">
        <f t="shared" si="21"/>
        <v>19150.296393762506</v>
      </c>
      <c r="K83" s="850">
        <f t="shared" si="26"/>
        <v>138146465.26973581</v>
      </c>
      <c r="L83" s="850">
        <f t="shared" si="25"/>
        <v>284971.4095472396</v>
      </c>
      <c r="M83" s="850">
        <f t="shared" si="27"/>
        <v>1790985.3724073016</v>
      </c>
      <c r="N83" s="850">
        <f t="shared" si="22"/>
        <v>136355479.89732853</v>
      </c>
      <c r="O83" s="959">
        <v>1370651.2574999998</v>
      </c>
      <c r="P83" s="850">
        <f t="shared" si="23"/>
        <v>1393404.0683744997</v>
      </c>
      <c r="Q83" s="918"/>
      <c r="R83" s="914"/>
      <c r="S83" s="918"/>
      <c r="T83" s="918"/>
      <c r="U83" s="914"/>
      <c r="V83" s="681"/>
      <c r="W83" s="918"/>
      <c r="X83" s="914"/>
      <c r="Y83" s="681"/>
    </row>
    <row r="84" spans="1:25" x14ac:dyDescent="0.2">
      <c r="A84" s="908">
        <f t="shared" si="10"/>
        <v>58</v>
      </c>
      <c r="C84" s="892" t="str">
        <f t="shared" si="18"/>
        <v>March</v>
      </c>
      <c r="D84" s="893">
        <v>2013</v>
      </c>
      <c r="E84" s="920">
        <v>9439221.2370833345</v>
      </c>
      <c r="F84" s="920">
        <v>515278.14999999997</v>
      </c>
      <c r="G84" s="912">
        <f t="shared" si="19"/>
        <v>669295.73153125006</v>
      </c>
      <c r="H84" s="850">
        <f t="shared" si="20"/>
        <v>767459.10548916669</v>
      </c>
      <c r="I84" s="912">
        <f t="shared" si="24"/>
        <v>8825779.713125417</v>
      </c>
      <c r="J84" s="912">
        <f t="shared" si="21"/>
        <v>264773.39139376249</v>
      </c>
      <c r="K84" s="850">
        <f t="shared" si="26"/>
        <v>147752296.52425498</v>
      </c>
      <c r="L84" s="850">
        <f t="shared" si="25"/>
        <v>286334.18686513684</v>
      </c>
      <c r="M84" s="850">
        <f t="shared" si="27"/>
        <v>2077319.5592724383</v>
      </c>
      <c r="N84" s="850">
        <f t="shared" si="22"/>
        <v>145674976.96498254</v>
      </c>
      <c r="O84" s="959">
        <v>1370651.2574999998</v>
      </c>
      <c r="P84" s="850">
        <f t="shared" si="23"/>
        <v>1393404.0683744997</v>
      </c>
      <c r="Q84" s="918"/>
      <c r="R84" s="914"/>
      <c r="S84" s="918"/>
      <c r="T84" s="918"/>
      <c r="U84" s="914"/>
      <c r="V84" s="681"/>
      <c r="W84" s="918"/>
      <c r="X84" s="914"/>
      <c r="Y84" s="681"/>
    </row>
    <row r="85" spans="1:25" x14ac:dyDescent="0.2">
      <c r="A85" s="908">
        <f t="shared" si="10"/>
        <v>59</v>
      </c>
      <c r="C85" s="892" t="str">
        <f t="shared" si="18"/>
        <v>April</v>
      </c>
      <c r="D85" s="893">
        <v>2013</v>
      </c>
      <c r="E85" s="920">
        <v>6957366.9530833345</v>
      </c>
      <c r="F85" s="920">
        <v>4994696.3860000018</v>
      </c>
      <c r="G85" s="912">
        <f t="shared" si="19"/>
        <v>147200.29253124996</v>
      </c>
      <c r="H85" s="850">
        <f t="shared" si="20"/>
        <v>168789.66876916663</v>
      </c>
      <c r="I85" s="912">
        <f t="shared" si="24"/>
        <v>1941081.1908454162</v>
      </c>
      <c r="J85" s="912">
        <f t="shared" si="21"/>
        <v>58232.435725362484</v>
      </c>
      <c r="K85" s="850">
        <f t="shared" si="26"/>
        <v>154746306.53682578</v>
      </c>
      <c r="L85" s="850">
        <f t="shared" si="25"/>
        <v>306244.05481619918</v>
      </c>
      <c r="M85" s="850">
        <f t="shared" si="27"/>
        <v>2383563.6140886373</v>
      </c>
      <c r="N85" s="850">
        <f t="shared" si="22"/>
        <v>152362742.92273715</v>
      </c>
      <c r="O85" s="959">
        <v>1370651.2574999998</v>
      </c>
      <c r="P85" s="850">
        <f t="shared" si="23"/>
        <v>1393404.0683744997</v>
      </c>
      <c r="Q85" s="918"/>
      <c r="R85" s="914"/>
      <c r="S85" s="918"/>
      <c r="T85" s="918"/>
      <c r="U85" s="914"/>
      <c r="V85" s="681"/>
      <c r="W85" s="918"/>
      <c r="X85" s="914"/>
      <c r="Y85" s="681"/>
    </row>
    <row r="86" spans="1:25" x14ac:dyDescent="0.2">
      <c r="A86" s="908">
        <f t="shared" si="10"/>
        <v>60</v>
      </c>
      <c r="C86" s="892" t="str">
        <f t="shared" ref="C86:C90" si="28">C58</f>
        <v>May</v>
      </c>
      <c r="D86" s="893">
        <v>2013</v>
      </c>
      <c r="E86" s="920">
        <v>6849400.217083334</v>
      </c>
      <c r="F86" s="920">
        <v>162957.13</v>
      </c>
      <c r="G86" s="912">
        <f t="shared" si="19"/>
        <v>501483.23153125006</v>
      </c>
      <c r="H86" s="850">
        <f t="shared" si="20"/>
        <v>575034.1054891668</v>
      </c>
      <c r="I86" s="912">
        <f t="shared" si="24"/>
        <v>6612892.2131254179</v>
      </c>
      <c r="J86" s="912">
        <f t="shared" si="21"/>
        <v>198386.76639376252</v>
      </c>
      <c r="K86" s="850">
        <f t="shared" si="26"/>
        <v>161720542.64634493</v>
      </c>
      <c r="L86" s="850">
        <f t="shared" si="25"/>
        <v>320740.43853449338</v>
      </c>
      <c r="M86" s="850">
        <f t="shared" si="27"/>
        <v>2704304.0526231308</v>
      </c>
      <c r="N86" s="850">
        <f t="shared" si="22"/>
        <v>159016238.59372181</v>
      </c>
      <c r="O86" s="959">
        <v>1370651.2574999998</v>
      </c>
      <c r="P86" s="850">
        <f t="shared" si="23"/>
        <v>1393404.0683744997</v>
      </c>
      <c r="Q86" s="918"/>
      <c r="R86" s="914"/>
      <c r="S86" s="918"/>
      <c r="T86" s="918"/>
      <c r="U86" s="914"/>
      <c r="V86" s="681"/>
      <c r="W86" s="918"/>
      <c r="X86" s="914"/>
      <c r="Y86" s="681"/>
    </row>
    <row r="87" spans="1:25" x14ac:dyDescent="0.2">
      <c r="A87" s="908">
        <f t="shared" si="10"/>
        <v>61</v>
      </c>
      <c r="C87" s="892" t="str">
        <f t="shared" si="28"/>
        <v xml:space="preserve">June </v>
      </c>
      <c r="D87" s="893">
        <v>2013</v>
      </c>
      <c r="E87" s="920">
        <v>26282227.378383316</v>
      </c>
      <c r="F87" s="920">
        <v>10902610.011299985</v>
      </c>
      <c r="G87" s="912">
        <f t="shared" si="19"/>
        <v>1153471.3025312498</v>
      </c>
      <c r="H87" s="850">
        <f t="shared" si="20"/>
        <v>1322647.0935691665</v>
      </c>
      <c r="I87" s="912">
        <f t="shared" si="24"/>
        <v>15210441.576045414</v>
      </c>
      <c r="J87" s="912">
        <f t="shared" si="21"/>
        <v>456313.24728136242</v>
      </c>
      <c r="K87" s="850">
        <f t="shared" si="26"/>
        <v>188289907.48097172</v>
      </c>
      <c r="L87" s="850">
        <f t="shared" si="25"/>
        <v>335195.83716901869</v>
      </c>
      <c r="M87" s="850">
        <f t="shared" si="27"/>
        <v>3039499.8897921494</v>
      </c>
      <c r="N87" s="850">
        <f t="shared" si="22"/>
        <v>185250407.59117958</v>
      </c>
      <c r="O87" s="959">
        <v>15230499.823399985</v>
      </c>
      <c r="P87" s="850">
        <f t="shared" si="23"/>
        <v>15483326.120468425</v>
      </c>
      <c r="Q87" s="918"/>
      <c r="R87" s="914"/>
      <c r="S87" s="918"/>
      <c r="T87" s="918"/>
      <c r="U87" s="914"/>
      <c r="V87" s="681"/>
      <c r="W87" s="918"/>
      <c r="X87" s="914"/>
      <c r="Y87" s="681"/>
    </row>
    <row r="88" spans="1:25" x14ac:dyDescent="0.2">
      <c r="A88" s="908">
        <f t="shared" si="10"/>
        <v>62</v>
      </c>
      <c r="C88" s="892" t="str">
        <f t="shared" si="28"/>
        <v>July</v>
      </c>
      <c r="D88" s="893">
        <v>2013</v>
      </c>
      <c r="E88" s="920">
        <v>1359423.0870833334</v>
      </c>
      <c r="F88" s="920">
        <v>0</v>
      </c>
      <c r="G88" s="912">
        <f t="shared" si="19"/>
        <v>101956.73153125</v>
      </c>
      <c r="H88" s="850">
        <f t="shared" si="20"/>
        <v>116910.38548916669</v>
      </c>
      <c r="I88" s="912">
        <f t="shared" si="24"/>
        <v>1344469.4331254167</v>
      </c>
      <c r="J88" s="912">
        <f t="shared" si="21"/>
        <v>40334.082993762502</v>
      </c>
      <c r="K88" s="850">
        <f t="shared" si="26"/>
        <v>189674710.99709091</v>
      </c>
      <c r="L88" s="850">
        <f t="shared" si="25"/>
        <v>390265.776603167</v>
      </c>
      <c r="M88" s="850">
        <f t="shared" si="27"/>
        <v>3429765.6663953164</v>
      </c>
      <c r="N88" s="850">
        <f t="shared" si="22"/>
        <v>186244945.3306956</v>
      </c>
      <c r="O88" s="959">
        <v>15230499.823399985</v>
      </c>
      <c r="P88" s="850">
        <f t="shared" si="23"/>
        <v>15483326.120468425</v>
      </c>
      <c r="Q88" s="918"/>
      <c r="R88" s="914"/>
      <c r="S88" s="918"/>
      <c r="T88" s="918"/>
      <c r="U88" s="914"/>
      <c r="V88" s="681"/>
      <c r="W88" s="918"/>
      <c r="X88" s="914"/>
      <c r="Y88" s="681"/>
    </row>
    <row r="89" spans="1:25" x14ac:dyDescent="0.2">
      <c r="A89" s="908">
        <f t="shared" si="10"/>
        <v>63</v>
      </c>
      <c r="C89" s="892" t="str">
        <f t="shared" si="28"/>
        <v>August</v>
      </c>
      <c r="D89" s="893">
        <v>2013</v>
      </c>
      <c r="E89" s="920">
        <v>2892416.5135833346</v>
      </c>
      <c r="F89" s="920">
        <v>871973.42650000099</v>
      </c>
      <c r="G89" s="912">
        <f t="shared" si="19"/>
        <v>151533.23153125003</v>
      </c>
      <c r="H89" s="850">
        <f t="shared" si="20"/>
        <v>173758.10548916669</v>
      </c>
      <c r="I89" s="912">
        <f t="shared" si="24"/>
        <v>1998218.2131254168</v>
      </c>
      <c r="J89" s="912">
        <f t="shared" si="21"/>
        <v>59946.546393762503</v>
      </c>
      <c r="K89" s="850">
        <f t="shared" si="26"/>
        <v>192604849.18311006</v>
      </c>
      <c r="L89" s="850">
        <f t="shared" si="25"/>
        <v>393136.0388858954</v>
      </c>
      <c r="M89" s="850">
        <f t="shared" si="27"/>
        <v>3822901.705281212</v>
      </c>
      <c r="N89" s="850">
        <f t="shared" si="22"/>
        <v>188781947.47782886</v>
      </c>
      <c r="O89" s="959">
        <v>15230499.823399985</v>
      </c>
      <c r="P89" s="850">
        <f t="shared" si="23"/>
        <v>15483326.120468425</v>
      </c>
      <c r="Q89" s="918"/>
      <c r="R89" s="914"/>
      <c r="S89" s="918"/>
      <c r="T89" s="918"/>
      <c r="U89" s="914"/>
      <c r="V89" s="681"/>
      <c r="W89" s="918"/>
      <c r="X89" s="914"/>
      <c r="Y89" s="681"/>
    </row>
    <row r="90" spans="1:25" x14ac:dyDescent="0.2">
      <c r="A90" s="908">
        <f t="shared" si="10"/>
        <v>64</v>
      </c>
      <c r="C90" s="892" t="str">
        <f t="shared" si="28"/>
        <v>September</v>
      </c>
      <c r="D90" s="893">
        <v>2013</v>
      </c>
      <c r="E90" s="920">
        <v>645443.08708333352</v>
      </c>
      <c r="F90" s="920">
        <v>0</v>
      </c>
      <c r="G90" s="912">
        <f t="shared" si="19"/>
        <v>48408.231531250014</v>
      </c>
      <c r="H90" s="850">
        <f t="shared" si="20"/>
        <v>55508.105489166686</v>
      </c>
      <c r="I90" s="912">
        <f t="shared" si="24"/>
        <v>638343.21312541689</v>
      </c>
      <c r="J90" s="912">
        <f t="shared" si="21"/>
        <v>19150.296393762506</v>
      </c>
      <c r="K90" s="850">
        <f t="shared" si="26"/>
        <v>193262342.69262922</v>
      </c>
      <c r="L90" s="850">
        <f t="shared" si="25"/>
        <v>399209.29405936733</v>
      </c>
      <c r="M90" s="850">
        <f t="shared" si="27"/>
        <v>4222110.9993405789</v>
      </c>
      <c r="N90" s="850">
        <f t="shared" si="22"/>
        <v>189040231.69328862</v>
      </c>
      <c r="O90" s="959">
        <v>15230499.823399985</v>
      </c>
      <c r="P90" s="850">
        <f t="shared" si="23"/>
        <v>15483326.120468425</v>
      </c>
      <c r="Q90" s="918"/>
      <c r="R90" s="914"/>
      <c r="S90" s="918"/>
      <c r="T90" s="918"/>
      <c r="U90" s="914"/>
      <c r="V90" s="681"/>
      <c r="W90" s="918"/>
      <c r="X90" s="914"/>
      <c r="Y90" s="681"/>
    </row>
    <row r="91" spans="1:25" x14ac:dyDescent="0.2">
      <c r="A91" s="908"/>
      <c r="O91" s="914"/>
    </row>
    <row r="92" spans="1:25" x14ac:dyDescent="0.2">
      <c r="A92" s="908"/>
      <c r="B92" s="852" t="s">
        <v>2591</v>
      </c>
      <c r="G92" s="853"/>
    </row>
    <row r="93" spans="1:25" x14ac:dyDescent="0.2">
      <c r="A93" s="910" t="s">
        <v>369</v>
      </c>
      <c r="B93" s="853"/>
      <c r="F93" s="962"/>
    </row>
    <row r="94" spans="1:25" x14ac:dyDescent="0.2">
      <c r="A94" s="908">
        <f>A90+1</f>
        <v>65</v>
      </c>
      <c r="C94" s="921" t="s">
        <v>2583</v>
      </c>
      <c r="E94" s="922">
        <v>7.4999999999999997E-2</v>
      </c>
    </row>
    <row r="96" spans="1:25" x14ac:dyDescent="0.2">
      <c r="A96" s="908"/>
      <c r="B96" s="852" t="s">
        <v>2593</v>
      </c>
    </row>
    <row r="97" spans="1:9" x14ac:dyDescent="0.2">
      <c r="A97" s="910" t="s">
        <v>369</v>
      </c>
      <c r="F97" s="962"/>
    </row>
    <row r="98" spans="1:9" x14ac:dyDescent="0.2">
      <c r="A98" s="908">
        <f>A94+1</f>
        <v>66</v>
      </c>
      <c r="B98" s="852"/>
      <c r="C98" s="849" t="s">
        <v>2584</v>
      </c>
      <c r="E98" s="922">
        <v>0.08</v>
      </c>
    </row>
    <row r="99" spans="1:9" x14ac:dyDescent="0.2">
      <c r="A99" s="908"/>
      <c r="B99" s="853"/>
      <c r="C99" s="849"/>
    </row>
    <row r="100" spans="1:9" x14ac:dyDescent="0.2">
      <c r="B100" s="852" t="s">
        <v>2594</v>
      </c>
    </row>
    <row r="101" spans="1:9" x14ac:dyDescent="0.2">
      <c r="A101" s="910" t="s">
        <v>369</v>
      </c>
      <c r="B101" s="853"/>
      <c r="F101" s="962"/>
    </row>
    <row r="102" spans="1:9" x14ac:dyDescent="0.2">
      <c r="A102" s="908">
        <f>A98+1</f>
        <v>67</v>
      </c>
      <c r="C102" s="849" t="s">
        <v>2585</v>
      </c>
      <c r="E102" s="922">
        <v>0.03</v>
      </c>
    </row>
    <row r="104" spans="1:9" x14ac:dyDescent="0.2">
      <c r="B104" s="852" t="s">
        <v>2592</v>
      </c>
    </row>
    <row r="105" spans="1:9" s="904" customFormat="1" x14ac:dyDescent="0.2">
      <c r="C105" s="916" t="s">
        <v>2647</v>
      </c>
      <c r="F105" s="923"/>
    </row>
    <row r="106" spans="1:9" s="908" customFormat="1" x14ac:dyDescent="0.2">
      <c r="B106" s="904" t="s">
        <v>403</v>
      </c>
      <c r="C106" s="904" t="s">
        <v>387</v>
      </c>
      <c r="D106" s="904" t="s">
        <v>388</v>
      </c>
      <c r="E106" s="904" t="s">
        <v>389</v>
      </c>
      <c r="F106" s="904"/>
    </row>
    <row r="107" spans="1:9" s="904" customFormat="1" x14ac:dyDescent="0.2">
      <c r="B107" s="911"/>
      <c r="C107" s="909" t="s">
        <v>208</v>
      </c>
      <c r="D107" s="911"/>
      <c r="E107" s="1072" t="s">
        <v>2586</v>
      </c>
      <c r="F107" s="911"/>
    </row>
    <row r="108" spans="1:9" x14ac:dyDescent="0.2">
      <c r="A108" s="908"/>
      <c r="B108" s="909"/>
      <c r="C108" s="909" t="str">
        <f>"Prior Year"</f>
        <v>Prior Year</v>
      </c>
      <c r="D108" s="909" t="s">
        <v>2587</v>
      </c>
      <c r="E108" s="909" t="s">
        <v>1652</v>
      </c>
      <c r="F108" s="909" t="s">
        <v>2859</v>
      </c>
    </row>
    <row r="109" spans="1:9" x14ac:dyDescent="0.2">
      <c r="A109" s="904" t="s">
        <v>369</v>
      </c>
      <c r="B109" s="911" t="s">
        <v>2484</v>
      </c>
      <c r="C109" s="911" t="s">
        <v>2588</v>
      </c>
      <c r="D109" s="911" t="s">
        <v>13</v>
      </c>
      <c r="E109" s="911" t="s">
        <v>2587</v>
      </c>
      <c r="F109" s="129" t="s">
        <v>233</v>
      </c>
    </row>
    <row r="110" spans="1:9" x14ac:dyDescent="0.2">
      <c r="A110" s="908">
        <f>A102+1</f>
        <v>68</v>
      </c>
      <c r="B110" s="909">
        <v>350.1</v>
      </c>
      <c r="C110" s="1073">
        <f>'17-Depreciation'!C24</f>
        <v>74607469.009499431</v>
      </c>
      <c r="D110" s="1074">
        <f>'18-DepRates'!G6</f>
        <v>0</v>
      </c>
      <c r="E110" s="1075">
        <f>C110*D110</f>
        <v>0</v>
      </c>
      <c r="F110" s="1076" t="s">
        <v>2860</v>
      </c>
      <c r="H110" s="963"/>
      <c r="I110" s="961"/>
    </row>
    <row r="111" spans="1:9" x14ac:dyDescent="0.2">
      <c r="A111" s="908">
        <f>A110+1</f>
        <v>69</v>
      </c>
      <c r="B111" s="909">
        <v>350.2</v>
      </c>
      <c r="C111" s="1073">
        <f>'17-Depreciation'!D24</f>
        <v>82090980.758505225</v>
      </c>
      <c r="D111" s="1074">
        <f>'18-DepRates'!G7</f>
        <v>1.66E-2</v>
      </c>
      <c r="E111" s="1075">
        <f t="shared" ref="E111:E119" si="29">C111*D111</f>
        <v>1362710.2805911868</v>
      </c>
      <c r="F111" s="1076" t="s">
        <v>2861</v>
      </c>
      <c r="H111" s="963"/>
      <c r="I111" s="961"/>
    </row>
    <row r="112" spans="1:9" x14ac:dyDescent="0.2">
      <c r="A112" s="908">
        <f t="shared" ref="A112:A124" si="30">A111+1</f>
        <v>70</v>
      </c>
      <c r="B112" s="909">
        <v>352</v>
      </c>
      <c r="C112" s="1073">
        <f>'17-Depreciation'!E24</f>
        <v>170948030</v>
      </c>
      <c r="D112" s="1074">
        <f>'18-DepRates'!G8</f>
        <v>2.5700000000000001E-2</v>
      </c>
      <c r="E112" s="1075">
        <f t="shared" si="29"/>
        <v>4393364.3710000003</v>
      </c>
      <c r="F112" s="1076" t="s">
        <v>2862</v>
      </c>
      <c r="H112" s="963"/>
      <c r="I112" s="961"/>
    </row>
    <row r="113" spans="1:9" x14ac:dyDescent="0.2">
      <c r="A113" s="908">
        <f t="shared" si="30"/>
        <v>71</v>
      </c>
      <c r="B113" s="909">
        <v>353</v>
      </c>
      <c r="C113" s="1073">
        <f>'17-Depreciation'!F24</f>
        <v>1756511619</v>
      </c>
      <c r="D113" s="1074">
        <f>'18-DepRates'!G9</f>
        <v>2.47E-2</v>
      </c>
      <c r="E113" s="1075">
        <f t="shared" si="29"/>
        <v>43385836.989299998</v>
      </c>
      <c r="F113" s="1076" t="s">
        <v>2863</v>
      </c>
      <c r="H113" s="963"/>
      <c r="I113" s="961"/>
    </row>
    <row r="114" spans="1:9" x14ac:dyDescent="0.2">
      <c r="A114" s="908">
        <f t="shared" si="30"/>
        <v>72</v>
      </c>
      <c r="B114" s="909">
        <v>354</v>
      </c>
      <c r="C114" s="1073">
        <f>'17-Depreciation'!G24</f>
        <v>550516805</v>
      </c>
      <c r="D114" s="1074">
        <f>'18-DepRates'!G10</f>
        <v>2.4400000000000002E-2</v>
      </c>
      <c r="E114" s="1075">
        <f t="shared" si="29"/>
        <v>13432610.042000001</v>
      </c>
      <c r="F114" s="1076" t="s">
        <v>2864</v>
      </c>
      <c r="H114" s="963"/>
      <c r="I114" s="961"/>
    </row>
    <row r="115" spans="1:9" x14ac:dyDescent="0.2">
      <c r="A115" s="908">
        <f t="shared" si="30"/>
        <v>73</v>
      </c>
      <c r="B115" s="909">
        <v>355</v>
      </c>
      <c r="C115" s="1073">
        <f>'17-Depreciation'!H24</f>
        <v>132075054</v>
      </c>
      <c r="D115" s="1074">
        <f>'18-DepRates'!G11</f>
        <v>3.6700000000000003E-2</v>
      </c>
      <c r="E115" s="1075">
        <f t="shared" si="29"/>
        <v>4847154.4818000002</v>
      </c>
      <c r="F115" s="1076" t="s">
        <v>2865</v>
      </c>
      <c r="H115" s="963"/>
      <c r="I115" s="961"/>
    </row>
    <row r="116" spans="1:9" x14ac:dyDescent="0.2">
      <c r="A116" s="908">
        <f t="shared" si="30"/>
        <v>74</v>
      </c>
      <c r="B116" s="909">
        <v>356</v>
      </c>
      <c r="C116" s="1073">
        <f>'17-Depreciation'!I24</f>
        <v>421892563</v>
      </c>
      <c r="D116" s="1074">
        <f>'18-DepRates'!G12</f>
        <v>3.0499999999999999E-2</v>
      </c>
      <c r="E116" s="1075">
        <f t="shared" si="29"/>
        <v>12867723.171499999</v>
      </c>
      <c r="F116" s="1076" t="s">
        <v>2866</v>
      </c>
      <c r="H116" s="963"/>
      <c r="I116" s="961"/>
    </row>
    <row r="117" spans="1:9" x14ac:dyDescent="0.2">
      <c r="A117" s="908">
        <f t="shared" si="30"/>
        <v>75</v>
      </c>
      <c r="B117" s="909">
        <v>357</v>
      </c>
      <c r="C117" s="1073">
        <f>'17-Depreciation'!J24</f>
        <v>558943</v>
      </c>
      <c r="D117" s="1074">
        <f>'18-DepRates'!G13</f>
        <v>1.6500000000000001E-2</v>
      </c>
      <c r="E117" s="1075">
        <f t="shared" si="29"/>
        <v>9222.5595000000012</v>
      </c>
      <c r="F117" s="1076" t="s">
        <v>2867</v>
      </c>
      <c r="H117" s="963"/>
      <c r="I117" s="961"/>
    </row>
    <row r="118" spans="1:9" x14ac:dyDescent="0.2">
      <c r="A118" s="908">
        <f t="shared" si="30"/>
        <v>76</v>
      </c>
      <c r="B118" s="909">
        <v>358</v>
      </c>
      <c r="C118" s="1073">
        <f>'17-Depreciation'!K24</f>
        <v>3408604</v>
      </c>
      <c r="D118" s="1074">
        <f>'18-DepRates'!G14</f>
        <v>3.8699999999999998E-2</v>
      </c>
      <c r="E118" s="1075">
        <f t="shared" si="29"/>
        <v>131912.9748</v>
      </c>
      <c r="F118" s="1076" t="s">
        <v>2868</v>
      </c>
      <c r="H118" s="963"/>
      <c r="I118" s="961"/>
    </row>
    <row r="119" spans="1:9" x14ac:dyDescent="0.2">
      <c r="A119" s="908">
        <f t="shared" si="30"/>
        <v>77</v>
      </c>
      <c r="B119" s="909">
        <v>359</v>
      </c>
      <c r="C119" s="1073">
        <f>'17-Depreciation'!L24</f>
        <v>110352407</v>
      </c>
      <c r="D119" s="1074">
        <f>'18-DepRates'!G15</f>
        <v>1.5599999999999999E-2</v>
      </c>
      <c r="E119" s="1075">
        <f t="shared" si="29"/>
        <v>1721497.5492</v>
      </c>
      <c r="F119" s="1076" t="s">
        <v>2869</v>
      </c>
      <c r="H119" s="963"/>
      <c r="I119" s="961"/>
    </row>
    <row r="120" spans="1:9" x14ac:dyDescent="0.2">
      <c r="A120" s="908">
        <f t="shared" si="30"/>
        <v>78</v>
      </c>
    </row>
    <row r="121" spans="1:9" x14ac:dyDescent="0.2">
      <c r="A121" s="908">
        <f t="shared" si="30"/>
        <v>79</v>
      </c>
      <c r="C121" s="924" t="s">
        <v>2589</v>
      </c>
      <c r="E121" s="964">
        <f>SUM(E110:E119)</f>
        <v>82152032.41969119</v>
      </c>
      <c r="F121" s="901" t="str">
        <f>"Sum of C"&amp;RIGHT(E106)&amp;" Lines "&amp;A110&amp;" to "&amp;A119</f>
        <v>Sum of C4 Lines 68 to 77</v>
      </c>
    </row>
    <row r="122" spans="1:9" x14ac:dyDescent="0.2">
      <c r="A122" s="908">
        <f t="shared" si="30"/>
        <v>80</v>
      </c>
      <c r="C122" s="901" t="str">
        <f>"Sum of Dec Prior Year Plant"</f>
        <v>Sum of Dec Prior Year Plant</v>
      </c>
      <c r="E122" s="965">
        <f>SUM(C110:C119)</f>
        <v>3302962474.7680044</v>
      </c>
      <c r="F122" s="901" t="str">
        <f>"Sum of C"&amp;RIGHT(C106)&amp;" Lines "&amp;A110&amp;" to "&amp;A119</f>
        <v>Sum of C2 Lines 68 to 77</v>
      </c>
    </row>
    <row r="123" spans="1:9" x14ac:dyDescent="0.2">
      <c r="A123" s="908">
        <f t="shared" si="30"/>
        <v>81</v>
      </c>
    </row>
    <row r="124" spans="1:9" x14ac:dyDescent="0.2">
      <c r="A124" s="908">
        <f t="shared" si="30"/>
        <v>82</v>
      </c>
      <c r="C124" s="901" t="s">
        <v>2590</v>
      </c>
      <c r="E124" s="925">
        <f>E121/E122</f>
        <v>2.4872226992364313E-2</v>
      </c>
      <c r="F124" s="901" t="str">
        <f>"Line "&amp;A121&amp;" / Line "&amp;A122</f>
        <v>Line 79 / Line 80</v>
      </c>
    </row>
    <row r="125" spans="1:9" x14ac:dyDescent="0.2">
      <c r="A125" s="908"/>
    </row>
    <row r="126" spans="1:9" x14ac:dyDescent="0.2">
      <c r="A126" s="908"/>
      <c r="B126" s="900" t="s">
        <v>265</v>
      </c>
      <c r="C126"/>
      <c r="D126"/>
      <c r="E126"/>
      <c r="F126"/>
      <c r="G126"/>
      <c r="H126"/>
      <c r="I126"/>
    </row>
    <row r="127" spans="1:9" x14ac:dyDescent="0.2">
      <c r="A127" s="908"/>
      <c r="B127" s="895" t="s">
        <v>2147</v>
      </c>
      <c r="C127" s="932"/>
      <c r="D127" s="932"/>
      <c r="E127" s="932"/>
      <c r="F127" s="932"/>
      <c r="G127" s="932"/>
      <c r="H127" s="932"/>
      <c r="I127" s="932"/>
    </row>
    <row r="128" spans="1:9" x14ac:dyDescent="0.2">
      <c r="A128" s="908"/>
      <c r="B128" s="895" t="s">
        <v>2648</v>
      </c>
      <c r="C128"/>
      <c r="D128"/>
      <c r="E128"/>
      <c r="F128"/>
      <c r="G128"/>
      <c r="H128"/>
      <c r="I128"/>
    </row>
    <row r="129" spans="1:1" x14ac:dyDescent="0.2">
      <c r="A129" s="908"/>
    </row>
    <row r="130" spans="1:1" x14ac:dyDescent="0.2">
      <c r="A130" s="908"/>
    </row>
    <row r="131" spans="1:1" x14ac:dyDescent="0.2">
      <c r="A131" s="908"/>
    </row>
    <row r="132" spans="1:1" x14ac:dyDescent="0.2">
      <c r="A132" s="908"/>
    </row>
    <row r="133" spans="1:1" x14ac:dyDescent="0.2">
      <c r="A133" s="908"/>
    </row>
    <row r="134" spans="1:1" x14ac:dyDescent="0.2">
      <c r="A134" s="908"/>
    </row>
    <row r="135" spans="1:1" x14ac:dyDescent="0.2">
      <c r="A135" s="908"/>
    </row>
    <row r="136" spans="1:1" x14ac:dyDescent="0.2">
      <c r="A136" s="908"/>
    </row>
    <row r="137" spans="1:1" x14ac:dyDescent="0.2">
      <c r="A137" s="908"/>
    </row>
    <row r="138" spans="1:1" x14ac:dyDescent="0.2">
      <c r="A138" s="908"/>
    </row>
    <row r="139" spans="1:1" x14ac:dyDescent="0.2">
      <c r="A139" s="908"/>
    </row>
    <row r="140" spans="1:1" x14ac:dyDescent="0.2">
      <c r="A140" s="908"/>
    </row>
    <row r="141" spans="1:1" x14ac:dyDescent="0.2">
      <c r="A141" s="908"/>
    </row>
    <row r="142" spans="1:1" x14ac:dyDescent="0.2">
      <c r="A142" s="908"/>
    </row>
    <row r="143" spans="1:1" x14ac:dyDescent="0.2">
      <c r="A143" s="908"/>
    </row>
    <row r="144" spans="1:1" x14ac:dyDescent="0.2">
      <c r="A144" s="908"/>
    </row>
    <row r="145" spans="1:1" x14ac:dyDescent="0.2">
      <c r="A145" s="908"/>
    </row>
    <row r="146" spans="1:1" x14ac:dyDescent="0.2">
      <c r="A146" s="908"/>
    </row>
    <row r="147" spans="1:1" x14ac:dyDescent="0.2">
      <c r="A147" s="908"/>
    </row>
    <row r="148" spans="1:1" x14ac:dyDescent="0.2">
      <c r="A148" s="908"/>
    </row>
    <row r="149" spans="1:1" x14ac:dyDescent="0.2">
      <c r="A149" s="908"/>
    </row>
    <row r="150" spans="1:1" x14ac:dyDescent="0.2">
      <c r="A150" s="908"/>
    </row>
    <row r="151" spans="1:1" x14ac:dyDescent="0.2">
      <c r="A151" s="908"/>
    </row>
    <row r="152" spans="1:1" x14ac:dyDescent="0.2">
      <c r="A152" s="908"/>
    </row>
    <row r="153" spans="1:1" x14ac:dyDescent="0.2">
      <c r="A153" s="908"/>
    </row>
    <row r="154" spans="1:1" x14ac:dyDescent="0.2">
      <c r="A154" s="908"/>
    </row>
    <row r="155" spans="1:1" x14ac:dyDescent="0.2">
      <c r="A155" s="908"/>
    </row>
    <row r="156" spans="1:1" x14ac:dyDescent="0.2">
      <c r="A156" s="908"/>
    </row>
    <row r="157" spans="1:1" x14ac:dyDescent="0.2">
      <c r="A157" s="908"/>
    </row>
    <row r="158" spans="1:1" x14ac:dyDescent="0.2">
      <c r="A158" s="908"/>
    </row>
    <row r="159" spans="1:1" x14ac:dyDescent="0.2">
      <c r="A159" s="908"/>
    </row>
    <row r="160" spans="1:1" x14ac:dyDescent="0.2">
      <c r="A160" s="908"/>
    </row>
    <row r="161" spans="1:1" x14ac:dyDescent="0.2">
      <c r="A161" s="908"/>
    </row>
    <row r="162" spans="1:1" x14ac:dyDescent="0.2">
      <c r="A162" s="908"/>
    </row>
    <row r="163" spans="1:1" x14ac:dyDescent="0.2">
      <c r="A163" s="908"/>
    </row>
    <row r="164" spans="1:1" x14ac:dyDescent="0.2">
      <c r="A164" s="908"/>
    </row>
    <row r="165" spans="1:1" x14ac:dyDescent="0.2">
      <c r="A165" s="908"/>
    </row>
    <row r="166" spans="1:1" x14ac:dyDescent="0.2">
      <c r="A166" s="908"/>
    </row>
    <row r="167" spans="1:1" x14ac:dyDescent="0.2">
      <c r="A167" s="908"/>
    </row>
    <row r="168" spans="1:1" x14ac:dyDescent="0.2">
      <c r="A168" s="908"/>
    </row>
    <row r="169" spans="1:1" x14ac:dyDescent="0.2">
      <c r="A169" s="908"/>
    </row>
    <row r="170" spans="1:1" x14ac:dyDescent="0.2">
      <c r="A170" s="908"/>
    </row>
    <row r="171" spans="1:1" x14ac:dyDescent="0.2">
      <c r="A171" s="908"/>
    </row>
    <row r="172" spans="1:1" x14ac:dyDescent="0.2">
      <c r="A172" s="908"/>
    </row>
    <row r="173" spans="1:1" x14ac:dyDescent="0.2">
      <c r="A173" s="908"/>
    </row>
    <row r="174" spans="1:1" x14ac:dyDescent="0.2">
      <c r="A174" s="908"/>
    </row>
    <row r="175" spans="1:1" x14ac:dyDescent="0.2">
      <c r="A175" s="908"/>
    </row>
    <row r="176" spans="1:1" x14ac:dyDescent="0.2">
      <c r="A176" s="908"/>
    </row>
    <row r="177" spans="1:1" x14ac:dyDescent="0.2">
      <c r="A177" s="908"/>
    </row>
    <row r="178" spans="1:1" x14ac:dyDescent="0.2">
      <c r="A178" s="908"/>
    </row>
    <row r="179" spans="1:1" x14ac:dyDescent="0.2">
      <c r="A179" s="908"/>
    </row>
    <row r="180" spans="1:1" x14ac:dyDescent="0.2">
      <c r="A180" s="908"/>
    </row>
    <row r="181" spans="1:1" x14ac:dyDescent="0.2">
      <c r="A181" s="908"/>
    </row>
    <row r="182" spans="1:1" x14ac:dyDescent="0.2">
      <c r="A182" s="908"/>
    </row>
    <row r="183" spans="1:1" x14ac:dyDescent="0.2">
      <c r="A183" s="908"/>
    </row>
    <row r="184" spans="1:1" x14ac:dyDescent="0.2">
      <c r="A184" s="908"/>
    </row>
    <row r="185" spans="1:1" x14ac:dyDescent="0.2">
      <c r="A185" s="908"/>
    </row>
    <row r="186" spans="1:1" x14ac:dyDescent="0.2">
      <c r="A186" s="908"/>
    </row>
    <row r="187" spans="1:1" x14ac:dyDescent="0.2">
      <c r="A187" s="908"/>
    </row>
    <row r="188" spans="1:1" x14ac:dyDescent="0.2">
      <c r="A188" s="908"/>
    </row>
    <row r="189" spans="1:1" x14ac:dyDescent="0.2">
      <c r="A189" s="908"/>
    </row>
    <row r="190" spans="1:1" x14ac:dyDescent="0.2">
      <c r="A190" s="908"/>
    </row>
    <row r="191" spans="1:1" x14ac:dyDescent="0.2">
      <c r="A191" s="908"/>
    </row>
    <row r="192" spans="1:1" x14ac:dyDescent="0.2">
      <c r="A192" s="908"/>
    </row>
    <row r="193" spans="1:1" x14ac:dyDescent="0.2">
      <c r="A193" s="908"/>
    </row>
    <row r="194" spans="1:1" x14ac:dyDescent="0.2">
      <c r="A194" s="908"/>
    </row>
    <row r="195" spans="1:1" x14ac:dyDescent="0.2">
      <c r="A195" s="908"/>
    </row>
  </sheetData>
  <pageMargins left="0.7" right="0.7" top="0.75" bottom="0.75" header="0.3" footer="0.3"/>
  <pageSetup scale="55" orientation="landscape" cellComments="asDisplayed" r:id="rId1"/>
  <headerFooter>
    <oddHeader>&amp;CSchedule 16
Plant Additions
&amp;"Arial,Bold"Exhibit G-2</oddHeader>
    <oddFooter>&amp;R16-PlantAdditions</oddFooter>
  </headerFooter>
  <rowBreaks count="1" manualBreakCount="1">
    <brk id="63"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7"/>
  <sheetViews>
    <sheetView zoomScale="75" zoomScaleNormal="75" workbookViewId="0"/>
  </sheetViews>
  <sheetFormatPr defaultRowHeight="12.75" x14ac:dyDescent="0.2"/>
  <cols>
    <col min="1" max="1" width="4.7109375" customWidth="1"/>
    <col min="3" max="13" width="14.7109375" customWidth="1"/>
  </cols>
  <sheetData>
    <row r="1" spans="1:13" x14ac:dyDescent="0.2">
      <c r="A1" s="1" t="s">
        <v>285</v>
      </c>
      <c r="B1" s="238"/>
      <c r="C1" s="238"/>
      <c r="D1" s="238"/>
      <c r="E1" s="238"/>
      <c r="F1" s="238"/>
      <c r="G1" s="238"/>
      <c r="H1" s="238"/>
      <c r="I1" s="732" t="s">
        <v>506</v>
      </c>
      <c r="J1" s="191"/>
      <c r="K1" s="238"/>
      <c r="L1" s="238"/>
      <c r="M1" s="238"/>
    </row>
    <row r="2" spans="1:13" x14ac:dyDescent="0.2">
      <c r="A2" s="238"/>
      <c r="B2" s="238"/>
      <c r="C2" s="238"/>
      <c r="D2" s="238"/>
      <c r="E2" s="238"/>
      <c r="F2" s="238"/>
      <c r="G2" s="238"/>
      <c r="H2" s="238"/>
      <c r="K2" s="238"/>
      <c r="L2" s="238"/>
      <c r="M2" s="238"/>
    </row>
    <row r="3" spans="1:13" x14ac:dyDescent="0.2">
      <c r="A3" s="238"/>
      <c r="B3" s="1" t="s">
        <v>1074</v>
      </c>
      <c r="C3" s="238"/>
      <c r="D3" s="238"/>
      <c r="E3" s="238"/>
      <c r="F3" s="238"/>
      <c r="G3" s="238"/>
      <c r="H3" s="248"/>
      <c r="I3" s="1024" t="s">
        <v>2246</v>
      </c>
      <c r="J3" s="1153">
        <v>2011</v>
      </c>
      <c r="K3" s="238"/>
      <c r="L3" s="238"/>
      <c r="M3" s="238"/>
    </row>
    <row r="4" spans="1:13" x14ac:dyDescent="0.2">
      <c r="A4" s="238"/>
      <c r="B4" s="238"/>
      <c r="C4" s="238"/>
      <c r="D4" s="238"/>
      <c r="E4" s="238"/>
      <c r="F4" s="238"/>
      <c r="G4" s="238"/>
      <c r="H4" s="248"/>
      <c r="I4" s="248"/>
      <c r="J4" s="238"/>
      <c r="K4" s="238"/>
      <c r="L4" s="238"/>
      <c r="M4" s="238"/>
    </row>
    <row r="5" spans="1:13" x14ac:dyDescent="0.2">
      <c r="A5" s="238"/>
      <c r="B5" s="626" t="s">
        <v>1077</v>
      </c>
      <c r="C5" s="238"/>
      <c r="D5" s="238"/>
      <c r="E5" s="238"/>
      <c r="F5" s="238"/>
      <c r="G5" s="238"/>
      <c r="H5" s="628" t="s">
        <v>2326</v>
      </c>
      <c r="I5" s="248"/>
      <c r="J5" s="238"/>
      <c r="K5" s="238"/>
      <c r="L5" s="238"/>
      <c r="M5" s="238"/>
    </row>
    <row r="6" spans="1:13" x14ac:dyDescent="0.2">
      <c r="A6" s="238"/>
      <c r="B6" s="238"/>
      <c r="C6" s="238"/>
      <c r="D6" s="238"/>
      <c r="E6" s="238"/>
      <c r="F6" s="238"/>
      <c r="G6" s="238"/>
      <c r="H6" s="238"/>
      <c r="I6" s="238"/>
      <c r="J6" s="238"/>
      <c r="K6" s="238"/>
      <c r="L6" s="238"/>
      <c r="M6" s="238"/>
    </row>
    <row r="7" spans="1:13" x14ac:dyDescent="0.2">
      <c r="A7" s="238"/>
      <c r="B7" s="86" t="s">
        <v>403</v>
      </c>
      <c r="C7" s="86" t="s">
        <v>387</v>
      </c>
      <c r="D7" s="86" t="s">
        <v>388</v>
      </c>
      <c r="E7" s="86" t="s">
        <v>389</v>
      </c>
      <c r="F7" s="86" t="s">
        <v>390</v>
      </c>
      <c r="G7" s="86" t="s">
        <v>391</v>
      </c>
      <c r="H7" s="86" t="s">
        <v>392</v>
      </c>
      <c r="I7" s="86" t="s">
        <v>606</v>
      </c>
      <c r="J7" s="86" t="s">
        <v>1055</v>
      </c>
      <c r="K7" s="86" t="s">
        <v>1072</v>
      </c>
      <c r="L7" s="86" t="s">
        <v>1075</v>
      </c>
      <c r="M7" s="86" t="s">
        <v>1093</v>
      </c>
    </row>
    <row r="8" spans="1:13" x14ac:dyDescent="0.2">
      <c r="A8" s="238"/>
      <c r="B8" s="260"/>
      <c r="C8" s="238"/>
      <c r="D8" s="238"/>
      <c r="E8" s="238"/>
      <c r="F8" s="238"/>
      <c r="G8" s="238"/>
      <c r="H8" s="238"/>
      <c r="I8" s="238"/>
      <c r="J8" s="238"/>
      <c r="K8" s="238"/>
      <c r="L8" s="238"/>
      <c r="M8" s="238"/>
    </row>
    <row r="9" spans="1:13" x14ac:dyDescent="0.2">
      <c r="A9" s="238"/>
      <c r="B9" s="115"/>
      <c r="C9" s="733" t="s">
        <v>12</v>
      </c>
      <c r="D9" s="238"/>
      <c r="E9" s="238"/>
      <c r="F9" s="238"/>
      <c r="G9" s="238"/>
      <c r="H9" s="238"/>
      <c r="I9" s="238"/>
      <c r="J9" s="238"/>
      <c r="K9" s="238"/>
      <c r="L9" s="238"/>
      <c r="M9" s="238"/>
    </row>
    <row r="10" spans="1:13" x14ac:dyDescent="0.2">
      <c r="A10" s="238"/>
      <c r="B10" s="115"/>
      <c r="C10" s="733" t="s">
        <v>1073</v>
      </c>
      <c r="D10" s="238"/>
      <c r="E10" s="238"/>
      <c r="F10" s="238"/>
      <c r="G10" s="238"/>
      <c r="H10" s="238"/>
      <c r="I10" s="238"/>
      <c r="J10" s="238"/>
      <c r="K10" s="238"/>
      <c r="L10" s="238"/>
      <c r="M10" s="238"/>
    </row>
    <row r="11" spans="1:13" x14ac:dyDescent="0.2">
      <c r="A11" s="53" t="s">
        <v>369</v>
      </c>
      <c r="B11" s="129" t="s">
        <v>2295</v>
      </c>
      <c r="C11" s="86">
        <v>350.1</v>
      </c>
      <c r="D11" s="86">
        <v>350.2</v>
      </c>
      <c r="E11" s="86">
        <v>352</v>
      </c>
      <c r="F11" s="86">
        <v>353</v>
      </c>
      <c r="G11" s="86">
        <v>354</v>
      </c>
      <c r="H11" s="86">
        <v>355</v>
      </c>
      <c r="I11" s="86">
        <v>356</v>
      </c>
      <c r="J11" s="86">
        <v>357</v>
      </c>
      <c r="K11" s="86">
        <v>358</v>
      </c>
      <c r="L11" s="86">
        <v>359</v>
      </c>
      <c r="M11" s="3" t="s">
        <v>224</v>
      </c>
    </row>
    <row r="12" spans="1:13" x14ac:dyDescent="0.2">
      <c r="A12" s="811">
        <v>1</v>
      </c>
      <c r="B12" s="1006" t="s">
        <v>2907</v>
      </c>
      <c r="C12" s="240">
        <f>'6-PlantInService'!C11</f>
        <v>73238678.133749753</v>
      </c>
      <c r="D12" s="240">
        <f>'6-PlantInService'!D11</f>
        <v>80739599.943877995</v>
      </c>
      <c r="E12" s="240">
        <f>'6-PlantInService'!E11</f>
        <v>175457663</v>
      </c>
      <c r="F12" s="240">
        <f>'6-PlantInService'!F11</f>
        <v>1680213303</v>
      </c>
      <c r="G12" s="240">
        <f>'6-PlantInService'!G11</f>
        <v>625307190</v>
      </c>
      <c r="H12" s="240">
        <f>'6-PlantInService'!H11</f>
        <v>113770199</v>
      </c>
      <c r="I12" s="240">
        <f>'6-PlantInService'!I11</f>
        <v>422173397</v>
      </c>
      <c r="J12" s="240">
        <f>'6-PlantInService'!J11</f>
        <v>284096</v>
      </c>
      <c r="K12" s="240">
        <f>'6-PlantInService'!K11</f>
        <v>2302928</v>
      </c>
      <c r="L12" s="240">
        <f>'6-PlantInService'!L11</f>
        <v>28619068</v>
      </c>
      <c r="M12" s="240">
        <f>'6-PlantInService'!M11</f>
        <v>3202106122.0776277</v>
      </c>
    </row>
    <row r="13" spans="1:13" x14ac:dyDescent="0.2">
      <c r="A13" s="811">
        <f>A12+1</f>
        <v>2</v>
      </c>
      <c r="B13" s="1007" t="s">
        <v>2908</v>
      </c>
      <c r="C13" s="240">
        <f>'6-PlantInService'!C12</f>
        <v>73457066.593749762</v>
      </c>
      <c r="D13" s="240">
        <f>'6-PlantInService'!D12</f>
        <v>80546971.169541121</v>
      </c>
      <c r="E13" s="240">
        <f>'6-PlantInService'!E12</f>
        <v>175531481.41356131</v>
      </c>
      <c r="F13" s="240">
        <f>'6-PlantInService'!F12</f>
        <v>1682797635.0329154</v>
      </c>
      <c r="G13" s="240">
        <f>'6-PlantInService'!G12</f>
        <v>567348227.32210553</v>
      </c>
      <c r="H13" s="240">
        <f>'6-PlantInService'!H12</f>
        <v>113938318.92202199</v>
      </c>
      <c r="I13" s="240">
        <f>'6-PlantInService'!I12</f>
        <v>481950573.18677878</v>
      </c>
      <c r="J13" s="240">
        <f>'6-PlantInService'!J12</f>
        <v>295577.7987194506</v>
      </c>
      <c r="K13" s="240">
        <f>'6-PlantInService'!K12</f>
        <v>2404664.3934925948</v>
      </c>
      <c r="L13" s="240">
        <f>'6-PlantInService'!L12</f>
        <v>28589734.865862545</v>
      </c>
      <c r="M13" s="240">
        <f>'6-PlantInService'!M12</f>
        <v>3206860250.6987481</v>
      </c>
    </row>
    <row r="14" spans="1:13" x14ac:dyDescent="0.2">
      <c r="A14" s="811">
        <f t="shared" ref="A14:A77" si="0">A13+1</f>
        <v>3</v>
      </c>
      <c r="B14" s="1006" t="s">
        <v>2909</v>
      </c>
      <c r="C14" s="240">
        <f>'6-PlantInService'!C13</f>
        <v>74787427.373749748</v>
      </c>
      <c r="D14" s="240">
        <f>'6-PlantInService'!D13</f>
        <v>80611200.853383794</v>
      </c>
      <c r="E14" s="240">
        <f>'6-PlantInService'!E13</f>
        <v>169945548.55485356</v>
      </c>
      <c r="F14" s="240">
        <f>'6-PlantInService'!F13</f>
        <v>1690133298.3933339</v>
      </c>
      <c r="G14" s="240">
        <f>'6-PlantInService'!G13</f>
        <v>567137048.72267985</v>
      </c>
      <c r="H14" s="240">
        <f>'6-PlantInService'!H13</f>
        <v>113779196.70482847</v>
      </c>
      <c r="I14" s="240">
        <f>'6-PlantInService'!I13</f>
        <v>481820290.49641466</v>
      </c>
      <c r="J14" s="240">
        <f>'6-PlantInService'!J13</f>
        <v>279721.12840740097</v>
      </c>
      <c r="K14" s="240">
        <f>'6-PlantInService'!K13</f>
        <v>2294339.9336039471</v>
      </c>
      <c r="L14" s="240">
        <f>'6-PlantInService'!L13</f>
        <v>28585656.244062718</v>
      </c>
      <c r="M14" s="240">
        <f>'6-PlantInService'!M13</f>
        <v>3209373728.4053178</v>
      </c>
    </row>
    <row r="15" spans="1:13" x14ac:dyDescent="0.2">
      <c r="A15" s="811">
        <f t="shared" si="0"/>
        <v>4</v>
      </c>
      <c r="B15" s="1006" t="s">
        <v>2910</v>
      </c>
      <c r="C15" s="240">
        <f>'6-PlantInService'!C14</f>
        <v>74795217.34160465</v>
      </c>
      <c r="D15" s="240">
        <f>'6-PlantInService'!D14</f>
        <v>80612219.087539837</v>
      </c>
      <c r="E15" s="240">
        <f>'6-PlantInService'!E14</f>
        <v>169790453.84600785</v>
      </c>
      <c r="F15" s="240">
        <f>'6-PlantInService'!F14</f>
        <v>1690160751.3703785</v>
      </c>
      <c r="G15" s="240">
        <f>'6-PlantInService'!G14</f>
        <v>567661454.0895505</v>
      </c>
      <c r="H15" s="240">
        <f>'6-PlantInService'!H14</f>
        <v>113755178.2007353</v>
      </c>
      <c r="I15" s="240">
        <f>'6-PlantInService'!I14</f>
        <v>481718133.36987513</v>
      </c>
      <c r="J15" s="240">
        <f>'6-PlantInService'!J14</f>
        <v>279788.08779118274</v>
      </c>
      <c r="K15" s="240">
        <f>'6-PlantInService'!K14</f>
        <v>2027535.8746725109</v>
      </c>
      <c r="L15" s="240">
        <f>'6-PlantInService'!L14</f>
        <v>28585632.637573875</v>
      </c>
      <c r="M15" s="240">
        <f>'6-PlantInService'!M14</f>
        <v>3209386363.9057283</v>
      </c>
    </row>
    <row r="16" spans="1:13" x14ac:dyDescent="0.2">
      <c r="A16" s="811">
        <f t="shared" si="0"/>
        <v>5</v>
      </c>
      <c r="B16" s="1007" t="s">
        <v>2911</v>
      </c>
      <c r="C16" s="240">
        <f>'6-PlantInService'!C15</f>
        <v>74795234.991604626</v>
      </c>
      <c r="D16" s="240">
        <f>'6-PlantInService'!D15</f>
        <v>80612604.237539843</v>
      </c>
      <c r="E16" s="240">
        <f>'6-PlantInService'!E15</f>
        <v>169924864.5307903</v>
      </c>
      <c r="F16" s="240">
        <f>'6-PlantInService'!F15</f>
        <v>1696326180.1864076</v>
      </c>
      <c r="G16" s="240">
        <f>'6-PlantInService'!G15</f>
        <v>566761574.36815965</v>
      </c>
      <c r="H16" s="240">
        <f>'6-PlantInService'!H15</f>
        <v>113916544.10908431</v>
      </c>
      <c r="I16" s="240">
        <f>'6-PlantInService'!I15</f>
        <v>481642641.87827826</v>
      </c>
      <c r="J16" s="240">
        <f>'6-PlantInService'!J15</f>
        <v>279915.33529867319</v>
      </c>
      <c r="K16" s="240">
        <f>'6-PlantInService'!K15</f>
        <v>2032633.7046299321</v>
      </c>
      <c r="L16" s="240">
        <f>'6-PlantInService'!L15</f>
        <v>28579816.914835498</v>
      </c>
      <c r="M16" s="240">
        <f>'6-PlantInService'!M15</f>
        <v>3214872010.2566285</v>
      </c>
    </row>
    <row r="17" spans="1:13" x14ac:dyDescent="0.2">
      <c r="A17" s="811">
        <f t="shared" si="0"/>
        <v>6</v>
      </c>
      <c r="B17" s="1006" t="s">
        <v>2912</v>
      </c>
      <c r="C17" s="240">
        <f>'6-PlantInService'!C16</f>
        <v>74795238.761604637</v>
      </c>
      <c r="D17" s="240">
        <f>'6-PlantInService'!D16</f>
        <v>80620100.959240481</v>
      </c>
      <c r="E17" s="240">
        <f>'6-PlantInService'!E16</f>
        <v>170558043.70641863</v>
      </c>
      <c r="F17" s="240">
        <f>'6-PlantInService'!F16</f>
        <v>1714436872.5787203</v>
      </c>
      <c r="G17" s="240">
        <f>'6-PlantInService'!G16</f>
        <v>566864531.86583722</v>
      </c>
      <c r="H17" s="240">
        <f>'6-PlantInService'!H16</f>
        <v>113893083.50910904</v>
      </c>
      <c r="I17" s="240">
        <f>'6-PlantInService'!I16</f>
        <v>482371550.71679872</v>
      </c>
      <c r="J17" s="240">
        <f>'6-PlantInService'!J16</f>
        <v>288922.15985010547</v>
      </c>
      <c r="K17" s="240">
        <f>'6-PlantInService'!K16</f>
        <v>2136935.5571260513</v>
      </c>
      <c r="L17" s="240">
        <f>'6-PlantInService'!L16</f>
        <v>28573849.40020011</v>
      </c>
      <c r="M17" s="240">
        <f>'6-PlantInService'!M16</f>
        <v>3234539129.2149053</v>
      </c>
    </row>
    <row r="18" spans="1:13" x14ac:dyDescent="0.2">
      <c r="A18" s="811">
        <f t="shared" si="0"/>
        <v>7</v>
      </c>
      <c r="B18" s="1006" t="s">
        <v>2913</v>
      </c>
      <c r="C18" s="240">
        <f>'6-PlantInService'!C17</f>
        <v>74844263.131604627</v>
      </c>
      <c r="D18" s="240">
        <f>'6-PlantInService'!D17</f>
        <v>81691265.588791117</v>
      </c>
      <c r="E18" s="240">
        <f>'6-PlantInService'!E17</f>
        <v>170958762.27738491</v>
      </c>
      <c r="F18" s="240">
        <f>'6-PlantInService'!F17</f>
        <v>1735666103.3151286</v>
      </c>
      <c r="G18" s="240">
        <f>'6-PlantInService'!G17</f>
        <v>577247106.14222729</v>
      </c>
      <c r="H18" s="240">
        <f>'6-PlantInService'!H17</f>
        <v>114731218.22735055</v>
      </c>
      <c r="I18" s="240">
        <f>'6-PlantInService'!I17</f>
        <v>494362200.46276397</v>
      </c>
      <c r="J18" s="240">
        <f>'6-PlantInService'!J17</f>
        <v>482728.24136280821</v>
      </c>
      <c r="K18" s="240">
        <f>'6-PlantInService'!K17</f>
        <v>2163631.5885720174</v>
      </c>
      <c r="L18" s="240">
        <f>'6-PlantInService'!L17</f>
        <v>28542191.855289228</v>
      </c>
      <c r="M18" s="240">
        <f>'6-PlantInService'!M17</f>
        <v>3280689470.8304749</v>
      </c>
    </row>
    <row r="19" spans="1:13" x14ac:dyDescent="0.2">
      <c r="A19" s="811">
        <f t="shared" si="0"/>
        <v>8</v>
      </c>
      <c r="B19" s="1007" t="s">
        <v>2914</v>
      </c>
      <c r="C19" s="240">
        <f>'6-PlantInService'!C18</f>
        <v>74920480.484972969</v>
      </c>
      <c r="D19" s="240">
        <f>'6-PlantInService'!D18</f>
        <v>81729920.444638789</v>
      </c>
      <c r="E19" s="240">
        <f>'6-PlantInService'!E18</f>
        <v>171060161.05498421</v>
      </c>
      <c r="F19" s="240">
        <f>'6-PlantInService'!F18</f>
        <v>1743964017.9181209</v>
      </c>
      <c r="G19" s="240">
        <f>'6-PlantInService'!G18</f>
        <v>574223967.56237209</v>
      </c>
      <c r="H19" s="240">
        <f>'6-PlantInService'!H18</f>
        <v>114567872.98898427</v>
      </c>
      <c r="I19" s="240">
        <f>'6-PlantInService'!I18</f>
        <v>492517255.01446348</v>
      </c>
      <c r="J19" s="240">
        <f>'6-PlantInService'!J18</f>
        <v>559089.52905644081</v>
      </c>
      <c r="K19" s="240">
        <f>'6-PlantInService'!K18</f>
        <v>3553785.0588286985</v>
      </c>
      <c r="L19" s="240">
        <f>'6-PlantInService'!L18</f>
        <v>28542591.060878161</v>
      </c>
      <c r="M19" s="240">
        <f>'6-PlantInService'!M18</f>
        <v>3285639141.1173</v>
      </c>
    </row>
    <row r="20" spans="1:13" x14ac:dyDescent="0.2">
      <c r="A20" s="811">
        <f t="shared" si="0"/>
        <v>9</v>
      </c>
      <c r="B20" s="1006" t="s">
        <v>2915</v>
      </c>
      <c r="C20" s="240">
        <f>'6-PlantInService'!C19</f>
        <v>74920537.504972965</v>
      </c>
      <c r="D20" s="240">
        <f>'6-PlantInService'!D19</f>
        <v>81744340.133592948</v>
      </c>
      <c r="E20" s="240">
        <f>'6-PlantInService'!E19</f>
        <v>171926958.43963206</v>
      </c>
      <c r="F20" s="240">
        <f>'6-PlantInService'!F19</f>
        <v>1746839739.1766684</v>
      </c>
      <c r="G20" s="240">
        <f>'6-PlantInService'!G19</f>
        <v>574264332.90075576</v>
      </c>
      <c r="H20" s="240">
        <f>'6-PlantInService'!H19</f>
        <v>114577668.41572046</v>
      </c>
      <c r="I20" s="240">
        <f>'6-PlantInService'!I19</f>
        <v>493513717.9861328</v>
      </c>
      <c r="J20" s="240">
        <f>'6-PlantInService'!J19</f>
        <v>576137.02659772732</v>
      </c>
      <c r="K20" s="240">
        <f>'6-PlantInService'!K19</f>
        <v>3735050.8809699151</v>
      </c>
      <c r="L20" s="240">
        <f>'6-PlantInService'!L19</f>
        <v>28542594.018175934</v>
      </c>
      <c r="M20" s="240">
        <f>'6-PlantInService'!M19</f>
        <v>3290641076.4832187</v>
      </c>
    </row>
    <row r="21" spans="1:13" x14ac:dyDescent="0.2">
      <c r="A21" s="811">
        <f t="shared" si="0"/>
        <v>10</v>
      </c>
      <c r="B21" s="1006" t="s">
        <v>2916</v>
      </c>
      <c r="C21" s="240">
        <f>'6-PlantInService'!C20</f>
        <v>74920593.214972973</v>
      </c>
      <c r="D21" s="240">
        <f>'6-PlantInService'!D20</f>
        <v>81754779.851453379</v>
      </c>
      <c r="E21" s="240">
        <f>'6-PlantInService'!E20</f>
        <v>171968348.03331807</v>
      </c>
      <c r="F21" s="240">
        <f>'6-PlantInService'!F20</f>
        <v>1749282821.7081285</v>
      </c>
      <c r="G21" s="240">
        <f>'6-PlantInService'!G20</f>
        <v>549677061.82516789</v>
      </c>
      <c r="H21" s="240">
        <f>'6-PlantInService'!H20</f>
        <v>131446925.18969929</v>
      </c>
      <c r="I21" s="240">
        <f>'6-PlantInService'!I20</f>
        <v>422626020.18010461</v>
      </c>
      <c r="J21" s="240">
        <f>'6-PlantInService'!J20</f>
        <v>574863.10573136655</v>
      </c>
      <c r="K21" s="240">
        <f>'6-PlantInService'!K20</f>
        <v>3570476.482585304</v>
      </c>
      <c r="L21" s="240">
        <f>'6-PlantInService'!L20</f>
        <v>110386399.15906338</v>
      </c>
      <c r="M21" s="240">
        <f>'6-PlantInService'!M20</f>
        <v>3296208288.7502246</v>
      </c>
    </row>
    <row r="22" spans="1:13" x14ac:dyDescent="0.2">
      <c r="A22" s="811">
        <f t="shared" si="0"/>
        <v>11</v>
      </c>
      <c r="B22" s="1007" t="s">
        <v>2917</v>
      </c>
      <c r="C22" s="240">
        <f>'6-PlantInService'!C21</f>
        <v>74920598.90497297</v>
      </c>
      <c r="D22" s="240">
        <f>'6-PlantInService'!D21</f>
        <v>81804912.711581707</v>
      </c>
      <c r="E22" s="240">
        <f>'6-PlantInService'!E21</f>
        <v>171978342.0634681</v>
      </c>
      <c r="F22" s="240">
        <f>'6-PlantInService'!F21</f>
        <v>1747977368.9915271</v>
      </c>
      <c r="G22" s="240">
        <f>'6-PlantInService'!G21</f>
        <v>549752297.94316494</v>
      </c>
      <c r="H22" s="240">
        <f>'6-PlantInService'!H21</f>
        <v>131513375.04205282</v>
      </c>
      <c r="I22" s="240">
        <f>'6-PlantInService'!I21</f>
        <v>422414349.0881362</v>
      </c>
      <c r="J22" s="240">
        <f>'6-PlantInService'!J21</f>
        <v>573331.26492349117</v>
      </c>
      <c r="K22" s="240">
        <f>'6-PlantInService'!K21</f>
        <v>3537284.2586575979</v>
      </c>
      <c r="L22" s="240">
        <f>'6-PlantInService'!L21</f>
        <v>110386758.85783069</v>
      </c>
      <c r="M22" s="240">
        <f>'6-PlantInService'!M21</f>
        <v>3294858619.1263151</v>
      </c>
    </row>
    <row r="23" spans="1:13" x14ac:dyDescent="0.2">
      <c r="A23" s="811">
        <f t="shared" si="0"/>
        <v>12</v>
      </c>
      <c r="B23" s="1007" t="s">
        <v>2918</v>
      </c>
      <c r="C23" s="240">
        <f>'6-PlantInService'!C22</f>
        <v>74633156.694972962</v>
      </c>
      <c r="D23" s="240">
        <f>'6-PlantInService'!D22</f>
        <v>82090720.20901759</v>
      </c>
      <c r="E23" s="240">
        <f>'6-PlantInService'!E22</f>
        <v>171931707.14933094</v>
      </c>
      <c r="F23" s="240">
        <f>'6-PlantInService'!F22</f>
        <v>1754489044.7857895</v>
      </c>
      <c r="G23" s="240">
        <f>'6-PlantInService'!G22</f>
        <v>549890096.5202713</v>
      </c>
      <c r="H23" s="240">
        <f>'6-PlantInService'!H22</f>
        <v>131633764.98054659</v>
      </c>
      <c r="I23" s="240">
        <f>'6-PlantInService'!I22</f>
        <v>422512012.3417123</v>
      </c>
      <c r="J23" s="240">
        <f>'6-PlantInService'!J22</f>
        <v>566811.76181018155</v>
      </c>
      <c r="K23" s="240">
        <f>'6-PlantInService'!K22</f>
        <v>3500178.0403815792</v>
      </c>
      <c r="L23" s="240">
        <f>'6-PlantInService'!L22</f>
        <v>110386745.74886647</v>
      </c>
      <c r="M23" s="240">
        <f>'6-PlantInService'!M22</f>
        <v>3301634238.2326994</v>
      </c>
    </row>
    <row r="24" spans="1:13" x14ac:dyDescent="0.2">
      <c r="A24" s="811">
        <f t="shared" si="0"/>
        <v>13</v>
      </c>
      <c r="B24" s="1006" t="s">
        <v>2919</v>
      </c>
      <c r="C24" s="240">
        <f>'6-PlantInService'!C23</f>
        <v>74607469.009499431</v>
      </c>
      <c r="D24" s="240">
        <f>'6-PlantInService'!D23</f>
        <v>82090980.758505225</v>
      </c>
      <c r="E24" s="240">
        <f>'6-PlantInService'!E23</f>
        <v>170948030</v>
      </c>
      <c r="F24" s="240">
        <f>'6-PlantInService'!F23</f>
        <v>1756511619</v>
      </c>
      <c r="G24" s="240">
        <f>'6-PlantInService'!G23</f>
        <v>550516805</v>
      </c>
      <c r="H24" s="240">
        <f>'6-PlantInService'!H23</f>
        <v>132075054</v>
      </c>
      <c r="I24" s="240">
        <f>'6-PlantInService'!I23</f>
        <v>421892563</v>
      </c>
      <c r="J24" s="240">
        <f>'6-PlantInService'!J23</f>
        <v>558943</v>
      </c>
      <c r="K24" s="240">
        <f>'6-PlantInService'!K23</f>
        <v>3408604</v>
      </c>
      <c r="L24" s="240">
        <f>'6-PlantInService'!L23</f>
        <v>110352407</v>
      </c>
      <c r="M24" s="240">
        <f>'6-PlantInService'!M23</f>
        <v>3302962474.7680044</v>
      </c>
    </row>
    <row r="25" spans="1:13" x14ac:dyDescent="0.2">
      <c r="A25" s="811">
        <f t="shared" si="0"/>
        <v>14</v>
      </c>
      <c r="B25" s="238"/>
      <c r="C25" s="238"/>
      <c r="D25" s="238"/>
      <c r="E25" s="238"/>
      <c r="F25" s="238"/>
      <c r="G25" s="238"/>
      <c r="H25" s="238"/>
      <c r="I25" s="238"/>
      <c r="J25" s="238"/>
      <c r="K25" s="238"/>
      <c r="L25" s="238"/>
      <c r="M25" s="238"/>
    </row>
    <row r="26" spans="1:13" x14ac:dyDescent="0.2">
      <c r="A26" s="811">
        <f t="shared" si="0"/>
        <v>15</v>
      </c>
      <c r="B26" s="895" t="s">
        <v>2816</v>
      </c>
      <c r="C26" s="248"/>
      <c r="D26" s="248"/>
      <c r="E26" s="248"/>
      <c r="F26" s="248"/>
      <c r="G26" s="248"/>
      <c r="H26" s="248"/>
      <c r="I26" s="238"/>
      <c r="J26" s="238"/>
      <c r="K26" s="238"/>
      <c r="L26" s="238"/>
      <c r="M26" s="238"/>
    </row>
    <row r="27" spans="1:13" x14ac:dyDescent="0.2">
      <c r="A27" s="811"/>
      <c r="B27" s="115"/>
      <c r="C27" s="248"/>
      <c r="D27" s="248"/>
      <c r="E27" s="248"/>
      <c r="F27" s="248"/>
      <c r="G27" s="238"/>
      <c r="H27" s="238"/>
      <c r="I27" s="238"/>
      <c r="J27" s="238"/>
      <c r="K27" s="238"/>
      <c r="L27" s="238"/>
      <c r="M27" s="238"/>
    </row>
    <row r="28" spans="1:13" x14ac:dyDescent="0.2">
      <c r="A28" s="811"/>
      <c r="B28" s="115"/>
      <c r="C28" s="248"/>
      <c r="D28" s="248"/>
      <c r="E28" s="248"/>
      <c r="F28" s="248"/>
      <c r="G28" s="238"/>
      <c r="H28" s="238"/>
      <c r="I28" s="238"/>
      <c r="J28" s="238"/>
      <c r="K28" s="238"/>
      <c r="L28" s="238"/>
      <c r="M28" s="238"/>
    </row>
    <row r="29" spans="1:13" x14ac:dyDescent="0.2">
      <c r="A29" s="811">
        <f>A26+1</f>
        <v>16</v>
      </c>
      <c r="B29" s="129" t="s">
        <v>2295</v>
      </c>
      <c r="C29" s="376">
        <v>350.1</v>
      </c>
      <c r="D29" s="376">
        <v>350.2</v>
      </c>
      <c r="E29" s="376">
        <v>352</v>
      </c>
      <c r="F29" s="376">
        <v>353</v>
      </c>
      <c r="G29" s="86">
        <v>354</v>
      </c>
      <c r="H29" s="86">
        <v>355</v>
      </c>
      <c r="I29" s="86">
        <v>356</v>
      </c>
      <c r="J29" s="86">
        <v>357</v>
      </c>
      <c r="K29" s="86">
        <v>358</v>
      </c>
      <c r="L29" s="86">
        <v>359</v>
      </c>
      <c r="M29" s="3"/>
    </row>
    <row r="30" spans="1:13" x14ac:dyDescent="0.2">
      <c r="A30" s="811" t="s">
        <v>2817</v>
      </c>
      <c r="B30" s="1006" t="s">
        <v>2907</v>
      </c>
      <c r="C30" s="1008">
        <v>0</v>
      </c>
      <c r="D30" s="1008">
        <v>1.66E-2</v>
      </c>
      <c r="E30" s="1008">
        <v>2.5700000000000001E-2</v>
      </c>
      <c r="F30" s="1008">
        <v>2.47E-2</v>
      </c>
      <c r="G30" s="1008">
        <v>2.4400000000000002E-2</v>
      </c>
      <c r="H30" s="1008">
        <v>3.6700000000000003E-2</v>
      </c>
      <c r="I30" s="1008">
        <v>3.0499999999999999E-2</v>
      </c>
      <c r="J30" s="1008">
        <v>1.6500000000000001E-2</v>
      </c>
      <c r="K30" s="1008">
        <v>3.8699999999999998E-2</v>
      </c>
      <c r="L30" s="1008">
        <v>1.5599999999999999E-2</v>
      </c>
      <c r="M30" s="238"/>
    </row>
    <row r="31" spans="1:13" x14ac:dyDescent="0.2">
      <c r="A31" s="811" t="s">
        <v>2818</v>
      </c>
      <c r="B31" s="1007" t="s">
        <v>2908</v>
      </c>
      <c r="C31" s="1008">
        <v>0</v>
      </c>
      <c r="D31" s="1008">
        <v>1.66E-2</v>
      </c>
      <c r="E31" s="1008">
        <v>2.5700000000000001E-2</v>
      </c>
      <c r="F31" s="1008">
        <v>2.47E-2</v>
      </c>
      <c r="G31" s="1008">
        <v>2.4400000000000002E-2</v>
      </c>
      <c r="H31" s="1008">
        <v>3.6700000000000003E-2</v>
      </c>
      <c r="I31" s="1008">
        <v>3.0499999999999999E-2</v>
      </c>
      <c r="J31" s="1008">
        <v>1.6500000000000001E-2</v>
      </c>
      <c r="K31" s="1008">
        <v>3.8699999999999998E-2</v>
      </c>
      <c r="L31" s="1008">
        <v>1.5599999999999999E-2</v>
      </c>
      <c r="M31" s="238"/>
    </row>
    <row r="32" spans="1:13" x14ac:dyDescent="0.2">
      <c r="A32" s="811" t="s">
        <v>2819</v>
      </c>
      <c r="B32" s="1006" t="s">
        <v>2909</v>
      </c>
      <c r="C32" s="1008">
        <v>0</v>
      </c>
      <c r="D32" s="1008">
        <v>1.66E-2</v>
      </c>
      <c r="E32" s="1008">
        <v>2.5700000000000001E-2</v>
      </c>
      <c r="F32" s="1008">
        <v>2.47E-2</v>
      </c>
      <c r="G32" s="1008">
        <v>2.4400000000000002E-2</v>
      </c>
      <c r="H32" s="1008">
        <v>3.6700000000000003E-2</v>
      </c>
      <c r="I32" s="1008">
        <v>3.0499999999999999E-2</v>
      </c>
      <c r="J32" s="1008">
        <v>1.6500000000000001E-2</v>
      </c>
      <c r="K32" s="1008">
        <v>3.8699999999999998E-2</v>
      </c>
      <c r="L32" s="1008">
        <v>1.5599999999999999E-2</v>
      </c>
      <c r="M32" s="238"/>
    </row>
    <row r="33" spans="1:13" x14ac:dyDescent="0.2">
      <c r="A33" s="811" t="s">
        <v>2820</v>
      </c>
      <c r="B33" s="1006" t="s">
        <v>2910</v>
      </c>
      <c r="C33" s="1008">
        <v>0</v>
      </c>
      <c r="D33" s="1008">
        <v>1.66E-2</v>
      </c>
      <c r="E33" s="1008">
        <v>2.5700000000000001E-2</v>
      </c>
      <c r="F33" s="1008">
        <v>2.47E-2</v>
      </c>
      <c r="G33" s="1008">
        <v>2.4400000000000002E-2</v>
      </c>
      <c r="H33" s="1008">
        <v>3.6700000000000003E-2</v>
      </c>
      <c r="I33" s="1008">
        <v>3.0499999999999999E-2</v>
      </c>
      <c r="J33" s="1008">
        <v>1.6500000000000001E-2</v>
      </c>
      <c r="K33" s="1008">
        <v>3.8699999999999998E-2</v>
      </c>
      <c r="L33" s="1008">
        <v>1.5599999999999999E-2</v>
      </c>
      <c r="M33" s="238"/>
    </row>
    <row r="34" spans="1:13" x14ac:dyDescent="0.2">
      <c r="A34" s="811" t="s">
        <v>2821</v>
      </c>
      <c r="B34" s="1007" t="s">
        <v>2911</v>
      </c>
      <c r="C34" s="1008">
        <v>0</v>
      </c>
      <c r="D34" s="1008">
        <v>1.66E-2</v>
      </c>
      <c r="E34" s="1008">
        <v>2.5700000000000001E-2</v>
      </c>
      <c r="F34" s="1008">
        <v>2.47E-2</v>
      </c>
      <c r="G34" s="1008">
        <v>2.4400000000000002E-2</v>
      </c>
      <c r="H34" s="1008">
        <v>3.6700000000000003E-2</v>
      </c>
      <c r="I34" s="1008">
        <v>3.0499999999999999E-2</v>
      </c>
      <c r="J34" s="1008">
        <v>1.6500000000000001E-2</v>
      </c>
      <c r="K34" s="1008">
        <v>3.8699999999999998E-2</v>
      </c>
      <c r="L34" s="1008">
        <v>1.5599999999999999E-2</v>
      </c>
      <c r="M34" s="238"/>
    </row>
    <row r="35" spans="1:13" x14ac:dyDescent="0.2">
      <c r="A35" s="811" t="s">
        <v>2822</v>
      </c>
      <c r="B35" s="1006" t="s">
        <v>2912</v>
      </c>
      <c r="C35" s="1008">
        <v>0</v>
      </c>
      <c r="D35" s="1008">
        <v>1.66E-2</v>
      </c>
      <c r="E35" s="1008">
        <v>2.5700000000000001E-2</v>
      </c>
      <c r="F35" s="1008">
        <v>2.47E-2</v>
      </c>
      <c r="G35" s="1008">
        <v>2.4400000000000002E-2</v>
      </c>
      <c r="H35" s="1008">
        <v>3.6700000000000003E-2</v>
      </c>
      <c r="I35" s="1008">
        <v>3.0499999999999999E-2</v>
      </c>
      <c r="J35" s="1008">
        <v>1.6500000000000001E-2</v>
      </c>
      <c r="K35" s="1008">
        <v>3.8699999999999998E-2</v>
      </c>
      <c r="L35" s="1008">
        <v>1.5599999999999999E-2</v>
      </c>
      <c r="M35" s="238"/>
    </row>
    <row r="36" spans="1:13" x14ac:dyDescent="0.2">
      <c r="A36" s="811" t="s">
        <v>2823</v>
      </c>
      <c r="B36" s="1006" t="s">
        <v>2913</v>
      </c>
      <c r="C36" s="1008">
        <v>0</v>
      </c>
      <c r="D36" s="1008">
        <v>1.66E-2</v>
      </c>
      <c r="E36" s="1008">
        <v>2.5700000000000001E-2</v>
      </c>
      <c r="F36" s="1008">
        <v>2.47E-2</v>
      </c>
      <c r="G36" s="1008">
        <v>2.4400000000000002E-2</v>
      </c>
      <c r="H36" s="1008">
        <v>3.6700000000000003E-2</v>
      </c>
      <c r="I36" s="1008">
        <v>3.0499999999999999E-2</v>
      </c>
      <c r="J36" s="1008">
        <v>1.6500000000000001E-2</v>
      </c>
      <c r="K36" s="1008">
        <v>3.8699999999999998E-2</v>
      </c>
      <c r="L36" s="1008">
        <v>1.5599999999999999E-2</v>
      </c>
      <c r="M36" s="238"/>
    </row>
    <row r="37" spans="1:13" x14ac:dyDescent="0.2">
      <c r="A37" s="811" t="s">
        <v>2824</v>
      </c>
      <c r="B37" s="1007" t="s">
        <v>2914</v>
      </c>
      <c r="C37" s="1008">
        <v>0</v>
      </c>
      <c r="D37" s="1008">
        <v>1.66E-2</v>
      </c>
      <c r="E37" s="1008">
        <v>2.5700000000000001E-2</v>
      </c>
      <c r="F37" s="1008">
        <v>2.47E-2</v>
      </c>
      <c r="G37" s="1008">
        <v>2.4400000000000002E-2</v>
      </c>
      <c r="H37" s="1008">
        <v>3.6700000000000003E-2</v>
      </c>
      <c r="I37" s="1008">
        <v>3.0499999999999999E-2</v>
      </c>
      <c r="J37" s="1008">
        <v>1.6500000000000001E-2</v>
      </c>
      <c r="K37" s="1008">
        <v>3.8699999999999998E-2</v>
      </c>
      <c r="L37" s="1008">
        <v>1.5599999999999999E-2</v>
      </c>
      <c r="M37" s="238"/>
    </row>
    <row r="38" spans="1:13" x14ac:dyDescent="0.2">
      <c r="A38" s="811" t="s">
        <v>2825</v>
      </c>
      <c r="B38" s="1006" t="s">
        <v>2915</v>
      </c>
      <c r="C38" s="1008">
        <v>0</v>
      </c>
      <c r="D38" s="1008">
        <v>1.66E-2</v>
      </c>
      <c r="E38" s="1008">
        <v>2.5700000000000001E-2</v>
      </c>
      <c r="F38" s="1008">
        <v>2.47E-2</v>
      </c>
      <c r="G38" s="1008">
        <v>2.4400000000000002E-2</v>
      </c>
      <c r="H38" s="1008">
        <v>3.6700000000000003E-2</v>
      </c>
      <c r="I38" s="1008">
        <v>3.0499999999999999E-2</v>
      </c>
      <c r="J38" s="1008">
        <v>1.6500000000000001E-2</v>
      </c>
      <c r="K38" s="1008">
        <v>3.8699999999999998E-2</v>
      </c>
      <c r="L38" s="1008">
        <v>1.5599999999999999E-2</v>
      </c>
      <c r="M38" s="238"/>
    </row>
    <row r="39" spans="1:13" x14ac:dyDescent="0.2">
      <c r="A39" s="811" t="s">
        <v>2826</v>
      </c>
      <c r="B39" s="1006" t="s">
        <v>2916</v>
      </c>
      <c r="C39" s="1008">
        <v>0</v>
      </c>
      <c r="D39" s="1008">
        <v>1.66E-2</v>
      </c>
      <c r="E39" s="1008">
        <v>2.5700000000000001E-2</v>
      </c>
      <c r="F39" s="1008">
        <v>2.47E-2</v>
      </c>
      <c r="G39" s="1008">
        <v>2.4400000000000002E-2</v>
      </c>
      <c r="H39" s="1008">
        <v>3.6700000000000003E-2</v>
      </c>
      <c r="I39" s="1008">
        <v>3.0499999999999999E-2</v>
      </c>
      <c r="J39" s="1008">
        <v>1.6500000000000001E-2</v>
      </c>
      <c r="K39" s="1008">
        <v>3.8699999999999998E-2</v>
      </c>
      <c r="L39" s="1008">
        <v>1.5599999999999999E-2</v>
      </c>
      <c r="M39" s="238"/>
    </row>
    <row r="40" spans="1:13" x14ac:dyDescent="0.2">
      <c r="A40" s="811" t="s">
        <v>2827</v>
      </c>
      <c r="B40" s="1007" t="s">
        <v>2917</v>
      </c>
      <c r="C40" s="1008">
        <v>0</v>
      </c>
      <c r="D40" s="1008">
        <v>1.66E-2</v>
      </c>
      <c r="E40" s="1008">
        <v>2.5700000000000001E-2</v>
      </c>
      <c r="F40" s="1008">
        <v>2.47E-2</v>
      </c>
      <c r="G40" s="1008">
        <v>2.4400000000000002E-2</v>
      </c>
      <c r="H40" s="1008">
        <v>3.6700000000000003E-2</v>
      </c>
      <c r="I40" s="1008">
        <v>3.0499999999999999E-2</v>
      </c>
      <c r="J40" s="1008">
        <v>1.6500000000000001E-2</v>
      </c>
      <c r="K40" s="1008">
        <v>3.8699999999999998E-2</v>
      </c>
      <c r="L40" s="1008">
        <v>1.5599999999999999E-2</v>
      </c>
      <c r="M40" s="238"/>
    </row>
    <row r="41" spans="1:13" x14ac:dyDescent="0.2">
      <c r="A41" s="811" t="s">
        <v>2828</v>
      </c>
      <c r="B41" s="1007" t="s">
        <v>2918</v>
      </c>
      <c r="C41" s="1008">
        <v>0</v>
      </c>
      <c r="D41" s="1008">
        <v>1.66E-2</v>
      </c>
      <c r="E41" s="1008">
        <v>2.5700000000000001E-2</v>
      </c>
      <c r="F41" s="1008">
        <v>2.47E-2</v>
      </c>
      <c r="G41" s="1008">
        <v>2.4400000000000002E-2</v>
      </c>
      <c r="H41" s="1008">
        <v>3.6700000000000003E-2</v>
      </c>
      <c r="I41" s="1008">
        <v>3.0499999999999999E-2</v>
      </c>
      <c r="J41" s="1008">
        <v>1.6500000000000001E-2</v>
      </c>
      <c r="K41" s="1008">
        <v>3.8699999999999998E-2</v>
      </c>
      <c r="L41" s="1008">
        <v>1.5599999999999999E-2</v>
      </c>
      <c r="M41" s="238"/>
    </row>
    <row r="42" spans="1:13" x14ac:dyDescent="0.2">
      <c r="A42" s="811" t="s">
        <v>2829</v>
      </c>
      <c r="B42" s="1006" t="s">
        <v>2919</v>
      </c>
      <c r="C42" s="1008">
        <v>0</v>
      </c>
      <c r="D42" s="1008">
        <v>1.66E-2</v>
      </c>
      <c r="E42" s="1008">
        <v>2.5700000000000001E-2</v>
      </c>
      <c r="F42" s="1008">
        <v>2.47E-2</v>
      </c>
      <c r="G42" s="1008">
        <v>2.4400000000000002E-2</v>
      </c>
      <c r="H42" s="1008">
        <v>3.6700000000000003E-2</v>
      </c>
      <c r="I42" s="1008">
        <v>3.0499999999999999E-2</v>
      </c>
      <c r="J42" s="1008">
        <v>1.6500000000000001E-2</v>
      </c>
      <c r="K42" s="1008">
        <v>3.8699999999999998E-2</v>
      </c>
      <c r="L42" s="1008">
        <v>1.5599999999999999E-2</v>
      </c>
      <c r="M42" s="238"/>
    </row>
    <row r="43" spans="1:13" x14ac:dyDescent="0.2">
      <c r="A43" s="811">
        <v>18</v>
      </c>
      <c r="C43" s="384"/>
      <c r="D43" s="384"/>
      <c r="E43" s="384"/>
      <c r="F43" s="384"/>
      <c r="G43" s="384"/>
      <c r="H43" s="384"/>
      <c r="I43" s="384"/>
      <c r="J43" s="384"/>
      <c r="K43" s="384"/>
      <c r="L43" s="384"/>
      <c r="M43" s="238"/>
    </row>
    <row r="44" spans="1:13" x14ac:dyDescent="0.2">
      <c r="A44" s="811">
        <f t="shared" si="0"/>
        <v>19</v>
      </c>
      <c r="B44" s="626" t="s">
        <v>1076</v>
      </c>
      <c r="C44" s="384"/>
      <c r="D44" s="384"/>
      <c r="E44" s="384"/>
      <c r="F44" s="384"/>
      <c r="G44" s="731" t="s">
        <v>2207</v>
      </c>
      <c r="H44" s="249"/>
      <c r="I44" s="249"/>
      <c r="J44" s="384"/>
      <c r="K44" s="384"/>
      <c r="L44" s="384"/>
      <c r="M44" s="238"/>
    </row>
    <row r="45" spans="1:13" x14ac:dyDescent="0.2">
      <c r="A45" s="811">
        <f t="shared" si="0"/>
        <v>20</v>
      </c>
      <c r="B45" s="238"/>
      <c r="C45" s="238"/>
      <c r="D45" s="238"/>
      <c r="E45" s="238"/>
      <c r="F45" s="238"/>
      <c r="G45" s="238"/>
      <c r="H45" s="238"/>
      <c r="I45" s="238"/>
      <c r="J45" s="238"/>
      <c r="K45" s="238"/>
      <c r="L45" s="238"/>
      <c r="M45" s="238"/>
    </row>
    <row r="46" spans="1:13" x14ac:dyDescent="0.2">
      <c r="A46" s="811">
        <f t="shared" si="0"/>
        <v>21</v>
      </c>
      <c r="B46" s="115"/>
      <c r="C46" s="733" t="s">
        <v>12</v>
      </c>
      <c r="D46" s="238"/>
      <c r="E46" s="238"/>
      <c r="F46" s="238"/>
      <c r="G46" s="238"/>
      <c r="H46" s="238"/>
      <c r="I46" s="238"/>
      <c r="J46" s="238"/>
      <c r="K46" s="238"/>
      <c r="L46" s="238"/>
      <c r="M46" s="238"/>
    </row>
    <row r="47" spans="1:13" x14ac:dyDescent="0.2">
      <c r="A47" s="811">
        <f t="shared" si="0"/>
        <v>22</v>
      </c>
      <c r="B47" s="115"/>
      <c r="C47" s="733" t="s">
        <v>1073</v>
      </c>
      <c r="D47" s="238"/>
      <c r="E47" s="238"/>
      <c r="F47" s="238"/>
      <c r="G47" s="238"/>
      <c r="H47" s="238"/>
      <c r="I47" s="238"/>
      <c r="J47" s="238"/>
      <c r="K47" s="238"/>
      <c r="L47" s="238"/>
      <c r="M47" s="811" t="s">
        <v>220</v>
      </c>
    </row>
    <row r="48" spans="1:13" x14ac:dyDescent="0.2">
      <c r="A48" s="811">
        <f t="shared" si="0"/>
        <v>23</v>
      </c>
      <c r="B48" s="129" t="s">
        <v>2295</v>
      </c>
      <c r="C48" s="86">
        <v>350.1</v>
      </c>
      <c r="D48" s="86">
        <v>350.2</v>
      </c>
      <c r="E48" s="86">
        <v>352</v>
      </c>
      <c r="F48" s="86">
        <v>353</v>
      </c>
      <c r="G48" s="86">
        <v>354</v>
      </c>
      <c r="H48" s="86">
        <v>355</v>
      </c>
      <c r="I48" s="86">
        <v>356</v>
      </c>
      <c r="J48" s="86">
        <v>357</v>
      </c>
      <c r="K48" s="86">
        <v>358</v>
      </c>
      <c r="L48" s="86">
        <v>359</v>
      </c>
      <c r="M48" s="3" t="s">
        <v>224</v>
      </c>
    </row>
    <row r="49" spans="1:13" x14ac:dyDescent="0.2">
      <c r="A49" s="811">
        <f t="shared" si="0"/>
        <v>24</v>
      </c>
      <c r="B49" s="1007" t="s">
        <v>2908</v>
      </c>
      <c r="C49" s="242">
        <f t="shared" ref="C49:C60" si="1">C12*$C$30/12</f>
        <v>0</v>
      </c>
      <c r="D49" s="242">
        <f t="shared" ref="D49:D60" si="2">D12*$D30/12</f>
        <v>111689.77992236456</v>
      </c>
      <c r="E49" s="242">
        <f t="shared" ref="E49:E60" si="3">E12*$E30/12</f>
        <v>375771.82825833332</v>
      </c>
      <c r="F49" s="242">
        <f t="shared" ref="F49:F60" si="4">F12*$F30/12</f>
        <v>3458439.0486750002</v>
      </c>
      <c r="G49" s="242">
        <f t="shared" ref="G49:G60" si="5">G12*$G30/12</f>
        <v>1271457.953</v>
      </c>
      <c r="H49" s="242">
        <f t="shared" ref="H49:H60" si="6">H12*$H30/12</f>
        <v>347947.19194166671</v>
      </c>
      <c r="I49" s="242">
        <f t="shared" ref="I49:I60" si="7">I12*$I30/12</f>
        <v>1073024.0507083333</v>
      </c>
      <c r="J49" s="242">
        <f t="shared" ref="J49:J60" si="8">J12*$J30/12</f>
        <v>390.63200000000001</v>
      </c>
      <c r="K49" s="242">
        <f t="shared" ref="K49:K60" si="9">K12*$K30/12</f>
        <v>7426.9427999999998</v>
      </c>
      <c r="L49" s="242">
        <f t="shared" ref="L49:L60" si="10">L12*$L30/12</f>
        <v>37204.788399999998</v>
      </c>
      <c r="M49" s="240">
        <f>SUM(C49:L49)</f>
        <v>6683352.2157056984</v>
      </c>
    </row>
    <row r="50" spans="1:13" x14ac:dyDescent="0.2">
      <c r="A50" s="811">
        <f t="shared" si="0"/>
        <v>25</v>
      </c>
      <c r="B50" s="1006" t="s">
        <v>2909</v>
      </c>
      <c r="C50" s="242">
        <f t="shared" si="1"/>
        <v>0</v>
      </c>
      <c r="D50" s="242">
        <f t="shared" si="2"/>
        <v>111423.31011786521</v>
      </c>
      <c r="E50" s="242">
        <f t="shared" si="3"/>
        <v>375929.92269404378</v>
      </c>
      <c r="F50" s="242">
        <f t="shared" si="4"/>
        <v>3463758.4654427506</v>
      </c>
      <c r="G50" s="242">
        <f t="shared" si="5"/>
        <v>1153608.0622216146</v>
      </c>
      <c r="H50" s="242">
        <f t="shared" si="6"/>
        <v>348461.35870318394</v>
      </c>
      <c r="I50" s="242">
        <f t="shared" si="7"/>
        <v>1224957.7068497294</v>
      </c>
      <c r="J50" s="242">
        <f t="shared" si="8"/>
        <v>406.41947323924461</v>
      </c>
      <c r="K50" s="242">
        <f t="shared" si="9"/>
        <v>7755.0426690136183</v>
      </c>
      <c r="L50" s="242">
        <f t="shared" si="10"/>
        <v>37166.655325621308</v>
      </c>
      <c r="M50" s="240">
        <f t="shared" ref="M50:M60" si="11">SUM(C50:L50)</f>
        <v>6723466.9434970627</v>
      </c>
    </row>
    <row r="51" spans="1:13" x14ac:dyDescent="0.2">
      <c r="A51" s="811">
        <f t="shared" si="0"/>
        <v>26</v>
      </c>
      <c r="B51" s="1006" t="s">
        <v>2910</v>
      </c>
      <c r="C51" s="242">
        <f t="shared" si="1"/>
        <v>0</v>
      </c>
      <c r="D51" s="242">
        <f t="shared" si="2"/>
        <v>111512.16118051425</v>
      </c>
      <c r="E51" s="242">
        <f t="shared" si="3"/>
        <v>363966.71648831136</v>
      </c>
      <c r="F51" s="242">
        <f t="shared" si="4"/>
        <v>3478857.7058596122</v>
      </c>
      <c r="G51" s="242">
        <f t="shared" si="5"/>
        <v>1153178.6657361158</v>
      </c>
      <c r="H51" s="242">
        <f t="shared" si="6"/>
        <v>347974.70992226712</v>
      </c>
      <c r="I51" s="242">
        <f t="shared" si="7"/>
        <v>1224626.5716783872</v>
      </c>
      <c r="J51" s="242">
        <f t="shared" si="8"/>
        <v>384.61655156017633</v>
      </c>
      <c r="K51" s="242">
        <f t="shared" si="9"/>
        <v>7399.2462858727295</v>
      </c>
      <c r="L51" s="242">
        <f t="shared" si="10"/>
        <v>37161.353117281535</v>
      </c>
      <c r="M51" s="240">
        <f t="shared" si="11"/>
        <v>6725061.7468199218</v>
      </c>
    </row>
    <row r="52" spans="1:13" x14ac:dyDescent="0.2">
      <c r="A52" s="811">
        <f t="shared" si="0"/>
        <v>27</v>
      </c>
      <c r="B52" s="1007" t="s">
        <v>2911</v>
      </c>
      <c r="C52" s="242">
        <f t="shared" si="1"/>
        <v>0</v>
      </c>
      <c r="D52" s="242">
        <f t="shared" si="2"/>
        <v>111513.56973776344</v>
      </c>
      <c r="E52" s="242">
        <f t="shared" si="3"/>
        <v>363634.55532020022</v>
      </c>
      <c r="F52" s="242">
        <f t="shared" si="4"/>
        <v>3478914.2132373624</v>
      </c>
      <c r="G52" s="242">
        <f t="shared" si="5"/>
        <v>1154244.9566487528</v>
      </c>
      <c r="H52" s="242">
        <f t="shared" si="6"/>
        <v>347901.25333058217</v>
      </c>
      <c r="I52" s="242">
        <f t="shared" si="7"/>
        <v>1224366.9223150993</v>
      </c>
      <c r="J52" s="242">
        <f t="shared" si="8"/>
        <v>384.70862071287632</v>
      </c>
      <c r="K52" s="242">
        <f t="shared" si="9"/>
        <v>6538.8031958188476</v>
      </c>
      <c r="L52" s="242">
        <f t="shared" si="10"/>
        <v>37161.322428846041</v>
      </c>
      <c r="M52" s="240">
        <f t="shared" si="11"/>
        <v>6724660.3048351379</v>
      </c>
    </row>
    <row r="53" spans="1:13" x14ac:dyDescent="0.2">
      <c r="A53" s="811">
        <f t="shared" si="0"/>
        <v>28</v>
      </c>
      <c r="B53" s="1006" t="s">
        <v>2912</v>
      </c>
      <c r="C53" s="242">
        <f t="shared" si="1"/>
        <v>0</v>
      </c>
      <c r="D53" s="242">
        <f t="shared" si="2"/>
        <v>111514.10252859678</v>
      </c>
      <c r="E53" s="242">
        <f t="shared" si="3"/>
        <v>363922.41820344259</v>
      </c>
      <c r="F53" s="242">
        <f t="shared" si="4"/>
        <v>3491604.7208836884</v>
      </c>
      <c r="G53" s="242">
        <f t="shared" si="5"/>
        <v>1152415.2012152581</v>
      </c>
      <c r="H53" s="242">
        <f t="shared" si="6"/>
        <v>348394.76406694954</v>
      </c>
      <c r="I53" s="242">
        <f t="shared" si="7"/>
        <v>1224175.0481072904</v>
      </c>
      <c r="J53" s="242">
        <f t="shared" si="8"/>
        <v>384.88358603567571</v>
      </c>
      <c r="K53" s="242">
        <f t="shared" si="9"/>
        <v>6555.2436974315306</v>
      </c>
      <c r="L53" s="242">
        <f t="shared" si="10"/>
        <v>37153.761989286148</v>
      </c>
      <c r="M53" s="240">
        <f t="shared" si="11"/>
        <v>6736120.1442779796</v>
      </c>
    </row>
    <row r="54" spans="1:13" x14ac:dyDescent="0.2">
      <c r="A54" s="811">
        <f t="shared" si="0"/>
        <v>29</v>
      </c>
      <c r="B54" s="1006" t="s">
        <v>2913</v>
      </c>
      <c r="C54" s="242">
        <f t="shared" si="1"/>
        <v>0</v>
      </c>
      <c r="D54" s="242">
        <f t="shared" si="2"/>
        <v>111524.472993616</v>
      </c>
      <c r="E54" s="242">
        <f t="shared" si="3"/>
        <v>365278.47693791328</v>
      </c>
      <c r="F54" s="242">
        <f t="shared" si="4"/>
        <v>3528882.5627245326</v>
      </c>
      <c r="G54" s="242">
        <f t="shared" si="5"/>
        <v>1152624.5481272025</v>
      </c>
      <c r="H54" s="242">
        <f t="shared" si="6"/>
        <v>348323.01373202517</v>
      </c>
      <c r="I54" s="242">
        <f t="shared" si="7"/>
        <v>1226027.6914051967</v>
      </c>
      <c r="J54" s="242">
        <f t="shared" si="8"/>
        <v>397.26796979389502</v>
      </c>
      <c r="K54" s="242">
        <f t="shared" si="9"/>
        <v>6891.6171717315156</v>
      </c>
      <c r="L54" s="242">
        <f t="shared" si="10"/>
        <v>37146.00422026014</v>
      </c>
      <c r="M54" s="240">
        <f t="shared" si="11"/>
        <v>6777095.655282272</v>
      </c>
    </row>
    <row r="55" spans="1:13" x14ac:dyDescent="0.2">
      <c r="A55" s="811">
        <f t="shared" si="0"/>
        <v>30</v>
      </c>
      <c r="B55" s="1007" t="s">
        <v>2914</v>
      </c>
      <c r="C55" s="242">
        <f t="shared" si="1"/>
        <v>0</v>
      </c>
      <c r="D55" s="242">
        <f t="shared" si="2"/>
        <v>113006.25073116104</v>
      </c>
      <c r="E55" s="242">
        <f t="shared" si="3"/>
        <v>366136.68254406605</v>
      </c>
      <c r="F55" s="242">
        <f t="shared" si="4"/>
        <v>3572579.3959903065</v>
      </c>
      <c r="G55" s="242">
        <f t="shared" si="5"/>
        <v>1173735.7824891957</v>
      </c>
      <c r="H55" s="242">
        <f t="shared" si="6"/>
        <v>350886.30907864711</v>
      </c>
      <c r="I55" s="242">
        <f t="shared" si="7"/>
        <v>1256503.9261761918</v>
      </c>
      <c r="J55" s="242">
        <f t="shared" si="8"/>
        <v>663.75133187386132</v>
      </c>
      <c r="K55" s="242">
        <f t="shared" si="9"/>
        <v>6977.7118731447554</v>
      </c>
      <c r="L55" s="242">
        <f t="shared" si="10"/>
        <v>37104.849411875992</v>
      </c>
      <c r="M55" s="240">
        <f t="shared" si="11"/>
        <v>6877594.6596264625</v>
      </c>
    </row>
    <row r="56" spans="1:13" x14ac:dyDescent="0.2">
      <c r="A56" s="811">
        <f t="shared" si="0"/>
        <v>31</v>
      </c>
      <c r="B56" s="1006" t="s">
        <v>2915</v>
      </c>
      <c r="C56" s="242">
        <f t="shared" si="1"/>
        <v>0</v>
      </c>
      <c r="D56" s="242">
        <f t="shared" si="2"/>
        <v>113059.72328175032</v>
      </c>
      <c r="E56" s="242">
        <f t="shared" si="3"/>
        <v>366353.8449260912</v>
      </c>
      <c r="F56" s="242">
        <f t="shared" si="4"/>
        <v>3589659.2702147984</v>
      </c>
      <c r="G56" s="242">
        <f t="shared" si="5"/>
        <v>1167588.7340434899</v>
      </c>
      <c r="H56" s="242">
        <f t="shared" si="6"/>
        <v>350386.74489131029</v>
      </c>
      <c r="I56" s="242">
        <f t="shared" si="7"/>
        <v>1251814.689828428</v>
      </c>
      <c r="J56" s="242">
        <f t="shared" si="8"/>
        <v>768.74810245260608</v>
      </c>
      <c r="K56" s="242">
        <f t="shared" si="9"/>
        <v>11460.956814722551</v>
      </c>
      <c r="L56" s="242">
        <f t="shared" si="10"/>
        <v>37105.368379141604</v>
      </c>
      <c r="M56" s="240">
        <f t="shared" si="11"/>
        <v>6888198.080482183</v>
      </c>
    </row>
    <row r="57" spans="1:13" x14ac:dyDescent="0.2">
      <c r="A57" s="811">
        <f t="shared" si="0"/>
        <v>32</v>
      </c>
      <c r="B57" s="1006" t="s">
        <v>2916</v>
      </c>
      <c r="C57" s="242">
        <f t="shared" si="1"/>
        <v>0</v>
      </c>
      <c r="D57" s="242">
        <f t="shared" si="2"/>
        <v>113079.67051813692</v>
      </c>
      <c r="E57" s="242">
        <f t="shared" si="3"/>
        <v>368210.23599154531</v>
      </c>
      <c r="F57" s="242">
        <f t="shared" si="4"/>
        <v>3595578.4631386423</v>
      </c>
      <c r="G57" s="242">
        <f t="shared" si="5"/>
        <v>1167670.8102315369</v>
      </c>
      <c r="H57" s="242">
        <f t="shared" si="6"/>
        <v>350416.70257141179</v>
      </c>
      <c r="I57" s="242">
        <f t="shared" si="7"/>
        <v>1254347.3665480874</v>
      </c>
      <c r="J57" s="242">
        <f t="shared" si="8"/>
        <v>792.18841157187501</v>
      </c>
      <c r="K57" s="242">
        <f t="shared" si="9"/>
        <v>12045.539091127976</v>
      </c>
      <c r="L57" s="242">
        <f t="shared" si="10"/>
        <v>37105.372223628714</v>
      </c>
      <c r="M57" s="240">
        <f t="shared" si="11"/>
        <v>6899246.3487256886</v>
      </c>
    </row>
    <row r="58" spans="1:13" x14ac:dyDescent="0.2">
      <c r="A58" s="811">
        <f t="shared" si="0"/>
        <v>33</v>
      </c>
      <c r="B58" s="1007" t="s">
        <v>2917</v>
      </c>
      <c r="C58" s="242">
        <f t="shared" si="1"/>
        <v>0</v>
      </c>
      <c r="D58" s="242">
        <f t="shared" si="2"/>
        <v>113094.11212784384</v>
      </c>
      <c r="E58" s="242">
        <f t="shared" si="3"/>
        <v>368298.8787046895</v>
      </c>
      <c r="F58" s="242">
        <f t="shared" si="4"/>
        <v>3600607.1413492314</v>
      </c>
      <c r="G58" s="242">
        <f t="shared" si="5"/>
        <v>1117676.6923778413</v>
      </c>
      <c r="H58" s="242">
        <f t="shared" si="6"/>
        <v>402008.51287183032</v>
      </c>
      <c r="I58" s="242">
        <f t="shared" si="7"/>
        <v>1074174.4679577658</v>
      </c>
      <c r="J58" s="242">
        <f t="shared" si="8"/>
        <v>790.43677038062913</v>
      </c>
      <c r="K58" s="242">
        <f t="shared" si="9"/>
        <v>11514.786656337606</v>
      </c>
      <c r="L58" s="242">
        <f t="shared" si="10"/>
        <v>143502.3189067824</v>
      </c>
      <c r="M58" s="240">
        <f t="shared" si="11"/>
        <v>6831667.3477227027</v>
      </c>
    </row>
    <row r="59" spans="1:13" x14ac:dyDescent="0.2">
      <c r="A59" s="811">
        <f t="shared" si="0"/>
        <v>34</v>
      </c>
      <c r="B59" s="1007" t="s">
        <v>2918</v>
      </c>
      <c r="C59" s="242">
        <f t="shared" si="1"/>
        <v>0</v>
      </c>
      <c r="D59" s="242">
        <f t="shared" si="2"/>
        <v>113163.4625843547</v>
      </c>
      <c r="E59" s="242">
        <f t="shared" si="3"/>
        <v>368320.28258592752</v>
      </c>
      <c r="F59" s="242">
        <f t="shared" si="4"/>
        <v>3597920.0845075599</v>
      </c>
      <c r="G59" s="242">
        <f t="shared" si="5"/>
        <v>1117829.6724844354</v>
      </c>
      <c r="H59" s="242">
        <f t="shared" si="6"/>
        <v>402211.73867027828</v>
      </c>
      <c r="I59" s="242">
        <f t="shared" si="7"/>
        <v>1073636.4705990127</v>
      </c>
      <c r="J59" s="242">
        <f t="shared" si="8"/>
        <v>788.3304892698003</v>
      </c>
      <c r="K59" s="242">
        <f t="shared" si="9"/>
        <v>11407.741734170753</v>
      </c>
      <c r="L59" s="242">
        <f t="shared" si="10"/>
        <v>143502.78651517988</v>
      </c>
      <c r="M59" s="240">
        <f t="shared" si="11"/>
        <v>6828780.5701701883</v>
      </c>
    </row>
    <row r="60" spans="1:13" x14ac:dyDescent="0.2">
      <c r="A60" s="811">
        <f t="shared" si="0"/>
        <v>35</v>
      </c>
      <c r="B60" s="1006" t="s">
        <v>2919</v>
      </c>
      <c r="C60" s="242">
        <f t="shared" si="1"/>
        <v>0</v>
      </c>
      <c r="D60" s="242">
        <f t="shared" si="2"/>
        <v>113558.82962247432</v>
      </c>
      <c r="E60" s="242">
        <f t="shared" si="3"/>
        <v>368220.40614481713</v>
      </c>
      <c r="F60" s="242">
        <f t="shared" si="4"/>
        <v>3611323.28385075</v>
      </c>
      <c r="G60" s="242">
        <f t="shared" si="5"/>
        <v>1118109.8629245518</v>
      </c>
      <c r="H60" s="242">
        <f t="shared" si="6"/>
        <v>402579.93123217166</v>
      </c>
      <c r="I60" s="242">
        <f t="shared" si="7"/>
        <v>1073884.6980351855</v>
      </c>
      <c r="J60" s="242">
        <f t="shared" si="8"/>
        <v>779.36617248899972</v>
      </c>
      <c r="K60" s="242">
        <f t="shared" si="9"/>
        <v>11288.074180230593</v>
      </c>
      <c r="L60" s="242">
        <f t="shared" si="10"/>
        <v>143502.76947352639</v>
      </c>
      <c r="M60" s="93">
        <f t="shared" si="11"/>
        <v>6843247.2216361966</v>
      </c>
    </row>
    <row r="61" spans="1:13" x14ac:dyDescent="0.2">
      <c r="A61" s="811">
        <f t="shared" si="0"/>
        <v>36</v>
      </c>
      <c r="B61" s="239" t="s">
        <v>225</v>
      </c>
      <c r="C61" s="240">
        <f>SUM(C49:C60)</f>
        <v>0</v>
      </c>
      <c r="D61" s="240">
        <f t="shared" ref="D61:L61" si="12">SUM(D49:D60)</f>
        <v>1348139.4453464414</v>
      </c>
      <c r="E61" s="240">
        <f t="shared" si="12"/>
        <v>4414044.2487993818</v>
      </c>
      <c r="F61" s="240">
        <f t="shared" si="12"/>
        <v>42468124.35587424</v>
      </c>
      <c r="G61" s="240">
        <f t="shared" si="12"/>
        <v>13900140.941499993</v>
      </c>
      <c r="H61" s="240">
        <f t="shared" si="12"/>
        <v>4347492.2310123239</v>
      </c>
      <c r="I61" s="240">
        <f t="shared" si="12"/>
        <v>14181539.610208709</v>
      </c>
      <c r="J61" s="240">
        <f t="shared" si="12"/>
        <v>6931.3494793796399</v>
      </c>
      <c r="K61" s="240">
        <f t="shared" si="12"/>
        <v>107261.70616960246</v>
      </c>
      <c r="L61" s="240">
        <f t="shared" si="12"/>
        <v>764817.3503914302</v>
      </c>
      <c r="M61" s="7"/>
    </row>
    <row r="62" spans="1:13" x14ac:dyDescent="0.2">
      <c r="A62" s="811">
        <f t="shared" si="0"/>
        <v>37</v>
      </c>
      <c r="B62" s="238"/>
      <c r="C62" s="238"/>
      <c r="D62" s="238"/>
      <c r="E62" s="238"/>
      <c r="F62" s="238"/>
      <c r="G62" s="238"/>
      <c r="H62" s="238"/>
      <c r="I62" s="238"/>
      <c r="J62" s="238"/>
      <c r="K62" s="238"/>
      <c r="L62" s="624" t="s">
        <v>1078</v>
      </c>
      <c r="M62" s="240">
        <f>SUM(M49:M60)</f>
        <v>81538491.238781497</v>
      </c>
    </row>
    <row r="63" spans="1:13" x14ac:dyDescent="0.2">
      <c r="A63" s="811">
        <f t="shared" si="0"/>
        <v>38</v>
      </c>
      <c r="B63" s="238"/>
      <c r="C63" s="238"/>
      <c r="D63" s="238"/>
      <c r="E63" s="238"/>
      <c r="F63" s="238"/>
      <c r="G63" s="238"/>
      <c r="H63" s="238"/>
      <c r="I63" s="238"/>
      <c r="J63" s="238"/>
      <c r="K63" s="238"/>
      <c r="L63" s="1009" t="s">
        <v>1079</v>
      </c>
      <c r="M63" s="238"/>
    </row>
    <row r="64" spans="1:13" x14ac:dyDescent="0.2">
      <c r="A64" s="811">
        <f t="shared" si="0"/>
        <v>39</v>
      </c>
      <c r="B64" s="1" t="s">
        <v>1118</v>
      </c>
      <c r="C64" s="238"/>
      <c r="D64" s="238"/>
      <c r="E64" s="238"/>
      <c r="F64" s="238"/>
      <c r="G64" s="238"/>
      <c r="H64" s="238"/>
      <c r="I64" s="238"/>
      <c r="J64" s="238"/>
      <c r="K64" s="238"/>
      <c r="L64" s="238"/>
      <c r="M64" s="238"/>
    </row>
    <row r="65" spans="1:13" x14ac:dyDescent="0.2">
      <c r="A65" s="811">
        <f t="shared" si="0"/>
        <v>40</v>
      </c>
      <c r="B65" s="238"/>
      <c r="C65" s="238"/>
      <c r="D65" s="238"/>
      <c r="E65" s="238"/>
      <c r="F65" s="238"/>
      <c r="G65" s="238"/>
      <c r="H65" s="238"/>
      <c r="I65" s="238"/>
      <c r="J65" s="238"/>
      <c r="K65" s="238"/>
      <c r="L65" s="238"/>
      <c r="M65" s="238"/>
    </row>
    <row r="66" spans="1:13" x14ac:dyDescent="0.2">
      <c r="A66" s="811">
        <f t="shared" si="0"/>
        <v>41</v>
      </c>
      <c r="B66" s="238"/>
      <c r="C66" s="238"/>
      <c r="D66" s="86">
        <v>360</v>
      </c>
      <c r="E66" s="86">
        <v>361</v>
      </c>
      <c r="F66" s="86">
        <v>362</v>
      </c>
      <c r="G66" s="238"/>
      <c r="H66" s="53" t="s">
        <v>207</v>
      </c>
      <c r="I66" s="3"/>
      <c r="J66" s="238"/>
      <c r="K66" s="238"/>
      <c r="L66" s="238"/>
      <c r="M66" s="238"/>
    </row>
    <row r="67" spans="1:13" x14ac:dyDescent="0.2">
      <c r="A67" s="811">
        <f t="shared" si="0"/>
        <v>42</v>
      </c>
      <c r="B67" s="626" t="s">
        <v>1119</v>
      </c>
      <c r="C67" s="238"/>
      <c r="D67" s="242">
        <f>'6-PlantInService'!C34</f>
        <v>25780</v>
      </c>
      <c r="E67" s="242">
        <f>'6-PlantInService'!D34</f>
        <v>1107531</v>
      </c>
      <c r="F67" s="242">
        <f>'6-PlantInService'!E34</f>
        <v>16087946</v>
      </c>
      <c r="G67" s="248"/>
      <c r="H67" s="628" t="str">
        <f>"6-PlantInService Line "&amp;'[1]6-PlantInService'!A35&amp;"."</f>
        <v>6-PlantInService Line 15.</v>
      </c>
      <c r="I67" s="630"/>
      <c r="J67" s="238"/>
      <c r="K67" s="238"/>
      <c r="L67" s="238"/>
      <c r="M67" s="238"/>
    </row>
    <row r="68" spans="1:13" x14ac:dyDescent="0.2">
      <c r="A68" s="811">
        <f t="shared" si="0"/>
        <v>43</v>
      </c>
      <c r="B68" s="626" t="s">
        <v>1120</v>
      </c>
      <c r="C68" s="238"/>
      <c r="D68" s="595">
        <f>'6-PlantInService'!C35</f>
        <v>75876</v>
      </c>
      <c r="E68" s="595">
        <f>'6-PlantInService'!D35</f>
        <v>683247</v>
      </c>
      <c r="F68" s="595">
        <f>'6-PlantInService'!E35</f>
        <v>5875711</v>
      </c>
      <c r="G68" s="248"/>
      <c r="H68" s="628" t="str">
        <f>"6-PlantInService Line "&amp;'[1]6-PlantInService'!A36&amp;"."</f>
        <v>6-PlantInService Line 16.</v>
      </c>
      <c r="I68" s="238"/>
      <c r="J68" s="238"/>
      <c r="K68" s="238"/>
      <c r="M68" s="238"/>
    </row>
    <row r="69" spans="1:13" x14ac:dyDescent="0.2">
      <c r="A69" s="811">
        <f t="shared" si="0"/>
        <v>44</v>
      </c>
      <c r="B69" s="626" t="s">
        <v>1121</v>
      </c>
      <c r="C69" s="238"/>
      <c r="D69" s="242">
        <f>AVERAGE(D67:D68)</f>
        <v>50828</v>
      </c>
      <c r="E69" s="242">
        <f>AVERAGE(E67:E68)</f>
        <v>895389</v>
      </c>
      <c r="F69" s="242">
        <f>AVERAGE(F67:F68)</f>
        <v>10981828.5</v>
      </c>
      <c r="G69" s="248"/>
      <c r="H69" s="1077"/>
      <c r="I69" s="630"/>
      <c r="J69" s="238"/>
      <c r="K69" s="238"/>
      <c r="M69" s="238"/>
    </row>
    <row r="70" spans="1:13" x14ac:dyDescent="0.2">
      <c r="A70" s="811">
        <f t="shared" si="0"/>
        <v>45</v>
      </c>
      <c r="D70" s="14"/>
      <c r="E70" s="14"/>
      <c r="F70" s="14"/>
      <c r="G70" s="14"/>
      <c r="H70" s="14"/>
      <c r="J70" s="238"/>
      <c r="K70" s="238"/>
      <c r="M70" s="238"/>
    </row>
    <row r="71" spans="1:13" x14ac:dyDescent="0.2">
      <c r="A71" s="811">
        <f t="shared" si="0"/>
        <v>46</v>
      </c>
      <c r="B71" s="895" t="s">
        <v>2327</v>
      </c>
      <c r="C71" s="238"/>
      <c r="D71" s="248"/>
      <c r="E71" s="248"/>
      <c r="F71" s="14"/>
      <c r="G71" s="14"/>
      <c r="H71" s="14"/>
      <c r="J71" s="248"/>
      <c r="K71" s="248"/>
      <c r="L71" s="242"/>
      <c r="M71" s="238"/>
    </row>
    <row r="72" spans="1:13" x14ac:dyDescent="0.2">
      <c r="A72" s="811">
        <f t="shared" si="0"/>
        <v>47</v>
      </c>
      <c r="B72" s="238"/>
      <c r="D72" s="376">
        <v>360</v>
      </c>
      <c r="E72" s="376">
        <v>361</v>
      </c>
      <c r="F72" s="376">
        <v>362</v>
      </c>
      <c r="G72" s="14"/>
      <c r="H72" s="14"/>
      <c r="J72" s="248"/>
      <c r="K72" s="248"/>
      <c r="L72" s="242"/>
      <c r="M72" s="238"/>
    </row>
    <row r="73" spans="1:13" x14ac:dyDescent="0.2">
      <c r="A73" s="811">
        <f t="shared" si="0"/>
        <v>48</v>
      </c>
      <c r="D73" s="249">
        <f>'18-DepRates'!$G20</f>
        <v>1.67E-2</v>
      </c>
      <c r="E73" s="249">
        <f>'18-DepRates'!$G21</f>
        <v>3.2000000000000001E-2</v>
      </c>
      <c r="F73" s="249">
        <f>'18-DepRates'!$G22</f>
        <v>3.1300000000000001E-2</v>
      </c>
      <c r="G73" s="14"/>
      <c r="H73" s="14"/>
      <c r="J73" s="248"/>
      <c r="K73" s="248"/>
      <c r="L73" s="242"/>
      <c r="M73" s="238"/>
    </row>
    <row r="74" spans="1:13" x14ac:dyDescent="0.2">
      <c r="A74" s="811">
        <f t="shared" si="0"/>
        <v>49</v>
      </c>
      <c r="D74" s="14"/>
      <c r="E74" s="14"/>
      <c r="F74" s="14"/>
      <c r="G74" s="14"/>
      <c r="H74" s="14"/>
      <c r="J74" s="248"/>
      <c r="K74" s="248"/>
      <c r="L74" s="116"/>
      <c r="M74" s="238"/>
    </row>
    <row r="75" spans="1:13" x14ac:dyDescent="0.2">
      <c r="A75" s="811">
        <f t="shared" si="0"/>
        <v>50</v>
      </c>
      <c r="B75" t="s">
        <v>406</v>
      </c>
      <c r="D75" s="14"/>
      <c r="E75" s="14"/>
      <c r="F75" s="628" t="s">
        <v>2208</v>
      </c>
      <c r="G75" s="14"/>
      <c r="H75" s="14"/>
      <c r="J75" s="248"/>
      <c r="K75" s="248"/>
      <c r="L75" s="249"/>
      <c r="M75" s="238"/>
    </row>
    <row r="76" spans="1:13" x14ac:dyDescent="0.2">
      <c r="A76" s="811">
        <f t="shared" si="0"/>
        <v>51</v>
      </c>
      <c r="J76" s="248"/>
      <c r="K76" s="248"/>
      <c r="L76" s="249"/>
      <c r="M76" s="238"/>
    </row>
    <row r="77" spans="1:13" x14ac:dyDescent="0.2">
      <c r="A77" s="811">
        <f t="shared" si="0"/>
        <v>52</v>
      </c>
      <c r="D77" s="86">
        <v>360</v>
      </c>
      <c r="E77" s="86">
        <v>361</v>
      </c>
      <c r="F77" s="86">
        <v>362</v>
      </c>
      <c r="G77" s="386" t="s">
        <v>224</v>
      </c>
      <c r="J77" s="248"/>
      <c r="K77" s="248"/>
      <c r="L77" s="249"/>
      <c r="M77" s="238"/>
    </row>
    <row r="78" spans="1:13" x14ac:dyDescent="0.2">
      <c r="A78" s="811">
        <f t="shared" ref="A78:A91" si="13">A77+1</f>
        <v>53</v>
      </c>
      <c r="D78" s="73">
        <f xml:space="preserve"> D69*D73</f>
        <v>848.82759999999996</v>
      </c>
      <c r="E78" s="73">
        <f xml:space="preserve"> E69*E73</f>
        <v>28652.448</v>
      </c>
      <c r="F78" s="73">
        <f xml:space="preserve"> F69*F73</f>
        <v>343731.23204999999</v>
      </c>
      <c r="G78" s="7">
        <f>SUM(D78:F78)</f>
        <v>373232.50764999999</v>
      </c>
      <c r="H78" s="16" t="s">
        <v>1122</v>
      </c>
      <c r="J78" s="248"/>
      <c r="K78" s="248"/>
      <c r="L78" s="242"/>
      <c r="M78" s="238"/>
    </row>
    <row r="79" spans="1:13" x14ac:dyDescent="0.2">
      <c r="A79" s="811">
        <f t="shared" si="13"/>
        <v>54</v>
      </c>
      <c r="H79" s="16" t="s">
        <v>1123</v>
      </c>
      <c r="J79" s="248"/>
      <c r="K79" s="248"/>
      <c r="L79" s="248"/>
      <c r="M79" s="238"/>
    </row>
    <row r="80" spans="1:13" x14ac:dyDescent="0.2">
      <c r="A80" s="811">
        <f t="shared" si="13"/>
        <v>55</v>
      </c>
      <c r="J80" s="248"/>
      <c r="K80" s="248"/>
      <c r="L80" s="248"/>
      <c r="M80" s="238"/>
    </row>
    <row r="81" spans="1:13" x14ac:dyDescent="0.2">
      <c r="A81" s="811">
        <f t="shared" si="13"/>
        <v>56</v>
      </c>
      <c r="B81" s="1" t="s">
        <v>1124</v>
      </c>
      <c r="J81" s="248"/>
      <c r="K81" s="248"/>
      <c r="L81" s="248"/>
      <c r="M81" s="238"/>
    </row>
    <row r="82" spans="1:13" x14ac:dyDescent="0.2">
      <c r="A82" s="811">
        <f t="shared" si="13"/>
        <v>57</v>
      </c>
      <c r="B82" s="238"/>
      <c r="C82" s="238"/>
      <c r="D82" s="238"/>
      <c r="E82" s="238"/>
      <c r="F82" s="238"/>
      <c r="G82" s="238"/>
      <c r="H82" s="238"/>
      <c r="I82" s="238"/>
      <c r="J82" s="238"/>
      <c r="K82" s="238"/>
      <c r="L82" s="238"/>
      <c r="M82" s="238"/>
    </row>
    <row r="83" spans="1:13" x14ac:dyDescent="0.2">
      <c r="A83" s="811">
        <f t="shared" si="13"/>
        <v>58</v>
      </c>
      <c r="B83" s="772" t="s">
        <v>1080</v>
      </c>
      <c r="C83" s="238"/>
      <c r="D83" s="238"/>
      <c r="E83" s="238"/>
      <c r="F83" s="238"/>
      <c r="G83" s="238"/>
      <c r="H83" s="243">
        <v>159045538</v>
      </c>
      <c r="I83" s="630" t="s">
        <v>1082</v>
      </c>
      <c r="J83" s="238"/>
      <c r="K83" s="238"/>
      <c r="L83" s="238"/>
      <c r="M83" s="238"/>
    </row>
    <row r="84" spans="1:13" x14ac:dyDescent="0.2">
      <c r="A84" s="811">
        <f t="shared" si="13"/>
        <v>59</v>
      </c>
      <c r="B84" s="626" t="s">
        <v>1081</v>
      </c>
      <c r="C84" s="238"/>
      <c r="D84" s="238"/>
      <c r="E84" s="238"/>
      <c r="F84" s="238"/>
      <c r="G84" s="238"/>
      <c r="H84" s="121">
        <v>161263993</v>
      </c>
      <c r="I84" s="630" t="s">
        <v>1083</v>
      </c>
      <c r="J84" s="238"/>
      <c r="K84" s="238"/>
      <c r="L84" s="238"/>
      <c r="M84" s="238"/>
    </row>
    <row r="85" spans="1:13" x14ac:dyDescent="0.2">
      <c r="A85" s="811">
        <f t="shared" si="13"/>
        <v>60</v>
      </c>
      <c r="B85" s="772" t="s">
        <v>1084</v>
      </c>
      <c r="C85" s="238"/>
      <c r="D85" s="238"/>
      <c r="E85" s="238"/>
      <c r="F85" s="238"/>
      <c r="G85" s="238"/>
      <c r="H85" s="387">
        <f>SUM(H83:H84)</f>
        <v>320309531</v>
      </c>
      <c r="I85" s="630" t="str">
        <f>"Line "&amp;A83&amp;" + Line "&amp;A84&amp;""</f>
        <v>Line 58 + Line 59</v>
      </c>
      <c r="J85" s="238"/>
      <c r="K85" s="238"/>
      <c r="L85" s="238"/>
      <c r="M85" s="238"/>
    </row>
    <row r="86" spans="1:13" x14ac:dyDescent="0.2">
      <c r="A86" s="811">
        <f t="shared" si="13"/>
        <v>61</v>
      </c>
      <c r="B86" s="772" t="s">
        <v>105</v>
      </c>
      <c r="C86" s="238"/>
      <c r="D86" s="238"/>
      <c r="E86" s="238"/>
      <c r="F86" s="238"/>
      <c r="G86" s="238"/>
      <c r="H86" s="259">
        <f>'27-Allocators'!G15</f>
        <v>3.9273273898169321E-2</v>
      </c>
      <c r="I86" s="118" t="str">
        <f>"27-Allocators, Line "&amp;'27-Allocators'!A15&amp;""</f>
        <v>27-Allocators, Line 9</v>
      </c>
      <c r="J86" s="238"/>
      <c r="K86" s="238"/>
      <c r="L86" s="238"/>
      <c r="M86" s="238"/>
    </row>
    <row r="87" spans="1:13" x14ac:dyDescent="0.2">
      <c r="A87" s="811">
        <f t="shared" si="13"/>
        <v>62</v>
      </c>
      <c r="B87" s="772" t="s">
        <v>1085</v>
      </c>
      <c r="C87" s="238"/>
      <c r="D87" s="238"/>
      <c r="E87" s="238"/>
      <c r="F87" s="238"/>
      <c r="G87" s="238"/>
      <c r="H87" s="240">
        <f>H85*H86</f>
        <v>12579603.943157157</v>
      </c>
      <c r="I87" s="630" t="str">
        <f>"Line "&amp;A85&amp;" * Line "&amp;A86&amp;""</f>
        <v>Line 60 * Line 61</v>
      </c>
      <c r="J87" s="238"/>
      <c r="K87" s="238"/>
      <c r="L87" s="238"/>
      <c r="M87" s="238"/>
    </row>
    <row r="88" spans="1:13" x14ac:dyDescent="0.2">
      <c r="A88" s="811">
        <f t="shared" si="13"/>
        <v>63</v>
      </c>
      <c r="B88" s="772"/>
      <c r="C88" s="626"/>
      <c r="D88" s="238"/>
      <c r="E88" s="238"/>
      <c r="F88" s="238"/>
      <c r="G88" s="238"/>
      <c r="H88" s="238"/>
      <c r="I88" s="238"/>
      <c r="J88" s="238"/>
      <c r="K88" s="238"/>
      <c r="L88" s="238"/>
      <c r="M88" s="238"/>
    </row>
    <row r="89" spans="1:13" x14ac:dyDescent="0.2">
      <c r="A89" s="811">
        <f t="shared" si="13"/>
        <v>64</v>
      </c>
      <c r="B89" s="85" t="s">
        <v>2160</v>
      </c>
      <c r="C89" s="238"/>
      <c r="D89" s="238"/>
      <c r="E89" s="238"/>
      <c r="F89" s="238"/>
      <c r="G89" s="238"/>
      <c r="H89" s="238"/>
      <c r="I89" s="238"/>
      <c r="J89" s="238"/>
      <c r="K89" s="238"/>
      <c r="L89" s="238"/>
      <c r="M89" s="238"/>
    </row>
    <row r="90" spans="1:13" x14ac:dyDescent="0.2">
      <c r="A90" s="811">
        <f t="shared" si="13"/>
        <v>65</v>
      </c>
      <c r="B90" s="772"/>
      <c r="C90" s="626"/>
      <c r="D90" s="238"/>
      <c r="E90" s="238"/>
      <c r="F90" s="238"/>
      <c r="G90" s="238"/>
      <c r="H90" s="238"/>
      <c r="I90" s="238"/>
      <c r="J90" s="238"/>
      <c r="K90" s="238"/>
      <c r="L90" s="238"/>
      <c r="M90" s="238"/>
    </row>
    <row r="91" spans="1:13" x14ac:dyDescent="0.2">
      <c r="A91" s="811">
        <f t="shared" si="13"/>
        <v>66</v>
      </c>
      <c r="B91" s="772" t="s">
        <v>2159</v>
      </c>
      <c r="C91" s="238"/>
      <c r="D91" s="238"/>
      <c r="E91" s="238"/>
      <c r="F91" s="3" t="s">
        <v>203</v>
      </c>
      <c r="G91" s="3" t="s">
        <v>207</v>
      </c>
      <c r="H91" s="238"/>
      <c r="I91" s="238"/>
    </row>
    <row r="92" spans="1:13" x14ac:dyDescent="0.2">
      <c r="A92" s="811">
        <f>A91+1</f>
        <v>67</v>
      </c>
      <c r="B92" s="630" t="s">
        <v>1071</v>
      </c>
      <c r="C92" s="238"/>
      <c r="D92" s="238"/>
      <c r="E92" s="238"/>
      <c r="F92" s="256">
        <f>M62</f>
        <v>81538491.238781497</v>
      </c>
      <c r="G92" s="630" t="str">
        <f>"Line "&amp;A62&amp;", Col 12"</f>
        <v>Line 37, Col 12</v>
      </c>
      <c r="H92" s="238"/>
      <c r="I92" s="238"/>
    </row>
    <row r="93" spans="1:13" x14ac:dyDescent="0.2">
      <c r="A93" s="811">
        <f>A92+1</f>
        <v>68</v>
      </c>
      <c r="B93" s="630" t="s">
        <v>1087</v>
      </c>
      <c r="C93" s="238"/>
      <c r="D93" s="238"/>
      <c r="E93" s="238"/>
      <c r="F93" s="240">
        <f>G78</f>
        <v>373232.50764999999</v>
      </c>
      <c r="G93" s="630" t="str">
        <f>"Line "&amp;A78&amp;""</f>
        <v>Line 53</v>
      </c>
      <c r="H93" s="238"/>
      <c r="I93" s="238"/>
    </row>
    <row r="94" spans="1:13" x14ac:dyDescent="0.2">
      <c r="A94" s="811">
        <f>A93+1</f>
        <v>69</v>
      </c>
      <c r="B94" s="630" t="s">
        <v>1086</v>
      </c>
      <c r="C94" s="238"/>
      <c r="D94" s="238"/>
      <c r="E94" s="238"/>
      <c r="F94" s="93">
        <f>H87</f>
        <v>12579603.943157157</v>
      </c>
      <c r="G94" s="630" t="str">
        <f>"Line "&amp;A87&amp;""</f>
        <v>Line 62</v>
      </c>
      <c r="H94" s="238"/>
      <c r="I94" s="238"/>
    </row>
    <row r="95" spans="1:13" x14ac:dyDescent="0.2">
      <c r="A95" s="811">
        <f>A94+1</f>
        <v>70</v>
      </c>
      <c r="B95" s="238"/>
      <c r="C95" s="238"/>
      <c r="D95" s="238"/>
      <c r="E95" s="239" t="s">
        <v>1125</v>
      </c>
      <c r="F95" s="256">
        <f>SUM(F92:F94)</f>
        <v>94491327.689588651</v>
      </c>
      <c r="G95" s="630" t="str">
        <f>"Line "&amp;A92&amp;" + Line "&amp;A93&amp;" + Line "&amp;A94&amp;""</f>
        <v>Line 67 + Line 68 + Line 69</v>
      </c>
      <c r="H95" s="238"/>
      <c r="I95" s="238"/>
    </row>
    <row r="96" spans="1:13" x14ac:dyDescent="0.2">
      <c r="A96" s="238"/>
      <c r="B96" s="1" t="s">
        <v>265</v>
      </c>
      <c r="C96" s="238"/>
      <c r="D96" s="238"/>
      <c r="E96" s="238"/>
      <c r="F96" s="238"/>
      <c r="G96" s="238"/>
      <c r="H96" s="238"/>
      <c r="I96" s="238"/>
    </row>
    <row r="97" spans="1:11" x14ac:dyDescent="0.2">
      <c r="A97" s="238"/>
      <c r="B97" s="626" t="s">
        <v>1741</v>
      </c>
      <c r="C97" s="238"/>
      <c r="D97" s="238"/>
      <c r="E97" s="238"/>
      <c r="F97" s="238"/>
      <c r="G97" s="238"/>
      <c r="H97" s="238"/>
      <c r="I97" s="238"/>
    </row>
    <row r="98" spans="1:11" x14ac:dyDescent="0.2">
      <c r="A98" s="238"/>
      <c r="B98" s="628" t="str">
        <f>"same account, times the Monthly Depreciation Rate for that account.  Monthly rate = annual rates on Line "&amp;A30&amp;" etc. divided by 12."</f>
        <v>same account, times the Monthly Depreciation Rate for that account.  Monthly rate = annual rates on Line 17a etc. divided by 12.</v>
      </c>
      <c r="C98" s="248"/>
      <c r="D98" s="248"/>
      <c r="E98" s="248"/>
      <c r="F98" s="248"/>
      <c r="G98" s="248"/>
      <c r="H98" s="248"/>
      <c r="I98" s="248"/>
      <c r="J98" s="14"/>
      <c r="K98" s="14"/>
    </row>
    <row r="99" spans="1:11" x14ac:dyDescent="0.2">
      <c r="A99" s="238"/>
      <c r="B99" s="628" t="str">
        <f>"2) Depreciation Expense for each account is equal to the Average BOY/EOY value on Line "&amp;A69&amp;" times the"</f>
        <v>2) Depreciation Expense for each account is equal to the Average BOY/EOY value on Line 44 times the</v>
      </c>
      <c r="C99" s="248"/>
      <c r="D99" s="248"/>
      <c r="E99" s="248"/>
      <c r="F99" s="248"/>
      <c r="G99" s="248"/>
      <c r="H99" s="248"/>
      <c r="I99" s="248"/>
      <c r="J99" s="14"/>
      <c r="K99" s="14"/>
    </row>
    <row r="100" spans="1:11" x14ac:dyDescent="0.2">
      <c r="B100" s="628" t="str">
        <f>"Depreciation Rate on Line "&amp;A73&amp;"."</f>
        <v>Depreciation Rate on Line 48.</v>
      </c>
      <c r="C100" s="14"/>
      <c r="D100" s="14"/>
      <c r="E100" s="14"/>
      <c r="F100" s="14"/>
      <c r="G100" s="14"/>
      <c r="H100" s="14"/>
      <c r="I100" s="14"/>
      <c r="J100" s="14"/>
      <c r="K100" s="14"/>
    </row>
    <row r="101" spans="1:11" x14ac:dyDescent="0.2">
      <c r="B101" s="45" t="s">
        <v>429</v>
      </c>
      <c r="C101" s="14"/>
      <c r="D101" s="14"/>
      <c r="E101" s="14"/>
      <c r="F101" s="14"/>
      <c r="G101" s="14"/>
      <c r="H101" s="14"/>
      <c r="I101" s="14"/>
      <c r="J101" s="14"/>
      <c r="K101" s="14"/>
    </row>
    <row r="102" spans="1:11" x14ac:dyDescent="0.2">
      <c r="B102" s="628" t="s">
        <v>2830</v>
      </c>
      <c r="C102" s="14"/>
      <c r="D102" s="14"/>
      <c r="E102" s="14"/>
      <c r="F102" s="14"/>
      <c r="G102" s="14"/>
      <c r="H102" s="14"/>
      <c r="I102" s="14"/>
      <c r="J102" s="14"/>
      <c r="K102" s="14"/>
    </row>
    <row r="103" spans="1:11" x14ac:dyDescent="0.2">
      <c r="B103" s="628" t="s">
        <v>2831</v>
      </c>
      <c r="C103" s="14"/>
      <c r="D103" s="14"/>
      <c r="E103" s="14"/>
      <c r="F103" s="14"/>
      <c r="G103" s="14"/>
      <c r="H103" s="14"/>
      <c r="I103" s="14"/>
      <c r="J103" s="14"/>
      <c r="K103" s="14"/>
    </row>
    <row r="104" spans="1:11" x14ac:dyDescent="0.2">
      <c r="B104" s="14" t="s">
        <v>2832</v>
      </c>
      <c r="C104" s="14"/>
      <c r="D104" s="14"/>
      <c r="E104" s="14"/>
      <c r="F104" s="14"/>
      <c r="G104" s="14"/>
      <c r="H104" s="14"/>
      <c r="I104" s="14"/>
      <c r="J104" s="14"/>
      <c r="K104" s="14"/>
    </row>
    <row r="105" spans="1:11" x14ac:dyDescent="0.2">
      <c r="B105" s="14" t="s">
        <v>2833</v>
      </c>
      <c r="C105" s="14"/>
      <c r="D105" s="14"/>
      <c r="E105" s="14"/>
      <c r="F105" s="14"/>
      <c r="G105" s="14"/>
      <c r="H105" s="14"/>
      <c r="I105" s="14"/>
      <c r="J105" s="14"/>
      <c r="K105" s="14"/>
    </row>
    <row r="106" spans="1:11" x14ac:dyDescent="0.2">
      <c r="B106" s="628" t="s">
        <v>2302</v>
      </c>
      <c r="C106" s="14"/>
      <c r="D106" s="14"/>
      <c r="E106" s="14"/>
      <c r="F106" s="14"/>
      <c r="G106" s="14"/>
      <c r="H106" s="14"/>
      <c r="I106" s="14"/>
      <c r="J106" s="14"/>
      <c r="K106" s="14"/>
    </row>
    <row r="107" spans="1:11" x14ac:dyDescent="0.2">
      <c r="B107" s="628" t="str">
        <f>"for Distribution Plant - ISO on Line "&amp;A78&amp;" utilizing the weighted-average (by time) of the annual depreciation rates in effect in the Prior Year."</f>
        <v>for Distribution Plant - ISO on Line 53 utilizing the weighted-average (by time) of the annual depreciation rates in effect in the Prior Year.</v>
      </c>
      <c r="C107" s="14"/>
      <c r="D107" s="14"/>
      <c r="E107" s="14"/>
      <c r="F107" s="14"/>
      <c r="G107" s="14"/>
      <c r="H107" s="14"/>
      <c r="I107" s="14"/>
      <c r="J107" s="14"/>
      <c r="K107" s="14"/>
    </row>
  </sheetData>
  <pageMargins left="0.7" right="0.7" top="0.75" bottom="0.75" header="0.3" footer="0.3"/>
  <pageSetup scale="63" orientation="landscape" cellComments="asDisplayed" r:id="rId1"/>
  <headerFooter>
    <oddHeader>&amp;CSchedule 17
Depreciation Expense
&amp;"Arial,Bold"Exhibit G-2</oddHeader>
    <oddFooter>&amp;R17-Depreciation</oddFooter>
  </headerFooter>
  <rowBreaks count="1" manualBreakCount="1">
    <brk id="63" max="12"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85" zoomScaleNormal="85" workbookViewId="0"/>
  </sheetViews>
  <sheetFormatPr defaultRowHeight="12.75" x14ac:dyDescent="0.2"/>
  <cols>
    <col min="1" max="1" width="4.7109375" customWidth="1"/>
    <col min="4" max="4" width="38.7109375" customWidth="1"/>
  </cols>
  <sheetData>
    <row r="1" spans="1:7" ht="15" x14ac:dyDescent="0.25">
      <c r="A1" s="388" t="s">
        <v>1126</v>
      </c>
    </row>
    <row r="3" spans="1:7" ht="15" x14ac:dyDescent="0.25">
      <c r="B3" s="388" t="s">
        <v>360</v>
      </c>
      <c r="E3" s="251" t="s">
        <v>423</v>
      </c>
      <c r="F3" s="251"/>
      <c r="G3" s="251"/>
    </row>
    <row r="4" spans="1:7" ht="15" x14ac:dyDescent="0.25">
      <c r="C4" s="251" t="s">
        <v>12</v>
      </c>
      <c r="E4" s="251" t="s">
        <v>1127</v>
      </c>
      <c r="F4" s="4" t="s">
        <v>1128</v>
      </c>
      <c r="G4" s="4"/>
    </row>
    <row r="5" spans="1:7" ht="15" x14ac:dyDescent="0.25">
      <c r="A5" s="53" t="s">
        <v>369</v>
      </c>
      <c r="C5" s="253" t="s">
        <v>111</v>
      </c>
      <c r="D5" s="253" t="s">
        <v>112</v>
      </c>
      <c r="E5" s="253" t="s">
        <v>1129</v>
      </c>
      <c r="F5" s="253" t="s">
        <v>1130</v>
      </c>
      <c r="G5" s="253" t="s">
        <v>224</v>
      </c>
    </row>
    <row r="6" spans="1:7" ht="15" customHeight="1" x14ac:dyDescent="0.25">
      <c r="A6" s="2">
        <v>1</v>
      </c>
      <c r="C6" s="261">
        <v>350.1</v>
      </c>
      <c r="D6" s="389" t="s">
        <v>1131</v>
      </c>
      <c r="E6" s="80">
        <v>0</v>
      </c>
      <c r="F6" s="80">
        <v>0</v>
      </c>
      <c r="G6" s="80">
        <v>0</v>
      </c>
    </row>
    <row r="7" spans="1:7" ht="15" customHeight="1" x14ac:dyDescent="0.25">
      <c r="A7" s="2">
        <f>A6+1</f>
        <v>2</v>
      </c>
      <c r="C7" s="261">
        <v>350.2</v>
      </c>
      <c r="D7" s="389" t="s">
        <v>1132</v>
      </c>
      <c r="E7" s="80">
        <v>1.66E-2</v>
      </c>
      <c r="F7" s="80">
        <v>0</v>
      </c>
      <c r="G7" s="80">
        <v>1.66E-2</v>
      </c>
    </row>
    <row r="8" spans="1:7" x14ac:dyDescent="0.2">
      <c r="A8" s="2">
        <f t="shared" ref="A8:A16" si="0">A7+1</f>
        <v>3</v>
      </c>
      <c r="C8" s="261">
        <v>352</v>
      </c>
      <c r="D8" s="16" t="s">
        <v>1133</v>
      </c>
      <c r="E8" s="80">
        <v>1.7999999999999999E-2</v>
      </c>
      <c r="F8" s="80">
        <v>7.7000000000000002E-3</v>
      </c>
      <c r="G8" s="80">
        <v>2.5700000000000001E-2</v>
      </c>
    </row>
    <row r="9" spans="1:7" x14ac:dyDescent="0.2">
      <c r="A9" s="2">
        <f t="shared" si="0"/>
        <v>4</v>
      </c>
      <c r="C9" s="261">
        <v>353</v>
      </c>
      <c r="D9" s="16" t="s">
        <v>1134</v>
      </c>
      <c r="E9" s="80">
        <v>2.1999999999999999E-2</v>
      </c>
      <c r="F9" s="80">
        <v>2.7000000000000001E-3</v>
      </c>
      <c r="G9" s="80">
        <v>2.47E-2</v>
      </c>
    </row>
    <row r="10" spans="1:7" x14ac:dyDescent="0.2">
      <c r="A10" s="2">
        <f t="shared" si="0"/>
        <v>5</v>
      </c>
      <c r="C10" s="261">
        <v>354</v>
      </c>
      <c r="D10" s="16" t="s">
        <v>1453</v>
      </c>
      <c r="E10" s="80">
        <v>1.35E-2</v>
      </c>
      <c r="F10" s="80">
        <v>1.09E-2</v>
      </c>
      <c r="G10" s="80">
        <v>2.4400000000000002E-2</v>
      </c>
    </row>
    <row r="11" spans="1:7" x14ac:dyDescent="0.2">
      <c r="A11" s="2">
        <f t="shared" si="0"/>
        <v>6</v>
      </c>
      <c r="C11" s="261">
        <v>355</v>
      </c>
      <c r="D11" s="16" t="s">
        <v>1135</v>
      </c>
      <c r="E11" s="80">
        <v>0.02</v>
      </c>
      <c r="F11" s="80">
        <v>1.67E-2</v>
      </c>
      <c r="G11" s="80">
        <v>3.6700000000000003E-2</v>
      </c>
    </row>
    <row r="12" spans="1:7" x14ac:dyDescent="0.2">
      <c r="A12" s="2">
        <f t="shared" si="0"/>
        <v>7</v>
      </c>
      <c r="C12" s="261">
        <v>356</v>
      </c>
      <c r="D12" s="16" t="s">
        <v>1136</v>
      </c>
      <c r="E12" s="80">
        <v>0.02</v>
      </c>
      <c r="F12" s="80">
        <v>1.0500000000000001E-2</v>
      </c>
      <c r="G12" s="80">
        <v>3.0499999999999999E-2</v>
      </c>
    </row>
    <row r="13" spans="1:7" x14ac:dyDescent="0.2">
      <c r="A13" s="2">
        <f t="shared" si="0"/>
        <v>8</v>
      </c>
      <c r="C13" s="261">
        <v>357</v>
      </c>
      <c r="D13" s="16" t="s">
        <v>1137</v>
      </c>
      <c r="E13" s="80">
        <v>1.6500000000000001E-2</v>
      </c>
      <c r="F13" s="80">
        <v>0</v>
      </c>
      <c r="G13" s="80">
        <v>1.6500000000000001E-2</v>
      </c>
    </row>
    <row r="14" spans="1:7" x14ac:dyDescent="0.2">
      <c r="A14" s="2">
        <f t="shared" si="0"/>
        <v>9</v>
      </c>
      <c r="C14" s="261">
        <v>358</v>
      </c>
      <c r="D14" s="16" t="s">
        <v>1138</v>
      </c>
      <c r="E14" s="80">
        <v>3.2599999999999997E-2</v>
      </c>
      <c r="F14" s="80">
        <v>6.1000000000000004E-3</v>
      </c>
      <c r="G14" s="80">
        <v>3.8699999999999998E-2</v>
      </c>
    </row>
    <row r="15" spans="1:7" x14ac:dyDescent="0.2">
      <c r="A15" s="2">
        <f t="shared" si="0"/>
        <v>10</v>
      </c>
      <c r="C15" s="261">
        <v>359</v>
      </c>
      <c r="D15" s="16" t="s">
        <v>1139</v>
      </c>
      <c r="E15" s="80">
        <v>1.5599999999999999E-2</v>
      </c>
      <c r="F15" s="80">
        <v>0</v>
      </c>
      <c r="G15" s="80">
        <v>1.5599999999999999E-2</v>
      </c>
    </row>
    <row r="16" spans="1:7" x14ac:dyDescent="0.2">
      <c r="A16" s="2">
        <f t="shared" si="0"/>
        <v>11</v>
      </c>
    </row>
    <row r="17" spans="1:7" ht="15" x14ac:dyDescent="0.25">
      <c r="B17" s="388" t="s">
        <v>361</v>
      </c>
      <c r="E17" s="251" t="s">
        <v>423</v>
      </c>
      <c r="F17" s="251"/>
      <c r="G17" s="251"/>
    </row>
    <row r="18" spans="1:7" ht="15" x14ac:dyDescent="0.25">
      <c r="C18" s="251" t="s">
        <v>12</v>
      </c>
      <c r="E18" s="251" t="s">
        <v>1127</v>
      </c>
      <c r="F18" s="4" t="s">
        <v>1128</v>
      </c>
      <c r="G18" s="4"/>
    </row>
    <row r="19" spans="1:7" ht="15" x14ac:dyDescent="0.25">
      <c r="C19" s="253" t="s">
        <v>111</v>
      </c>
      <c r="D19" s="253" t="s">
        <v>112</v>
      </c>
      <c r="E19" s="253" t="s">
        <v>1129</v>
      </c>
      <c r="F19" s="253" t="s">
        <v>1130</v>
      </c>
      <c r="G19" s="253" t="s">
        <v>224</v>
      </c>
    </row>
    <row r="20" spans="1:7" ht="15" x14ac:dyDescent="0.25">
      <c r="A20" s="2">
        <f>A16+1</f>
        <v>12</v>
      </c>
      <c r="C20">
        <v>360</v>
      </c>
      <c r="D20" s="16" t="s">
        <v>1140</v>
      </c>
      <c r="E20" s="390">
        <v>1.67E-2</v>
      </c>
      <c r="F20" s="390">
        <v>0</v>
      </c>
      <c r="G20" s="390">
        <v>1.67E-2</v>
      </c>
    </row>
    <row r="21" spans="1:7" ht="15" x14ac:dyDescent="0.25">
      <c r="A21" s="2">
        <f>A20+1</f>
        <v>13</v>
      </c>
      <c r="C21">
        <v>361</v>
      </c>
      <c r="D21" s="16" t="s">
        <v>1133</v>
      </c>
      <c r="E21" s="390">
        <v>2.4299999999999999E-2</v>
      </c>
      <c r="F21" s="390">
        <v>7.7000000000000002E-3</v>
      </c>
      <c r="G21" s="390">
        <v>3.2000000000000001E-2</v>
      </c>
    </row>
    <row r="22" spans="1:7" ht="15" x14ac:dyDescent="0.25">
      <c r="A22" s="2">
        <f>A21+1</f>
        <v>14</v>
      </c>
      <c r="C22">
        <v>362</v>
      </c>
      <c r="D22" s="16" t="s">
        <v>1134</v>
      </c>
      <c r="E22" s="390">
        <v>2.29E-2</v>
      </c>
      <c r="F22" s="390">
        <v>8.3999999999999995E-3</v>
      </c>
      <c r="G22" s="390">
        <v>3.1300000000000001E-2</v>
      </c>
    </row>
    <row r="24" spans="1:7" ht="15" x14ac:dyDescent="0.25">
      <c r="B24" s="388" t="s">
        <v>1141</v>
      </c>
      <c r="E24" s="251" t="s">
        <v>423</v>
      </c>
    </row>
    <row r="25" spans="1:7" ht="15" x14ac:dyDescent="0.25">
      <c r="C25" s="251" t="s">
        <v>12</v>
      </c>
      <c r="E25" s="251" t="s">
        <v>1127</v>
      </c>
      <c r="F25" s="4" t="s">
        <v>1128</v>
      </c>
      <c r="G25" s="4"/>
    </row>
    <row r="26" spans="1:7" ht="15" x14ac:dyDescent="0.25">
      <c r="C26" s="253" t="s">
        <v>111</v>
      </c>
      <c r="D26" s="253" t="s">
        <v>112</v>
      </c>
      <c r="E26" s="253" t="s">
        <v>1129</v>
      </c>
      <c r="F26" s="253" t="s">
        <v>1130</v>
      </c>
      <c r="G26" s="253" t="s">
        <v>224</v>
      </c>
    </row>
    <row r="27" spans="1:7" ht="15" x14ac:dyDescent="0.25">
      <c r="A27" s="2">
        <f>A22+1</f>
        <v>15</v>
      </c>
      <c r="C27" s="391">
        <v>389</v>
      </c>
      <c r="D27" s="389" t="s">
        <v>1140</v>
      </c>
      <c r="E27" s="390">
        <v>1.67E-2</v>
      </c>
      <c r="F27" s="390">
        <v>0</v>
      </c>
      <c r="G27" s="390">
        <v>1.67E-2</v>
      </c>
    </row>
    <row r="28" spans="1:7" ht="15" x14ac:dyDescent="0.25">
      <c r="A28" s="2">
        <f t="shared" ref="A28:A51" si="1">A27+1</f>
        <v>16</v>
      </c>
      <c r="C28" s="391">
        <v>390</v>
      </c>
      <c r="D28" s="389" t="s">
        <v>1133</v>
      </c>
      <c r="E28" s="390">
        <v>1.6899999999999998E-2</v>
      </c>
      <c r="F28" s="390">
        <v>1.1000000000000001E-3</v>
      </c>
      <c r="G28" s="390">
        <v>1.7999999999999999E-2</v>
      </c>
    </row>
    <row r="29" spans="1:7" ht="15" x14ac:dyDescent="0.25">
      <c r="A29" s="2">
        <f t="shared" si="1"/>
        <v>17</v>
      </c>
      <c r="C29" s="391">
        <v>391.1</v>
      </c>
      <c r="D29" s="390" t="s">
        <v>1142</v>
      </c>
      <c r="E29" s="43">
        <f>G29-F29</f>
        <v>0.05</v>
      </c>
      <c r="F29" s="390">
        <v>0</v>
      </c>
      <c r="G29" s="390">
        <v>0.05</v>
      </c>
    </row>
    <row r="30" spans="1:7" ht="15" x14ac:dyDescent="0.25">
      <c r="A30" s="2">
        <f t="shared" si="1"/>
        <v>18</v>
      </c>
      <c r="C30" s="391">
        <v>391.5</v>
      </c>
      <c r="D30" s="390" t="s">
        <v>2057</v>
      </c>
      <c r="E30" s="43">
        <f t="shared" ref="E30:E51" si="2">G30-F30</f>
        <v>0.2</v>
      </c>
      <c r="F30" s="390">
        <v>0</v>
      </c>
      <c r="G30" s="390">
        <v>0.2</v>
      </c>
    </row>
    <row r="31" spans="1:7" ht="15" x14ac:dyDescent="0.25">
      <c r="A31" s="2">
        <f t="shared" si="1"/>
        <v>19</v>
      </c>
      <c r="C31" s="391">
        <v>391.6</v>
      </c>
      <c r="D31" s="390" t="s">
        <v>2058</v>
      </c>
      <c r="E31" s="43">
        <f t="shared" si="2"/>
        <v>0.2</v>
      </c>
      <c r="F31" s="390">
        <v>0</v>
      </c>
      <c r="G31" s="390">
        <v>0.2</v>
      </c>
    </row>
    <row r="32" spans="1:7" ht="15" x14ac:dyDescent="0.25">
      <c r="A32" s="2">
        <f t="shared" si="1"/>
        <v>20</v>
      </c>
      <c r="C32" s="391">
        <v>391.2</v>
      </c>
      <c r="D32" s="390" t="s">
        <v>2059</v>
      </c>
      <c r="E32" s="43">
        <f t="shared" si="2"/>
        <v>0.2</v>
      </c>
      <c r="F32" s="390">
        <v>0</v>
      </c>
      <c r="G32" s="390">
        <v>0.2</v>
      </c>
    </row>
    <row r="33" spans="1:11" ht="15" x14ac:dyDescent="0.25">
      <c r="A33" s="2">
        <f t="shared" si="1"/>
        <v>21</v>
      </c>
      <c r="C33" s="391">
        <v>391.3</v>
      </c>
      <c r="D33" s="390" t="s">
        <v>2060</v>
      </c>
      <c r="E33" s="43">
        <f t="shared" si="2"/>
        <v>0.2</v>
      </c>
      <c r="F33" s="390">
        <v>0</v>
      </c>
      <c r="G33" s="390">
        <v>0.2</v>
      </c>
    </row>
    <row r="34" spans="1:11" ht="15" x14ac:dyDescent="0.25">
      <c r="A34" s="2">
        <f t="shared" si="1"/>
        <v>22</v>
      </c>
      <c r="C34" s="392">
        <v>391.7</v>
      </c>
      <c r="D34" s="390" t="s">
        <v>2061</v>
      </c>
      <c r="E34" s="43">
        <f t="shared" si="2"/>
        <v>0.2</v>
      </c>
      <c r="F34" s="390">
        <v>0</v>
      </c>
      <c r="G34" s="390">
        <v>0.2</v>
      </c>
    </row>
    <row r="35" spans="1:11" ht="15" x14ac:dyDescent="0.25">
      <c r="A35" s="771">
        <f t="shared" si="1"/>
        <v>23</v>
      </c>
      <c r="C35" s="392">
        <v>391.4</v>
      </c>
      <c r="D35" s="390" t="s">
        <v>2062</v>
      </c>
      <c r="E35" s="43">
        <f t="shared" si="2"/>
        <v>0.1429</v>
      </c>
      <c r="F35" s="390">
        <v>0</v>
      </c>
      <c r="G35" s="390">
        <v>0.1429</v>
      </c>
    </row>
    <row r="36" spans="1:11" ht="15" x14ac:dyDescent="0.25">
      <c r="A36" s="771">
        <f t="shared" si="1"/>
        <v>24</v>
      </c>
      <c r="C36" s="391">
        <v>391.4</v>
      </c>
      <c r="D36" s="390" t="s">
        <v>2063</v>
      </c>
      <c r="E36" s="43">
        <f t="shared" si="2"/>
        <v>0.1</v>
      </c>
      <c r="F36" s="390">
        <v>0</v>
      </c>
      <c r="G36" s="390">
        <v>0.1</v>
      </c>
    </row>
    <row r="37" spans="1:11" ht="15" x14ac:dyDescent="0.25">
      <c r="A37" s="771">
        <f t="shared" si="1"/>
        <v>25</v>
      </c>
      <c r="C37" s="392">
        <v>391.4</v>
      </c>
      <c r="D37" s="390" t="s">
        <v>2064</v>
      </c>
      <c r="E37" s="43">
        <f t="shared" si="2"/>
        <v>6.6699999999999995E-2</v>
      </c>
      <c r="F37" s="390">
        <v>0</v>
      </c>
      <c r="G37" s="390">
        <v>6.6699999999999995E-2</v>
      </c>
    </row>
    <row r="38" spans="1:11" ht="15" x14ac:dyDescent="0.25">
      <c r="A38" s="771">
        <f t="shared" si="1"/>
        <v>26</v>
      </c>
      <c r="C38" s="392">
        <v>391.4</v>
      </c>
      <c r="D38" s="390" t="s">
        <v>2065</v>
      </c>
      <c r="E38" s="43">
        <f t="shared" si="2"/>
        <v>0.05</v>
      </c>
      <c r="F38" s="390">
        <v>0</v>
      </c>
      <c r="G38" s="390">
        <v>0.05</v>
      </c>
    </row>
    <row r="39" spans="1:11" ht="15" x14ac:dyDescent="0.25">
      <c r="A39" s="771">
        <f t="shared" si="1"/>
        <v>27</v>
      </c>
      <c r="C39" s="392">
        <v>391.4</v>
      </c>
      <c r="D39" s="390" t="s">
        <v>2066</v>
      </c>
      <c r="E39" s="43">
        <f t="shared" si="2"/>
        <v>0.04</v>
      </c>
      <c r="F39" s="390">
        <v>0</v>
      </c>
      <c r="G39" s="390">
        <v>0.04</v>
      </c>
      <c r="I39" s="390"/>
      <c r="J39" s="390"/>
      <c r="K39" s="390"/>
    </row>
    <row r="40" spans="1:11" ht="15" x14ac:dyDescent="0.25">
      <c r="A40" s="771">
        <f t="shared" si="1"/>
        <v>28</v>
      </c>
      <c r="C40" s="392">
        <v>393</v>
      </c>
      <c r="D40" t="s">
        <v>2067</v>
      </c>
      <c r="E40" s="43">
        <f t="shared" si="2"/>
        <v>0.05</v>
      </c>
      <c r="F40" s="390">
        <v>0</v>
      </c>
      <c r="G40" s="390">
        <v>0.05</v>
      </c>
      <c r="I40" s="390"/>
      <c r="J40" s="390"/>
      <c r="K40" s="390"/>
    </row>
    <row r="41" spans="1:11" ht="15" x14ac:dyDescent="0.25">
      <c r="A41" s="771">
        <f t="shared" si="1"/>
        <v>29</v>
      </c>
      <c r="C41" s="392">
        <v>395</v>
      </c>
      <c r="D41" t="s">
        <v>2068</v>
      </c>
      <c r="E41" s="43">
        <f t="shared" si="2"/>
        <v>6.6699999999999995E-2</v>
      </c>
      <c r="F41" s="390">
        <v>0</v>
      </c>
      <c r="G41" s="390">
        <v>6.6699999999999995E-2</v>
      </c>
      <c r="I41" s="390"/>
      <c r="J41" s="390"/>
      <c r="K41" s="390"/>
    </row>
    <row r="42" spans="1:11" ht="15" x14ac:dyDescent="0.25">
      <c r="A42" s="771">
        <f t="shared" si="1"/>
        <v>30</v>
      </c>
      <c r="C42" s="392">
        <v>398</v>
      </c>
      <c r="D42" t="s">
        <v>2069</v>
      </c>
      <c r="E42" s="43">
        <f t="shared" si="2"/>
        <v>0.05</v>
      </c>
      <c r="F42" s="390">
        <v>0</v>
      </c>
      <c r="G42" s="390">
        <v>0.05</v>
      </c>
      <c r="I42" s="390"/>
      <c r="J42" s="390"/>
      <c r="K42" s="390"/>
    </row>
    <row r="43" spans="1:11" ht="15" x14ac:dyDescent="0.25">
      <c r="A43" s="771">
        <f t="shared" si="1"/>
        <v>31</v>
      </c>
      <c r="C43" s="392">
        <v>397</v>
      </c>
      <c r="D43" t="s">
        <v>2070</v>
      </c>
      <c r="E43" s="43">
        <f t="shared" si="2"/>
        <v>0.1429</v>
      </c>
      <c r="F43" s="390">
        <v>0</v>
      </c>
      <c r="G43" s="390">
        <v>0.1429</v>
      </c>
      <c r="I43" s="390"/>
      <c r="J43" s="390"/>
      <c r="K43" s="390"/>
    </row>
    <row r="44" spans="1:11" ht="15" x14ac:dyDescent="0.25">
      <c r="A44" s="771">
        <f t="shared" si="1"/>
        <v>32</v>
      </c>
      <c r="C44" s="392">
        <v>397</v>
      </c>
      <c r="D44" t="s">
        <v>2071</v>
      </c>
      <c r="E44" s="43">
        <f t="shared" si="2"/>
        <v>0.1</v>
      </c>
      <c r="F44" s="390">
        <v>0</v>
      </c>
      <c r="G44" s="390">
        <v>0.1</v>
      </c>
      <c r="I44" s="390"/>
      <c r="J44" s="390"/>
      <c r="K44" s="390"/>
    </row>
    <row r="45" spans="1:11" ht="15" x14ac:dyDescent="0.25">
      <c r="A45" s="771">
        <f t="shared" si="1"/>
        <v>33</v>
      </c>
      <c r="C45" s="392">
        <v>397</v>
      </c>
      <c r="D45" t="s">
        <v>2072</v>
      </c>
      <c r="E45" s="43">
        <f t="shared" si="2"/>
        <v>6.6699999999999995E-2</v>
      </c>
      <c r="F45" s="390">
        <v>0</v>
      </c>
      <c r="G45" s="390">
        <v>6.6699999999999995E-2</v>
      </c>
      <c r="I45" s="390"/>
      <c r="J45" s="390"/>
      <c r="K45" s="390"/>
    </row>
    <row r="46" spans="1:11" ht="15" x14ac:dyDescent="0.25">
      <c r="A46" s="771">
        <f t="shared" si="1"/>
        <v>34</v>
      </c>
      <c r="C46" s="392">
        <v>397</v>
      </c>
      <c r="D46" t="s">
        <v>2073</v>
      </c>
      <c r="E46" s="1078">
        <v>6.0600000000000001E-2</v>
      </c>
      <c r="F46" s="390">
        <v>0</v>
      </c>
      <c r="G46" s="390">
        <v>6.0600000000000001E-2</v>
      </c>
    </row>
    <row r="47" spans="1:11" ht="15" x14ac:dyDescent="0.25">
      <c r="A47" s="771">
        <f t="shared" si="1"/>
        <v>35</v>
      </c>
      <c r="C47" s="392">
        <v>397</v>
      </c>
      <c r="D47" t="s">
        <v>2074</v>
      </c>
      <c r="E47" s="1078">
        <v>3.7499999999999999E-2</v>
      </c>
      <c r="F47" s="390">
        <v>0</v>
      </c>
      <c r="G47" s="390">
        <v>3.7499999999999999E-2</v>
      </c>
    </row>
    <row r="48" spans="1:11" ht="15" x14ac:dyDescent="0.25">
      <c r="A48" s="771">
        <f t="shared" si="1"/>
        <v>36</v>
      </c>
      <c r="C48" s="392">
        <v>392</v>
      </c>
      <c r="D48" t="s">
        <v>2075</v>
      </c>
      <c r="E48" s="43">
        <f t="shared" si="2"/>
        <v>0.1429</v>
      </c>
      <c r="F48" s="390">
        <v>0</v>
      </c>
      <c r="G48" s="390">
        <v>0.1429</v>
      </c>
    </row>
    <row r="49" spans="1:7" ht="15" x14ac:dyDescent="0.25">
      <c r="A49" s="771">
        <f t="shared" si="1"/>
        <v>37</v>
      </c>
      <c r="C49" s="392">
        <v>394.4</v>
      </c>
      <c r="D49" t="s">
        <v>2076</v>
      </c>
      <c r="E49" s="43">
        <f t="shared" si="2"/>
        <v>0.1</v>
      </c>
      <c r="F49" s="390">
        <v>0</v>
      </c>
      <c r="G49" s="390">
        <v>0.1</v>
      </c>
    </row>
    <row r="50" spans="1:7" ht="15" x14ac:dyDescent="0.25">
      <c r="A50" s="771">
        <f t="shared" si="1"/>
        <v>38</v>
      </c>
      <c r="C50" s="392">
        <v>394.5</v>
      </c>
      <c r="D50" t="s">
        <v>2077</v>
      </c>
      <c r="E50" s="43">
        <f t="shared" si="2"/>
        <v>0.1</v>
      </c>
      <c r="F50" s="390">
        <v>0</v>
      </c>
      <c r="G50" s="390">
        <v>0.1</v>
      </c>
    </row>
    <row r="51" spans="1:7" ht="15" x14ac:dyDescent="0.25">
      <c r="A51" s="771">
        <f t="shared" si="1"/>
        <v>39</v>
      </c>
      <c r="C51" s="392">
        <v>396</v>
      </c>
      <c r="D51" t="s">
        <v>2078</v>
      </c>
      <c r="E51" s="43">
        <f t="shared" si="2"/>
        <v>6.6699999999999995E-2</v>
      </c>
      <c r="F51" s="390">
        <v>0</v>
      </c>
      <c r="G51" s="390">
        <v>6.6699999999999995E-2</v>
      </c>
    </row>
    <row r="53" spans="1:7" ht="15" x14ac:dyDescent="0.25">
      <c r="B53" s="388" t="s">
        <v>1143</v>
      </c>
      <c r="E53" s="251" t="s">
        <v>423</v>
      </c>
    </row>
    <row r="54" spans="1:7" ht="15" x14ac:dyDescent="0.25">
      <c r="C54" s="251" t="s">
        <v>12</v>
      </c>
      <c r="E54" s="251" t="s">
        <v>1127</v>
      </c>
      <c r="F54" s="4" t="s">
        <v>1128</v>
      </c>
      <c r="G54" s="4"/>
    </row>
    <row r="55" spans="1:7" ht="15" x14ac:dyDescent="0.25">
      <c r="C55" s="253" t="s">
        <v>111</v>
      </c>
      <c r="D55" s="253" t="s">
        <v>112</v>
      </c>
      <c r="E55" s="253" t="s">
        <v>1129</v>
      </c>
      <c r="F55" s="253" t="s">
        <v>1130</v>
      </c>
      <c r="G55" s="253" t="s">
        <v>224</v>
      </c>
    </row>
    <row r="56" spans="1:7" ht="15" x14ac:dyDescent="0.25">
      <c r="A56" s="2">
        <f>A51+1</f>
        <v>40</v>
      </c>
      <c r="C56" s="392">
        <v>302</v>
      </c>
      <c r="D56" s="389" t="s">
        <v>1144</v>
      </c>
      <c r="E56" s="390">
        <v>2.64E-2</v>
      </c>
      <c r="F56" s="390">
        <v>0</v>
      </c>
      <c r="G56" s="390">
        <v>2.64E-2</v>
      </c>
    </row>
    <row r="57" spans="1:7" ht="15" x14ac:dyDescent="0.25">
      <c r="A57" s="2">
        <f t="shared" ref="A57:A62" si="3">A56+1</f>
        <v>41</v>
      </c>
      <c r="C57" s="392">
        <v>303</v>
      </c>
      <c r="D57" s="389" t="s">
        <v>1145</v>
      </c>
      <c r="E57" s="390">
        <v>2.5000000000000001E-2</v>
      </c>
      <c r="F57" s="390">
        <v>0</v>
      </c>
      <c r="G57" s="390">
        <v>2.5000000000000001E-2</v>
      </c>
    </row>
    <row r="58" spans="1:7" ht="15" x14ac:dyDescent="0.25">
      <c r="A58" s="2">
        <f t="shared" si="3"/>
        <v>42</v>
      </c>
      <c r="C58" s="392">
        <v>301</v>
      </c>
      <c r="D58" s="389" t="s">
        <v>1146</v>
      </c>
      <c r="E58" s="390">
        <v>0.05</v>
      </c>
      <c r="F58" s="390">
        <v>0</v>
      </c>
      <c r="G58" s="390">
        <v>0.05</v>
      </c>
    </row>
    <row r="59" spans="1:7" ht="15" x14ac:dyDescent="0.25">
      <c r="A59" s="2">
        <f t="shared" si="3"/>
        <v>43</v>
      </c>
      <c r="C59" s="392">
        <v>303</v>
      </c>
      <c r="D59" s="389" t="s">
        <v>1147</v>
      </c>
      <c r="E59" s="390">
        <v>0.21410000000000001</v>
      </c>
      <c r="F59" s="390">
        <v>0</v>
      </c>
      <c r="G59" s="390">
        <v>0.21410000000000001</v>
      </c>
    </row>
    <row r="60" spans="1:7" ht="15" x14ac:dyDescent="0.25">
      <c r="A60" s="2">
        <f t="shared" si="3"/>
        <v>44</v>
      </c>
      <c r="C60" s="392">
        <v>303</v>
      </c>
      <c r="D60" s="389" t="s">
        <v>1148</v>
      </c>
      <c r="E60" s="390">
        <v>0.14710000000000001</v>
      </c>
      <c r="F60" s="390">
        <v>0</v>
      </c>
      <c r="G60" s="390">
        <v>0.14710000000000001</v>
      </c>
    </row>
    <row r="61" spans="1:7" ht="15" x14ac:dyDescent="0.25">
      <c r="A61" s="2">
        <f t="shared" si="3"/>
        <v>45</v>
      </c>
      <c r="C61" s="392">
        <v>303</v>
      </c>
      <c r="D61" s="389" t="s">
        <v>1149</v>
      </c>
      <c r="E61" s="390">
        <v>0.1</v>
      </c>
      <c r="F61" s="390">
        <v>0</v>
      </c>
      <c r="G61" s="390">
        <v>0.1</v>
      </c>
    </row>
    <row r="62" spans="1:7" ht="15" x14ac:dyDescent="0.25">
      <c r="A62" s="2">
        <f t="shared" si="3"/>
        <v>46</v>
      </c>
      <c r="C62" s="392">
        <v>303</v>
      </c>
      <c r="D62" s="389" t="s">
        <v>1150</v>
      </c>
      <c r="E62" s="390">
        <v>6.6699999999999995E-2</v>
      </c>
      <c r="F62" s="390">
        <v>0</v>
      </c>
      <c r="G62" s="390">
        <v>6.6699999999999995E-2</v>
      </c>
    </row>
    <row r="63" spans="1:7" x14ac:dyDescent="0.2">
      <c r="B63" s="628" t="s">
        <v>2253</v>
      </c>
      <c r="C63" s="14"/>
      <c r="D63" s="14"/>
      <c r="E63" s="14"/>
      <c r="F63" s="14"/>
      <c r="G63" s="14"/>
    </row>
    <row r="64" spans="1:7" x14ac:dyDescent="0.2">
      <c r="B64" s="628" t="s">
        <v>2252</v>
      </c>
      <c r="C64" s="14"/>
      <c r="D64" s="14"/>
      <c r="E64" s="14"/>
      <c r="F64" s="14"/>
      <c r="G64" s="14"/>
    </row>
  </sheetData>
  <pageMargins left="0.7" right="0.7" top="0.75" bottom="0.75" header="0.3" footer="0.3"/>
  <pageSetup scale="75" orientation="portrait" cellComments="asDisplayed" r:id="rId1"/>
  <headerFooter>
    <oddHeader>&amp;CSchedule 18
Depreciation Rates
&amp;"Arial,Bold"Exhibit G-2</oddHeader>
    <oddFooter>&amp;R18-DepRates</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6"/>
  <sheetViews>
    <sheetView zoomScale="75" zoomScaleNormal="75" workbookViewId="0"/>
  </sheetViews>
  <sheetFormatPr defaultRowHeight="12.75" x14ac:dyDescent="0.2"/>
  <cols>
    <col min="1" max="1" width="5.7109375" style="479" customWidth="1"/>
    <col min="2" max="2" width="50.7109375" style="479" customWidth="1"/>
    <col min="3" max="5" width="14.7109375" style="554" customWidth="1"/>
    <col min="6" max="6" width="12.7109375" style="567" customWidth="1"/>
    <col min="7" max="7" width="12.7109375" style="504" customWidth="1"/>
    <col min="8" max="9" width="14.7109375" style="505" customWidth="1"/>
    <col min="10" max="12" width="14.7109375" style="479" customWidth="1"/>
  </cols>
  <sheetData>
    <row r="1" spans="1:12" ht="12.75" customHeight="1" x14ac:dyDescent="0.3">
      <c r="A1" s="478" t="s">
        <v>1535</v>
      </c>
      <c r="C1" s="480"/>
      <c r="D1" s="481"/>
      <c r="E1" s="481"/>
      <c r="F1" s="482"/>
      <c r="G1" s="483"/>
      <c r="H1" s="483"/>
      <c r="I1" s="483"/>
      <c r="J1" s="483"/>
      <c r="K1"/>
      <c r="L1"/>
    </row>
    <row r="2" spans="1:12" ht="12.75" customHeight="1" x14ac:dyDescent="0.3">
      <c r="A2" s="484"/>
      <c r="C2" s="480"/>
      <c r="D2" s="481"/>
      <c r="E2" s="481"/>
      <c r="F2" s="485"/>
      <c r="G2" s="157" t="s">
        <v>341</v>
      </c>
      <c r="H2" s="99"/>
      <c r="I2" s="481"/>
      <c r="J2" s="483"/>
      <c r="K2" s="483"/>
      <c r="L2" s="483"/>
    </row>
    <row r="3" spans="1:12" ht="12.75" customHeight="1" x14ac:dyDescent="0.2">
      <c r="A3" s="486"/>
      <c r="B3" s="487" t="s">
        <v>1536</v>
      </c>
      <c r="C3" s="489"/>
      <c r="D3" s="489"/>
      <c r="E3" s="489"/>
      <c r="F3" s="490"/>
      <c r="G3" s="488"/>
      <c r="H3" s="488"/>
      <c r="I3" s="488"/>
      <c r="J3" s="488"/>
      <c r="K3" s="488"/>
      <c r="L3" s="491"/>
    </row>
    <row r="4" spans="1:12" ht="12.75" customHeight="1" x14ac:dyDescent="0.3">
      <c r="A4" s="492"/>
      <c r="B4" s="484"/>
      <c r="C4" s="493"/>
      <c r="D4" s="493"/>
      <c r="E4" s="493"/>
      <c r="F4" s="494"/>
      <c r="G4" s="26"/>
      <c r="H4" s="26"/>
      <c r="I4" s="26"/>
      <c r="J4" s="26"/>
      <c r="K4" s="26"/>
      <c r="L4" s="483"/>
    </row>
    <row r="5" spans="1:12" ht="12.75" customHeight="1" x14ac:dyDescent="0.2">
      <c r="A5" s="488"/>
      <c r="B5" s="495" t="s">
        <v>403</v>
      </c>
      <c r="C5" s="495" t="s">
        <v>387</v>
      </c>
      <c r="D5" s="495" t="s">
        <v>388</v>
      </c>
      <c r="E5" s="495" t="s">
        <v>389</v>
      </c>
      <c r="F5" s="496" t="s">
        <v>390</v>
      </c>
      <c r="G5" s="495" t="s">
        <v>391</v>
      </c>
      <c r="H5" s="495" t="s">
        <v>392</v>
      </c>
      <c r="I5" s="495" t="s">
        <v>606</v>
      </c>
      <c r="J5" s="495" t="s">
        <v>1055</v>
      </c>
      <c r="K5" s="495" t="s">
        <v>1072</v>
      </c>
      <c r="L5" s="495" t="s">
        <v>1075</v>
      </c>
    </row>
    <row r="6" spans="1:12" ht="12.75" customHeight="1" x14ac:dyDescent="0.2">
      <c r="A6" s="492"/>
      <c r="B6" s="484"/>
      <c r="C6" s="497" t="s">
        <v>1537</v>
      </c>
      <c r="D6" s="493"/>
      <c r="E6" s="493"/>
      <c r="F6" s="498" t="s">
        <v>405</v>
      </c>
      <c r="G6" s="497" t="s">
        <v>1538</v>
      </c>
      <c r="H6" s="499"/>
      <c r="I6" s="499"/>
      <c r="J6" s="497" t="s">
        <v>1539</v>
      </c>
      <c r="K6" s="497" t="s">
        <v>1540</v>
      </c>
      <c r="L6" s="500" t="s">
        <v>1541</v>
      </c>
    </row>
    <row r="7" spans="1:12" ht="12.75" customHeight="1" x14ac:dyDescent="0.2">
      <c r="C7" s="501"/>
      <c r="D7" s="502"/>
      <c r="E7" s="502"/>
      <c r="F7" s="503"/>
      <c r="J7" s="506"/>
    </row>
    <row r="8" spans="1:12" x14ac:dyDescent="0.2">
      <c r="A8" s="507"/>
      <c r="B8" s="1199" t="s">
        <v>1542</v>
      </c>
      <c r="C8" s="1201" t="s">
        <v>1543</v>
      </c>
      <c r="D8" s="1201"/>
      <c r="E8" s="1201"/>
      <c r="F8" s="509"/>
      <c r="G8" s="1197" t="s">
        <v>1544</v>
      </c>
      <c r="H8" s="1197"/>
      <c r="I8" s="1198"/>
      <c r="J8" s="1196" t="s">
        <v>1545</v>
      </c>
      <c r="K8" s="1197"/>
      <c r="L8" s="1198"/>
    </row>
    <row r="9" spans="1:12" x14ac:dyDescent="0.2">
      <c r="A9" s="53"/>
      <c r="B9" s="1200"/>
      <c r="C9" s="508" t="s">
        <v>224</v>
      </c>
      <c r="D9" s="508" t="s">
        <v>1546</v>
      </c>
      <c r="E9" s="510" t="s">
        <v>1547</v>
      </c>
      <c r="F9" s="511" t="s">
        <v>1479</v>
      </c>
      <c r="G9" s="510" t="s">
        <v>224</v>
      </c>
      <c r="H9" s="510" t="s">
        <v>1546</v>
      </c>
      <c r="I9" s="510" t="s">
        <v>1547</v>
      </c>
      <c r="J9" s="508" t="s">
        <v>224</v>
      </c>
      <c r="K9" s="510" t="s">
        <v>1546</v>
      </c>
      <c r="L9" s="510" t="s">
        <v>1547</v>
      </c>
    </row>
    <row r="10" spans="1:12" x14ac:dyDescent="0.2">
      <c r="A10" s="53" t="s">
        <v>369</v>
      </c>
      <c r="B10" s="512" t="s">
        <v>1548</v>
      </c>
      <c r="C10" s="268"/>
      <c r="D10" s="268"/>
      <c r="E10" s="513"/>
      <c r="F10" s="514"/>
      <c r="G10" s="513"/>
      <c r="H10" s="513"/>
      <c r="I10" s="513"/>
      <c r="J10" s="268"/>
      <c r="K10" s="513"/>
      <c r="L10" s="513"/>
    </row>
    <row r="11" spans="1:12" x14ac:dyDescent="0.2">
      <c r="A11" s="2">
        <v>1</v>
      </c>
      <c r="B11" s="54" t="s">
        <v>1549</v>
      </c>
      <c r="C11" s="573">
        <f>SUM(D11:E11)</f>
        <v>12746578.559999999</v>
      </c>
      <c r="D11" s="1161">
        <v>6405720.0899999989</v>
      </c>
      <c r="E11" s="1161">
        <v>6340858.4700000007</v>
      </c>
      <c r="F11" s="1162" t="s">
        <v>630</v>
      </c>
      <c r="G11" s="574">
        <f t="shared" ref="G11:G61" si="0">SUM(H11:I11)</f>
        <v>-41203</v>
      </c>
      <c r="H11" s="1161">
        <v>-24000</v>
      </c>
      <c r="I11" s="1161">
        <v>-17203</v>
      </c>
      <c r="J11" s="517">
        <f>SUM(K11:L11)</f>
        <v>12705375.559999999</v>
      </c>
      <c r="K11" s="517">
        <f>D11+H11</f>
        <v>6381720.0899999989</v>
      </c>
      <c r="L11" s="517">
        <f>E11+I11</f>
        <v>6323655.4700000007</v>
      </c>
    </row>
    <row r="12" spans="1:12" x14ac:dyDescent="0.2">
      <c r="A12" s="2">
        <f>A11+1</f>
        <v>2</v>
      </c>
      <c r="B12" s="54" t="s">
        <v>1550</v>
      </c>
      <c r="C12" s="573">
        <f t="shared" ref="C12:C59" si="1">SUM(D12:E12)</f>
        <v>282900.90999999997</v>
      </c>
      <c r="D12" s="1161">
        <v>0</v>
      </c>
      <c r="E12" s="1161">
        <v>282900.90999999997</v>
      </c>
      <c r="F12" s="1162"/>
      <c r="G12" s="574">
        <f t="shared" si="0"/>
        <v>0</v>
      </c>
      <c r="H12" s="1161"/>
      <c r="I12" s="1161"/>
      <c r="J12" s="517">
        <f t="shared" ref="J12:J61" si="2">SUM(K12:L12)</f>
        <v>282900.90999999997</v>
      </c>
      <c r="K12" s="517">
        <f t="shared" ref="K12:L27" si="3">D12+H12</f>
        <v>0</v>
      </c>
      <c r="L12" s="517">
        <f t="shared" si="3"/>
        <v>282900.90999999997</v>
      </c>
    </row>
    <row r="13" spans="1:12" x14ac:dyDescent="0.2">
      <c r="A13" s="2">
        <f t="shared" ref="A13:A63" si="4">A12+1</f>
        <v>3</v>
      </c>
      <c r="B13" s="519" t="s">
        <v>1551</v>
      </c>
      <c r="C13" s="573">
        <f t="shared" si="1"/>
        <v>379489.83</v>
      </c>
      <c r="D13" s="1161">
        <v>-10.089999999999996</v>
      </c>
      <c r="E13" s="1161">
        <v>379499.92000000004</v>
      </c>
      <c r="F13" s="1162"/>
      <c r="G13" s="574">
        <f t="shared" si="0"/>
        <v>0</v>
      </c>
      <c r="H13" s="1161"/>
      <c r="I13" s="1161"/>
      <c r="J13" s="517">
        <f t="shared" si="2"/>
        <v>379489.83</v>
      </c>
      <c r="K13" s="517">
        <f t="shared" si="3"/>
        <v>-10.089999999999996</v>
      </c>
      <c r="L13" s="517">
        <f t="shared" si="3"/>
        <v>379499.92000000004</v>
      </c>
    </row>
    <row r="14" spans="1:12" x14ac:dyDescent="0.2">
      <c r="A14" s="2">
        <f t="shared" si="4"/>
        <v>4</v>
      </c>
      <c r="B14" s="519" t="s">
        <v>1552</v>
      </c>
      <c r="C14" s="573">
        <f t="shared" si="1"/>
        <v>675463.41</v>
      </c>
      <c r="D14" s="1161">
        <v>494161.56</v>
      </c>
      <c r="E14" s="1161">
        <v>181301.85</v>
      </c>
      <c r="F14" s="1162"/>
      <c r="G14" s="574">
        <f t="shared" si="0"/>
        <v>0</v>
      </c>
      <c r="H14" s="1161"/>
      <c r="I14" s="1161"/>
      <c r="J14" s="517">
        <f t="shared" si="2"/>
        <v>675463.41</v>
      </c>
      <c r="K14" s="517">
        <f t="shared" si="3"/>
        <v>494161.56</v>
      </c>
      <c r="L14" s="517">
        <f t="shared" si="3"/>
        <v>181301.85</v>
      </c>
    </row>
    <row r="15" spans="1:12" x14ac:dyDescent="0.2">
      <c r="A15" s="2">
        <f t="shared" si="4"/>
        <v>5</v>
      </c>
      <c r="B15" s="519" t="s">
        <v>1553</v>
      </c>
      <c r="C15" s="573">
        <f t="shared" si="1"/>
        <v>5385358.9500000002</v>
      </c>
      <c r="D15" s="1161">
        <v>4264420.95</v>
      </c>
      <c r="E15" s="1161">
        <v>1120938</v>
      </c>
      <c r="F15" s="1162" t="s">
        <v>630</v>
      </c>
      <c r="G15" s="574">
        <f t="shared" si="0"/>
        <v>-850</v>
      </c>
      <c r="H15" s="1161"/>
      <c r="I15" s="1161">
        <v>-850</v>
      </c>
      <c r="J15" s="517">
        <f t="shared" si="2"/>
        <v>5384508.9500000002</v>
      </c>
      <c r="K15" s="517">
        <f t="shared" si="3"/>
        <v>4264420.95</v>
      </c>
      <c r="L15" s="517">
        <f t="shared" si="3"/>
        <v>1120088</v>
      </c>
    </row>
    <row r="16" spans="1:12" x14ac:dyDescent="0.2">
      <c r="A16" s="2">
        <f t="shared" si="4"/>
        <v>6</v>
      </c>
      <c r="B16" s="519" t="s">
        <v>1554</v>
      </c>
      <c r="C16" s="573">
        <f t="shared" si="1"/>
        <v>40489133.520000003</v>
      </c>
      <c r="D16" s="1161">
        <v>0</v>
      </c>
      <c r="E16" s="1161">
        <v>40489133.520000003</v>
      </c>
      <c r="F16" s="1163" t="s">
        <v>624</v>
      </c>
      <c r="G16" s="574">
        <f t="shared" si="0"/>
        <v>-40489133.520000003</v>
      </c>
      <c r="H16" s="1161">
        <v>0</v>
      </c>
      <c r="I16" s="1161">
        <v>-40489133.520000003</v>
      </c>
      <c r="J16" s="517">
        <f t="shared" si="2"/>
        <v>0</v>
      </c>
      <c r="K16" s="517">
        <f t="shared" si="3"/>
        <v>0</v>
      </c>
      <c r="L16" s="517">
        <f t="shared" si="3"/>
        <v>0</v>
      </c>
    </row>
    <row r="17" spans="1:12" x14ac:dyDescent="0.2">
      <c r="A17" s="2">
        <f t="shared" si="4"/>
        <v>7</v>
      </c>
      <c r="B17" s="519" t="s">
        <v>1555</v>
      </c>
      <c r="C17" s="573">
        <f t="shared" si="1"/>
        <v>4587545.2100000009</v>
      </c>
      <c r="D17" s="1161">
        <v>4101812.0400000005</v>
      </c>
      <c r="E17" s="1161">
        <v>485733.17000000027</v>
      </c>
      <c r="F17" s="1162" t="s">
        <v>630</v>
      </c>
      <c r="G17" s="574">
        <f t="shared" si="0"/>
        <v>-12125</v>
      </c>
      <c r="H17" s="1161">
        <v>-9500</v>
      </c>
      <c r="I17" s="1161">
        <v>-2625</v>
      </c>
      <c r="J17" s="517">
        <f t="shared" si="2"/>
        <v>4575420.2100000009</v>
      </c>
      <c r="K17" s="517">
        <f t="shared" si="3"/>
        <v>4092312.0400000005</v>
      </c>
      <c r="L17" s="517">
        <f t="shared" si="3"/>
        <v>483108.17000000027</v>
      </c>
    </row>
    <row r="18" spans="1:12" x14ac:dyDescent="0.2">
      <c r="A18" s="2">
        <f t="shared" si="4"/>
        <v>8</v>
      </c>
      <c r="B18" s="519" t="s">
        <v>1556</v>
      </c>
      <c r="C18" s="573">
        <f t="shared" si="1"/>
        <v>64682.649999999994</v>
      </c>
      <c r="D18" s="1161">
        <v>64682.62999999999</v>
      </c>
      <c r="E18" s="1161">
        <v>2.0000000004074536E-2</v>
      </c>
      <c r="F18" s="1162" t="s">
        <v>625</v>
      </c>
      <c r="G18" s="574">
        <f t="shared" si="0"/>
        <v>-64682.649999999994</v>
      </c>
      <c r="H18" s="1161">
        <v>-64682.62999999999</v>
      </c>
      <c r="I18" s="1161">
        <v>-2.0000000004074536E-2</v>
      </c>
      <c r="J18" s="517">
        <f t="shared" si="2"/>
        <v>0</v>
      </c>
      <c r="K18" s="517">
        <f t="shared" si="3"/>
        <v>0</v>
      </c>
      <c r="L18" s="517">
        <f t="shared" si="3"/>
        <v>0</v>
      </c>
    </row>
    <row r="19" spans="1:12" x14ac:dyDescent="0.2">
      <c r="A19" s="2">
        <f t="shared" si="4"/>
        <v>9</v>
      </c>
      <c r="B19" s="519" t="s">
        <v>1557</v>
      </c>
      <c r="C19" s="573">
        <f t="shared" si="1"/>
        <v>15837320.530000005</v>
      </c>
      <c r="D19" s="1161">
        <v>11184331.590000002</v>
      </c>
      <c r="E19" s="1161">
        <v>4652988.9400000032</v>
      </c>
      <c r="F19" s="1162" t="s">
        <v>630</v>
      </c>
      <c r="G19" s="574">
        <f t="shared" si="0"/>
        <v>-250</v>
      </c>
      <c r="H19" s="1161"/>
      <c r="I19" s="1161">
        <v>-250</v>
      </c>
      <c r="J19" s="517">
        <f t="shared" si="2"/>
        <v>15837070.530000005</v>
      </c>
      <c r="K19" s="517">
        <f t="shared" si="3"/>
        <v>11184331.590000002</v>
      </c>
      <c r="L19" s="517">
        <f t="shared" si="3"/>
        <v>4652738.9400000032</v>
      </c>
    </row>
    <row r="20" spans="1:12" x14ac:dyDescent="0.2">
      <c r="A20" s="2">
        <f t="shared" si="4"/>
        <v>10</v>
      </c>
      <c r="B20" s="519" t="s">
        <v>1558</v>
      </c>
      <c r="C20" s="573">
        <f t="shared" si="1"/>
        <v>4030768.17</v>
      </c>
      <c r="D20" s="1161">
        <v>2416866.8899999997</v>
      </c>
      <c r="E20" s="1161">
        <v>1613901.2800000003</v>
      </c>
      <c r="F20" s="1162"/>
      <c r="G20" s="574">
        <f t="shared" si="0"/>
        <v>0</v>
      </c>
      <c r="H20" s="1161"/>
      <c r="I20" s="1161"/>
      <c r="J20" s="517">
        <f t="shared" si="2"/>
        <v>4030768.17</v>
      </c>
      <c r="K20" s="517">
        <f t="shared" si="3"/>
        <v>2416866.8899999997</v>
      </c>
      <c r="L20" s="517">
        <f t="shared" si="3"/>
        <v>1613901.2800000003</v>
      </c>
    </row>
    <row r="21" spans="1:12" x14ac:dyDescent="0.2">
      <c r="A21" s="2">
        <f t="shared" si="4"/>
        <v>11</v>
      </c>
      <c r="B21" s="519" t="s">
        <v>1559</v>
      </c>
      <c r="C21" s="573">
        <f t="shared" si="1"/>
        <v>682254.3899999999</v>
      </c>
      <c r="D21" s="1161">
        <v>0</v>
      </c>
      <c r="E21" s="1161">
        <v>682254.3899999999</v>
      </c>
      <c r="F21" s="1162"/>
      <c r="G21" s="574">
        <f t="shared" si="0"/>
        <v>0</v>
      </c>
      <c r="H21" s="1161"/>
      <c r="I21" s="1161"/>
      <c r="J21" s="517">
        <f t="shared" si="2"/>
        <v>682254.3899999999</v>
      </c>
      <c r="K21" s="517">
        <f t="shared" si="3"/>
        <v>0</v>
      </c>
      <c r="L21" s="517">
        <f t="shared" si="3"/>
        <v>682254.3899999999</v>
      </c>
    </row>
    <row r="22" spans="1:12" x14ac:dyDescent="0.2">
      <c r="A22" s="2">
        <f t="shared" si="4"/>
        <v>12</v>
      </c>
      <c r="B22" s="519" t="s">
        <v>1560</v>
      </c>
      <c r="C22" s="573">
        <f t="shared" si="1"/>
        <v>4781155.8299999991</v>
      </c>
      <c r="D22" s="1161">
        <v>2733192.8499999992</v>
      </c>
      <c r="E22" s="1161">
        <v>2047962.9800000002</v>
      </c>
      <c r="F22" s="1162"/>
      <c r="G22" s="575">
        <f t="shared" si="0"/>
        <v>0</v>
      </c>
      <c r="H22" s="1161"/>
      <c r="I22" s="1161"/>
      <c r="J22" s="517">
        <f t="shared" si="2"/>
        <v>4781155.8299999991</v>
      </c>
      <c r="K22" s="517">
        <f t="shared" si="3"/>
        <v>2733192.8499999992</v>
      </c>
      <c r="L22" s="517">
        <f t="shared" si="3"/>
        <v>2047962.9800000002</v>
      </c>
    </row>
    <row r="23" spans="1:12" x14ac:dyDescent="0.2">
      <c r="A23" s="2">
        <f t="shared" si="4"/>
        <v>13</v>
      </c>
      <c r="B23" s="519" t="s">
        <v>1561</v>
      </c>
      <c r="C23" s="573">
        <f t="shared" si="1"/>
        <v>1102726.2399999998</v>
      </c>
      <c r="D23" s="1161">
        <v>793686.64999999991</v>
      </c>
      <c r="E23" s="1161">
        <v>309039.58999999997</v>
      </c>
      <c r="F23" s="1162"/>
      <c r="G23" s="574">
        <f t="shared" si="0"/>
        <v>0</v>
      </c>
      <c r="H23" s="1161"/>
      <c r="I23" s="1161"/>
      <c r="J23" s="517">
        <f t="shared" si="2"/>
        <v>1102726.2399999998</v>
      </c>
      <c r="K23" s="517">
        <f t="shared" si="3"/>
        <v>793686.64999999991</v>
      </c>
      <c r="L23" s="517">
        <f t="shared" si="3"/>
        <v>309039.58999999997</v>
      </c>
    </row>
    <row r="24" spans="1:12" x14ac:dyDescent="0.2">
      <c r="A24" s="2">
        <f t="shared" si="4"/>
        <v>14</v>
      </c>
      <c r="B24" s="519" t="s">
        <v>1562</v>
      </c>
      <c r="C24" s="573">
        <f t="shared" si="1"/>
        <v>279936</v>
      </c>
      <c r="D24" s="1161">
        <v>0</v>
      </c>
      <c r="E24" s="1161">
        <v>279936</v>
      </c>
      <c r="F24" s="1162" t="s">
        <v>626</v>
      </c>
      <c r="G24" s="574">
        <f>SUM(H24:I24)</f>
        <v>-279936</v>
      </c>
      <c r="H24" s="1161">
        <v>0</v>
      </c>
      <c r="I24" s="1161">
        <v>-279936</v>
      </c>
      <c r="J24" s="517">
        <f>SUM(K24:L24)</f>
        <v>0</v>
      </c>
      <c r="K24" s="517">
        <f t="shared" si="3"/>
        <v>0</v>
      </c>
      <c r="L24" s="517">
        <f t="shared" si="3"/>
        <v>0</v>
      </c>
    </row>
    <row r="25" spans="1:12" x14ac:dyDescent="0.2">
      <c r="A25" s="2">
        <f t="shared" si="4"/>
        <v>15</v>
      </c>
      <c r="B25" s="519" t="s">
        <v>1563</v>
      </c>
      <c r="C25" s="573">
        <f t="shared" si="1"/>
        <v>222919.82</v>
      </c>
      <c r="D25" s="1161">
        <v>0</v>
      </c>
      <c r="E25" s="1161">
        <v>222919.82</v>
      </c>
      <c r="F25" s="862"/>
      <c r="G25" s="574">
        <f t="shared" si="0"/>
        <v>0</v>
      </c>
      <c r="H25" s="863"/>
      <c r="I25" s="863"/>
      <c r="J25" s="517">
        <f t="shared" si="2"/>
        <v>222919.82</v>
      </c>
      <c r="K25" s="517">
        <f t="shared" si="3"/>
        <v>0</v>
      </c>
      <c r="L25" s="517">
        <f t="shared" si="3"/>
        <v>222919.82</v>
      </c>
    </row>
    <row r="26" spans="1:12" x14ac:dyDescent="0.2">
      <c r="A26" s="2">
        <f t="shared" si="4"/>
        <v>16</v>
      </c>
      <c r="B26" s="519" t="s">
        <v>1564</v>
      </c>
      <c r="C26" s="573">
        <f t="shared" si="1"/>
        <v>5404696.6000000006</v>
      </c>
      <c r="D26" s="1161">
        <v>8.6600000000000019</v>
      </c>
      <c r="E26" s="1161">
        <v>5404687.9400000004</v>
      </c>
      <c r="F26" s="1162"/>
      <c r="G26" s="574">
        <f t="shared" si="0"/>
        <v>0</v>
      </c>
      <c r="H26" s="1161"/>
      <c r="I26" s="1161"/>
      <c r="J26" s="517">
        <f t="shared" si="2"/>
        <v>5404696.6000000006</v>
      </c>
      <c r="K26" s="517">
        <f t="shared" si="3"/>
        <v>8.6600000000000019</v>
      </c>
      <c r="L26" s="517">
        <f t="shared" si="3"/>
        <v>5404687.9400000004</v>
      </c>
    </row>
    <row r="27" spans="1:12" x14ac:dyDescent="0.2">
      <c r="A27" s="2">
        <f t="shared" si="4"/>
        <v>17</v>
      </c>
      <c r="B27" s="519" t="s">
        <v>1565</v>
      </c>
      <c r="C27" s="573">
        <f t="shared" si="1"/>
        <v>28154010.940000001</v>
      </c>
      <c r="D27" s="1161">
        <v>183979.04</v>
      </c>
      <c r="E27" s="1161">
        <v>27970031.900000002</v>
      </c>
      <c r="F27" s="1162" t="s">
        <v>627</v>
      </c>
      <c r="G27" s="575">
        <f t="shared" si="0"/>
        <v>-28154010.940000001</v>
      </c>
      <c r="H27" s="1161">
        <v>-183979.04</v>
      </c>
      <c r="I27" s="1161">
        <v>-27970031.900000002</v>
      </c>
      <c r="J27" s="517">
        <f t="shared" si="2"/>
        <v>0</v>
      </c>
      <c r="K27" s="517">
        <f t="shared" si="3"/>
        <v>0</v>
      </c>
      <c r="L27" s="517">
        <f t="shared" si="3"/>
        <v>0</v>
      </c>
    </row>
    <row r="28" spans="1:12" x14ac:dyDescent="0.2">
      <c r="A28" s="115">
        <f t="shared" si="4"/>
        <v>18</v>
      </c>
      <c r="B28" s="838" t="s">
        <v>2335</v>
      </c>
      <c r="C28" s="573">
        <f t="shared" si="1"/>
        <v>10382785</v>
      </c>
      <c r="D28" s="1161">
        <v>7465883</v>
      </c>
      <c r="E28" s="1161">
        <v>2916902</v>
      </c>
      <c r="F28" s="1165"/>
      <c r="G28" s="574">
        <f t="shared" si="0"/>
        <v>0</v>
      </c>
      <c r="H28" s="1161"/>
      <c r="I28" s="1161"/>
      <c r="J28" s="515">
        <f t="shared" si="2"/>
        <v>10382785</v>
      </c>
      <c r="K28" s="515">
        <f t="shared" ref="K28:L59" si="5">D28+H28</f>
        <v>7465883</v>
      </c>
      <c r="L28" s="515">
        <f t="shared" si="5"/>
        <v>2916902</v>
      </c>
    </row>
    <row r="29" spans="1:12" x14ac:dyDescent="0.2">
      <c r="A29" s="115">
        <f t="shared" si="4"/>
        <v>19</v>
      </c>
      <c r="B29" s="838" t="s">
        <v>2336</v>
      </c>
      <c r="C29" s="573">
        <f t="shared" si="1"/>
        <v>18461118</v>
      </c>
      <c r="D29" s="1161">
        <v>5717760</v>
      </c>
      <c r="E29" s="1161">
        <v>12743358</v>
      </c>
      <c r="F29" s="1162" t="s">
        <v>630</v>
      </c>
      <c r="G29" s="1080">
        <f t="shared" si="0"/>
        <v>-718645</v>
      </c>
      <c r="H29" s="1161">
        <v>-246950</v>
      </c>
      <c r="I29" s="1161">
        <v>-471695</v>
      </c>
      <c r="J29" s="515">
        <f t="shared" ref="J29" si="6">SUM(K29:L29)</f>
        <v>17742473</v>
      </c>
      <c r="K29" s="515">
        <f t="shared" ref="K29" si="7">D29+H29</f>
        <v>5470810</v>
      </c>
      <c r="L29" s="515">
        <f t="shared" ref="L29" si="8">E29+I29</f>
        <v>12271663</v>
      </c>
    </row>
    <row r="30" spans="1:12" x14ac:dyDescent="0.2">
      <c r="A30" s="115">
        <f t="shared" si="4"/>
        <v>20</v>
      </c>
      <c r="B30" s="519" t="s">
        <v>1566</v>
      </c>
      <c r="C30" s="573">
        <f t="shared" si="1"/>
        <v>1194518.2499999998</v>
      </c>
      <c r="D30" s="1161">
        <v>1013661.1999999997</v>
      </c>
      <c r="E30" s="1161">
        <v>180857.05000000002</v>
      </c>
      <c r="F30" s="1162"/>
      <c r="G30" s="574">
        <f t="shared" si="0"/>
        <v>0</v>
      </c>
      <c r="H30" s="1161"/>
      <c r="I30" s="1161"/>
      <c r="J30" s="517">
        <f t="shared" si="2"/>
        <v>1194518.2499999998</v>
      </c>
      <c r="K30" s="517">
        <f t="shared" si="5"/>
        <v>1013661.1999999997</v>
      </c>
      <c r="L30" s="517">
        <f t="shared" si="5"/>
        <v>180857.05000000002</v>
      </c>
    </row>
    <row r="31" spans="1:12" x14ac:dyDescent="0.2">
      <c r="A31" s="115">
        <f t="shared" si="4"/>
        <v>21</v>
      </c>
      <c r="B31" s="519" t="s">
        <v>1567</v>
      </c>
      <c r="C31" s="573">
        <f t="shared" si="1"/>
        <v>1007824.61</v>
      </c>
      <c r="D31" s="1161">
        <v>944120.66</v>
      </c>
      <c r="E31" s="1161">
        <v>63703.949999999953</v>
      </c>
      <c r="F31" s="1162" t="s">
        <v>630</v>
      </c>
      <c r="G31" s="574">
        <f t="shared" si="0"/>
        <v>-500</v>
      </c>
      <c r="H31" s="1161"/>
      <c r="I31" s="1161">
        <v>-500</v>
      </c>
      <c r="J31" s="517">
        <f t="shared" si="2"/>
        <v>1007324.61</v>
      </c>
      <c r="K31" s="517">
        <f t="shared" si="5"/>
        <v>944120.66</v>
      </c>
      <c r="L31" s="517">
        <f t="shared" si="5"/>
        <v>63203.949999999953</v>
      </c>
    </row>
    <row r="32" spans="1:12" x14ac:dyDescent="0.2">
      <c r="A32" s="115">
        <f t="shared" si="4"/>
        <v>22</v>
      </c>
      <c r="B32" s="519" t="s">
        <v>1568</v>
      </c>
      <c r="C32" s="573">
        <f t="shared" si="1"/>
        <v>4091462.2</v>
      </c>
      <c r="D32" s="1161">
        <v>3120278.6799999997</v>
      </c>
      <c r="E32" s="1161">
        <v>971183.52000000025</v>
      </c>
      <c r="F32" s="1162" t="s">
        <v>630</v>
      </c>
      <c r="G32" s="574">
        <f t="shared" si="0"/>
        <v>-14363</v>
      </c>
      <c r="H32" s="1161">
        <v>-8000</v>
      </c>
      <c r="I32" s="1161">
        <v>-6363</v>
      </c>
      <c r="J32" s="517">
        <f t="shared" si="2"/>
        <v>4077099.2</v>
      </c>
      <c r="K32" s="517">
        <f t="shared" si="5"/>
        <v>3112278.6799999997</v>
      </c>
      <c r="L32" s="517">
        <f t="shared" si="5"/>
        <v>964820.52000000025</v>
      </c>
    </row>
    <row r="33" spans="1:12" x14ac:dyDescent="0.2">
      <c r="A33" s="115">
        <f t="shared" si="4"/>
        <v>23</v>
      </c>
      <c r="B33" s="519" t="s">
        <v>1569</v>
      </c>
      <c r="C33" s="573">
        <f t="shared" si="1"/>
        <v>1837083.89</v>
      </c>
      <c r="D33" s="1161">
        <v>1708878.38</v>
      </c>
      <c r="E33" s="1161">
        <v>128205.51000000004</v>
      </c>
      <c r="F33" s="1162"/>
      <c r="G33" s="574">
        <f t="shared" si="0"/>
        <v>0</v>
      </c>
      <c r="H33" s="1161"/>
      <c r="I33" s="1161"/>
      <c r="J33" s="517">
        <f t="shared" si="2"/>
        <v>1837083.89</v>
      </c>
      <c r="K33" s="517">
        <f t="shared" si="5"/>
        <v>1708878.38</v>
      </c>
      <c r="L33" s="517">
        <f t="shared" si="5"/>
        <v>128205.51000000004</v>
      </c>
    </row>
    <row r="34" spans="1:12" x14ac:dyDescent="0.2">
      <c r="A34" s="115">
        <f t="shared" si="4"/>
        <v>24</v>
      </c>
      <c r="B34" s="519" t="s">
        <v>1570</v>
      </c>
      <c r="C34" s="573">
        <f t="shared" si="1"/>
        <v>616272.64000000013</v>
      </c>
      <c r="D34" s="1161">
        <v>0</v>
      </c>
      <c r="E34" s="1161">
        <v>616272.64000000013</v>
      </c>
      <c r="F34" s="1162"/>
      <c r="G34" s="574">
        <f t="shared" si="0"/>
        <v>0</v>
      </c>
      <c r="H34" s="1161"/>
      <c r="I34" s="1161"/>
      <c r="J34" s="517">
        <f t="shared" si="2"/>
        <v>616272.64000000013</v>
      </c>
      <c r="K34" s="517">
        <f t="shared" si="5"/>
        <v>0</v>
      </c>
      <c r="L34" s="517">
        <f t="shared" si="5"/>
        <v>616272.64000000013</v>
      </c>
    </row>
    <row r="35" spans="1:12" x14ac:dyDescent="0.2">
      <c r="A35" s="115">
        <f t="shared" si="4"/>
        <v>25</v>
      </c>
      <c r="B35" s="519" t="s">
        <v>1571</v>
      </c>
      <c r="C35" s="573">
        <f t="shared" si="1"/>
        <v>8580892.7999999989</v>
      </c>
      <c r="D35" s="1161">
        <v>163584.19000000003</v>
      </c>
      <c r="E35" s="1161">
        <v>8417308.6099999994</v>
      </c>
      <c r="F35" s="1162"/>
      <c r="G35" s="574">
        <f t="shared" si="0"/>
        <v>0</v>
      </c>
      <c r="H35" s="1161"/>
      <c r="I35" s="1161"/>
      <c r="J35" s="517">
        <f t="shared" si="2"/>
        <v>8580892.7999999989</v>
      </c>
      <c r="K35" s="517">
        <f t="shared" si="5"/>
        <v>163584.19000000003</v>
      </c>
      <c r="L35" s="517">
        <f t="shared" si="5"/>
        <v>8417308.6099999994</v>
      </c>
    </row>
    <row r="36" spans="1:12" x14ac:dyDescent="0.2">
      <c r="A36" s="115">
        <f t="shared" si="4"/>
        <v>26</v>
      </c>
      <c r="B36" s="519" t="s">
        <v>1572</v>
      </c>
      <c r="C36" s="573">
        <f t="shared" si="1"/>
        <v>1899867.03</v>
      </c>
      <c r="D36" s="1161">
        <v>-132.91000000000003</v>
      </c>
      <c r="E36" s="1161">
        <v>1899999.94</v>
      </c>
      <c r="F36" s="1162"/>
      <c r="G36" s="574">
        <f t="shared" si="0"/>
        <v>0</v>
      </c>
      <c r="H36" s="1161"/>
      <c r="I36" s="1161"/>
      <c r="J36" s="517">
        <f t="shared" si="2"/>
        <v>1899867.03</v>
      </c>
      <c r="K36" s="517">
        <f t="shared" si="5"/>
        <v>-132.91000000000003</v>
      </c>
      <c r="L36" s="517">
        <f t="shared" si="5"/>
        <v>1899999.94</v>
      </c>
    </row>
    <row r="37" spans="1:12" x14ac:dyDescent="0.2">
      <c r="A37" s="115">
        <f t="shared" si="4"/>
        <v>27</v>
      </c>
      <c r="B37" s="519" t="s">
        <v>1573</v>
      </c>
      <c r="C37" s="573">
        <f t="shared" si="1"/>
        <v>80794.510000000009</v>
      </c>
      <c r="D37" s="1161">
        <v>2199.5</v>
      </c>
      <c r="E37" s="1161">
        <v>78595.010000000009</v>
      </c>
      <c r="F37" s="1162"/>
      <c r="G37" s="574">
        <f t="shared" si="0"/>
        <v>0</v>
      </c>
      <c r="H37" s="1161"/>
      <c r="I37" s="1161"/>
      <c r="J37" s="517">
        <f t="shared" si="2"/>
        <v>80794.510000000009</v>
      </c>
      <c r="K37" s="517">
        <f t="shared" si="5"/>
        <v>2199.5</v>
      </c>
      <c r="L37" s="517">
        <f t="shared" si="5"/>
        <v>78595.010000000009</v>
      </c>
    </row>
    <row r="38" spans="1:12" x14ac:dyDescent="0.2">
      <c r="A38" s="115">
        <f t="shared" si="4"/>
        <v>28</v>
      </c>
      <c r="B38" s="519" t="s">
        <v>1574</v>
      </c>
      <c r="C38" s="573">
        <f t="shared" si="1"/>
        <v>297668.43999999994</v>
      </c>
      <c r="D38" s="1161">
        <v>52.359999999999992</v>
      </c>
      <c r="E38" s="1161">
        <v>297616.07999999996</v>
      </c>
      <c r="F38" s="1162"/>
      <c r="G38" s="574">
        <f t="shared" si="0"/>
        <v>0</v>
      </c>
      <c r="H38" s="1161"/>
      <c r="I38" s="1161"/>
      <c r="J38" s="517">
        <f t="shared" si="2"/>
        <v>297668.43999999994</v>
      </c>
      <c r="K38" s="517">
        <f t="shared" si="5"/>
        <v>52.359999999999992</v>
      </c>
      <c r="L38" s="517">
        <f t="shared" si="5"/>
        <v>297616.07999999996</v>
      </c>
    </row>
    <row r="39" spans="1:12" x14ac:dyDescent="0.2">
      <c r="A39" s="115">
        <f t="shared" si="4"/>
        <v>29</v>
      </c>
      <c r="B39" s="519" t="s">
        <v>1575</v>
      </c>
      <c r="C39" s="573">
        <f t="shared" si="1"/>
        <v>2231459.7600000002</v>
      </c>
      <c r="D39" s="1161">
        <v>1778137.82</v>
      </c>
      <c r="E39" s="1161">
        <v>453321.94000000012</v>
      </c>
      <c r="F39" s="1162"/>
      <c r="G39" s="574">
        <f t="shared" si="0"/>
        <v>0</v>
      </c>
      <c r="H39" s="1161"/>
      <c r="I39" s="1161"/>
      <c r="J39" s="517">
        <f t="shared" si="2"/>
        <v>2231459.7600000002</v>
      </c>
      <c r="K39" s="517">
        <f t="shared" si="5"/>
        <v>1778137.82</v>
      </c>
      <c r="L39" s="517">
        <f t="shared" si="5"/>
        <v>453321.94000000012</v>
      </c>
    </row>
    <row r="40" spans="1:12" x14ac:dyDescent="0.2">
      <c r="A40" s="115">
        <f t="shared" si="4"/>
        <v>30</v>
      </c>
      <c r="B40" s="519" t="s">
        <v>1576</v>
      </c>
      <c r="C40" s="573">
        <f t="shared" si="1"/>
        <v>-70709.989999999962</v>
      </c>
      <c r="D40" s="1161">
        <v>0</v>
      </c>
      <c r="E40" s="1161">
        <v>-70709.989999999962</v>
      </c>
      <c r="F40" s="1162"/>
      <c r="G40" s="574">
        <f t="shared" si="0"/>
        <v>0</v>
      </c>
      <c r="H40" s="1161"/>
      <c r="I40" s="1161"/>
      <c r="J40" s="517">
        <f t="shared" si="2"/>
        <v>-70709.989999999962</v>
      </c>
      <c r="K40" s="517">
        <f t="shared" si="5"/>
        <v>0</v>
      </c>
      <c r="L40" s="517">
        <f t="shared" si="5"/>
        <v>-70709.989999999962</v>
      </c>
    </row>
    <row r="41" spans="1:12" x14ac:dyDescent="0.2">
      <c r="A41" s="115">
        <f t="shared" si="4"/>
        <v>31</v>
      </c>
      <c r="B41" s="519" t="s">
        <v>1577</v>
      </c>
      <c r="C41" s="573">
        <f t="shared" si="1"/>
        <v>84408.190000000017</v>
      </c>
      <c r="D41" s="1161">
        <v>14892.070000000002</v>
      </c>
      <c r="E41" s="1161">
        <v>69516.12000000001</v>
      </c>
      <c r="F41" s="1162" t="s">
        <v>630</v>
      </c>
      <c r="G41" s="574">
        <f t="shared" si="0"/>
        <v>-8500</v>
      </c>
      <c r="H41" s="1161">
        <v>-8500</v>
      </c>
      <c r="I41" s="1161"/>
      <c r="J41" s="517">
        <f t="shared" si="2"/>
        <v>75908.190000000017</v>
      </c>
      <c r="K41" s="517">
        <f t="shared" si="5"/>
        <v>6392.0700000000015</v>
      </c>
      <c r="L41" s="517">
        <f t="shared" si="5"/>
        <v>69516.12000000001</v>
      </c>
    </row>
    <row r="42" spans="1:12" x14ac:dyDescent="0.2">
      <c r="A42" s="115">
        <f t="shared" si="4"/>
        <v>32</v>
      </c>
      <c r="B42" s="519" t="s">
        <v>1578</v>
      </c>
      <c r="C42" s="573">
        <f t="shared" si="1"/>
        <v>4236985</v>
      </c>
      <c r="D42" s="1161">
        <v>0</v>
      </c>
      <c r="E42" s="1161">
        <v>4236985</v>
      </c>
      <c r="F42" s="1162" t="s">
        <v>629</v>
      </c>
      <c r="G42" s="574">
        <f t="shared" si="0"/>
        <v>-3769709.47580363</v>
      </c>
      <c r="H42" s="1161"/>
      <c r="I42" s="1161">
        <v>-3769709.47580363</v>
      </c>
      <c r="J42" s="517">
        <f t="shared" si="2"/>
        <v>467275.52419637004</v>
      </c>
      <c r="K42" s="517">
        <f t="shared" si="5"/>
        <v>0</v>
      </c>
      <c r="L42" s="517">
        <f t="shared" si="5"/>
        <v>467275.52419637004</v>
      </c>
    </row>
    <row r="43" spans="1:12" x14ac:dyDescent="0.2">
      <c r="A43" s="115">
        <f t="shared" si="4"/>
        <v>33</v>
      </c>
      <c r="B43" s="519" t="s">
        <v>1579</v>
      </c>
      <c r="C43" s="573">
        <f t="shared" si="1"/>
        <v>7793521</v>
      </c>
      <c r="D43" s="1161">
        <v>0</v>
      </c>
      <c r="E43" s="1161">
        <v>7793521</v>
      </c>
      <c r="F43" s="1162" t="s">
        <v>629</v>
      </c>
      <c r="G43" s="574">
        <f t="shared" si="0"/>
        <v>-6937212.66660685</v>
      </c>
      <c r="H43" s="1161"/>
      <c r="I43" s="1161">
        <v>-6937212.66660685</v>
      </c>
      <c r="J43" s="517">
        <f t="shared" si="2"/>
        <v>856308.33339315001</v>
      </c>
      <c r="K43" s="517">
        <f t="shared" si="5"/>
        <v>0</v>
      </c>
      <c r="L43" s="517">
        <f t="shared" si="5"/>
        <v>856308.33339315001</v>
      </c>
    </row>
    <row r="44" spans="1:12" x14ac:dyDescent="0.2">
      <c r="A44" s="115">
        <f t="shared" si="4"/>
        <v>34</v>
      </c>
      <c r="B44" s="519" t="s">
        <v>1580</v>
      </c>
      <c r="C44" s="573">
        <f t="shared" si="1"/>
        <v>2195284</v>
      </c>
      <c r="D44" s="1161">
        <v>0</v>
      </c>
      <c r="E44" s="1161">
        <v>2195284</v>
      </c>
      <c r="F44" s="1162" t="s">
        <v>629</v>
      </c>
      <c r="G44" s="574">
        <f t="shared" si="0"/>
        <v>-1952870.1658540501</v>
      </c>
      <c r="H44" s="1161"/>
      <c r="I44" s="1161">
        <v>-1952870.1658540501</v>
      </c>
      <c r="J44" s="517">
        <f t="shared" si="2"/>
        <v>242413.83414594992</v>
      </c>
      <c r="K44" s="517">
        <f t="shared" si="5"/>
        <v>0</v>
      </c>
      <c r="L44" s="517">
        <f t="shared" si="5"/>
        <v>242413.83414594992</v>
      </c>
    </row>
    <row r="45" spans="1:12" x14ac:dyDescent="0.2">
      <c r="A45" s="115">
        <f t="shared" si="4"/>
        <v>35</v>
      </c>
      <c r="B45" s="519" t="s">
        <v>1581</v>
      </c>
      <c r="C45" s="573">
        <f t="shared" si="1"/>
        <v>178166.65999999997</v>
      </c>
      <c r="D45" s="1161">
        <v>0</v>
      </c>
      <c r="E45" s="1161">
        <v>178166.65999999997</v>
      </c>
      <c r="F45" s="1162"/>
      <c r="G45" s="574">
        <f t="shared" si="0"/>
        <v>0</v>
      </c>
      <c r="H45" s="1161"/>
      <c r="I45" s="1161"/>
      <c r="J45" s="517">
        <f t="shared" si="2"/>
        <v>178166.65999999997</v>
      </c>
      <c r="K45" s="517">
        <f t="shared" si="5"/>
        <v>0</v>
      </c>
      <c r="L45" s="517">
        <f t="shared" si="5"/>
        <v>178166.65999999997</v>
      </c>
    </row>
    <row r="46" spans="1:12" x14ac:dyDescent="0.2">
      <c r="A46" s="115">
        <f t="shared" si="4"/>
        <v>36</v>
      </c>
      <c r="B46" s="519" t="s">
        <v>1582</v>
      </c>
      <c r="C46" s="573">
        <f t="shared" si="1"/>
        <v>1161165.7400000002</v>
      </c>
      <c r="D46" s="1161">
        <v>737584.53</v>
      </c>
      <c r="E46" s="1161">
        <v>423581.21000000008</v>
      </c>
      <c r="F46" s="1162"/>
      <c r="G46" s="574">
        <f t="shared" si="0"/>
        <v>0</v>
      </c>
      <c r="H46" s="1161"/>
      <c r="I46" s="1161"/>
      <c r="J46" s="517">
        <f t="shared" si="2"/>
        <v>1161165.7400000002</v>
      </c>
      <c r="K46" s="517">
        <f t="shared" si="5"/>
        <v>737584.53</v>
      </c>
      <c r="L46" s="517">
        <f t="shared" si="5"/>
        <v>423581.21000000008</v>
      </c>
    </row>
    <row r="47" spans="1:12" x14ac:dyDescent="0.2">
      <c r="A47" s="115">
        <f t="shared" si="4"/>
        <v>37</v>
      </c>
      <c r="B47" s="519" t="s">
        <v>1583</v>
      </c>
      <c r="C47" s="573">
        <f t="shared" si="1"/>
        <v>1628824.6099999999</v>
      </c>
      <c r="D47" s="1161">
        <v>1152607.96</v>
      </c>
      <c r="E47" s="1161">
        <v>476216.65</v>
      </c>
      <c r="F47" s="1162" t="s">
        <v>630</v>
      </c>
      <c r="G47" s="574">
        <f t="shared" si="0"/>
        <v>-250</v>
      </c>
      <c r="H47" s="1161"/>
      <c r="I47" s="1161">
        <v>-250</v>
      </c>
      <c r="J47" s="517">
        <f t="shared" si="2"/>
        <v>1628574.6099999999</v>
      </c>
      <c r="K47" s="517">
        <f t="shared" si="5"/>
        <v>1152607.96</v>
      </c>
      <c r="L47" s="517">
        <f t="shared" si="5"/>
        <v>475966.65</v>
      </c>
    </row>
    <row r="48" spans="1:12" x14ac:dyDescent="0.2">
      <c r="A48" s="115">
        <f t="shared" si="4"/>
        <v>38</v>
      </c>
      <c r="B48" s="519" t="s">
        <v>1584</v>
      </c>
      <c r="C48" s="573">
        <f t="shared" si="1"/>
        <v>238934.58999999973</v>
      </c>
      <c r="D48" s="1161">
        <v>365609.25</v>
      </c>
      <c r="E48" s="1161">
        <v>-126674.66000000025</v>
      </c>
      <c r="F48" s="1162"/>
      <c r="G48" s="574">
        <f t="shared" si="0"/>
        <v>0</v>
      </c>
      <c r="H48" s="1161"/>
      <c r="I48" s="1161"/>
      <c r="J48" s="517">
        <f t="shared" si="2"/>
        <v>238934.58999999973</v>
      </c>
      <c r="K48" s="517">
        <f t="shared" si="5"/>
        <v>365609.25</v>
      </c>
      <c r="L48" s="517">
        <f t="shared" si="5"/>
        <v>-126674.66000000025</v>
      </c>
    </row>
    <row r="49" spans="1:12" x14ac:dyDescent="0.2">
      <c r="A49" s="115">
        <f t="shared" si="4"/>
        <v>39</v>
      </c>
      <c r="B49" s="519" t="s">
        <v>1585</v>
      </c>
      <c r="C49" s="573">
        <f t="shared" si="1"/>
        <v>2679487.290000001</v>
      </c>
      <c r="D49" s="1161">
        <v>1360643.3200000003</v>
      </c>
      <c r="E49" s="1161">
        <v>1318843.9700000007</v>
      </c>
      <c r="F49" s="1162" t="s">
        <v>630</v>
      </c>
      <c r="G49" s="574">
        <f t="shared" si="0"/>
        <v>-250</v>
      </c>
      <c r="H49" s="1161"/>
      <c r="I49" s="1161">
        <v>-250</v>
      </c>
      <c r="J49" s="517">
        <f t="shared" si="2"/>
        <v>2679237.290000001</v>
      </c>
      <c r="K49" s="517">
        <f t="shared" si="5"/>
        <v>1360643.3200000003</v>
      </c>
      <c r="L49" s="517">
        <f t="shared" si="5"/>
        <v>1318593.9700000007</v>
      </c>
    </row>
    <row r="50" spans="1:12" x14ac:dyDescent="0.2">
      <c r="A50" s="115">
        <f t="shared" si="4"/>
        <v>40</v>
      </c>
      <c r="B50" s="14" t="s">
        <v>2098</v>
      </c>
      <c r="C50" s="573">
        <f t="shared" si="1"/>
        <v>3687239.8899999997</v>
      </c>
      <c r="D50" s="1161">
        <v>1502280.3699999999</v>
      </c>
      <c r="E50" s="1161">
        <v>2184959.52</v>
      </c>
      <c r="F50" s="1162"/>
      <c r="G50" s="574">
        <f t="shared" si="0"/>
        <v>0</v>
      </c>
      <c r="H50" s="1161"/>
      <c r="I50" s="1161"/>
      <c r="J50" s="517">
        <f t="shared" si="2"/>
        <v>3687239.8899999997</v>
      </c>
      <c r="K50" s="517">
        <f t="shared" si="5"/>
        <v>1502280.3699999999</v>
      </c>
      <c r="L50" s="517">
        <f t="shared" si="5"/>
        <v>2184959.52</v>
      </c>
    </row>
    <row r="51" spans="1:12" x14ac:dyDescent="0.2">
      <c r="A51" s="115">
        <f t="shared" si="4"/>
        <v>41</v>
      </c>
      <c r="B51" s="519" t="s">
        <v>1586</v>
      </c>
      <c r="C51" s="573">
        <f t="shared" si="1"/>
        <v>1327263.3500000001</v>
      </c>
      <c r="D51" s="1161">
        <v>105.46</v>
      </c>
      <c r="E51" s="1161">
        <v>1327157.8900000001</v>
      </c>
      <c r="F51" s="1162"/>
      <c r="G51" s="574">
        <f t="shared" si="0"/>
        <v>0</v>
      </c>
      <c r="H51" s="1161"/>
      <c r="I51" s="1161"/>
      <c r="J51" s="517">
        <f t="shared" si="2"/>
        <v>1327263.3500000001</v>
      </c>
      <c r="K51" s="517">
        <f t="shared" si="5"/>
        <v>105.46</v>
      </c>
      <c r="L51" s="517">
        <f t="shared" si="5"/>
        <v>1327157.8900000001</v>
      </c>
    </row>
    <row r="52" spans="1:12" x14ac:dyDescent="0.2">
      <c r="A52" s="115">
        <f t="shared" si="4"/>
        <v>42</v>
      </c>
      <c r="B52" s="519" t="s">
        <v>1587</v>
      </c>
      <c r="C52" s="573">
        <f t="shared" si="1"/>
        <v>3038761.94</v>
      </c>
      <c r="D52" s="1161">
        <v>1561641.0700000003</v>
      </c>
      <c r="E52" s="1161">
        <v>1477120.8699999996</v>
      </c>
      <c r="F52" s="1162"/>
      <c r="G52" s="574">
        <f t="shared" si="0"/>
        <v>0</v>
      </c>
      <c r="H52" s="1161"/>
      <c r="I52" s="1161"/>
      <c r="J52" s="517">
        <f t="shared" si="2"/>
        <v>3038761.94</v>
      </c>
      <c r="K52" s="517">
        <f t="shared" si="5"/>
        <v>1561641.0700000003</v>
      </c>
      <c r="L52" s="517">
        <f t="shared" si="5"/>
        <v>1477120.8699999996</v>
      </c>
    </row>
    <row r="53" spans="1:12" x14ac:dyDescent="0.2">
      <c r="A53" s="115">
        <f t="shared" si="4"/>
        <v>43</v>
      </c>
      <c r="B53" s="519" t="s">
        <v>1588</v>
      </c>
      <c r="C53" s="573">
        <f t="shared" si="1"/>
        <v>8089022.0000000019</v>
      </c>
      <c r="D53" s="1161">
        <v>4281351.4300000006</v>
      </c>
      <c r="E53" s="1161">
        <v>3807670.5700000008</v>
      </c>
      <c r="F53" s="1162"/>
      <c r="G53" s="574">
        <f t="shared" si="0"/>
        <v>0</v>
      </c>
      <c r="H53" s="1161"/>
      <c r="I53" s="1161"/>
      <c r="J53" s="517">
        <f t="shared" si="2"/>
        <v>8089022.0000000019</v>
      </c>
      <c r="K53" s="517">
        <f t="shared" si="5"/>
        <v>4281351.4300000006</v>
      </c>
      <c r="L53" s="517">
        <f t="shared" si="5"/>
        <v>3807670.5700000008</v>
      </c>
    </row>
    <row r="54" spans="1:12" x14ac:dyDescent="0.2">
      <c r="A54" s="115">
        <f t="shared" si="4"/>
        <v>44</v>
      </c>
      <c r="B54" s="519" t="s">
        <v>1589</v>
      </c>
      <c r="C54" s="573">
        <f t="shared" si="1"/>
        <v>12122041.960000001</v>
      </c>
      <c r="D54" s="1161">
        <v>1587022.4100000001</v>
      </c>
      <c r="E54" s="1161">
        <v>10535019.550000001</v>
      </c>
      <c r="F54" s="1162"/>
      <c r="G54" s="575">
        <f t="shared" si="0"/>
        <v>0</v>
      </c>
      <c r="H54" s="1161"/>
      <c r="I54" s="1161"/>
      <c r="J54" s="517">
        <f t="shared" si="2"/>
        <v>12122041.960000001</v>
      </c>
      <c r="K54" s="517">
        <f t="shared" si="5"/>
        <v>1587022.4100000001</v>
      </c>
      <c r="L54" s="517">
        <f t="shared" si="5"/>
        <v>10535019.550000001</v>
      </c>
    </row>
    <row r="55" spans="1:12" x14ac:dyDescent="0.2">
      <c r="A55" s="115">
        <f t="shared" si="4"/>
        <v>45</v>
      </c>
      <c r="B55" s="519" t="s">
        <v>1870</v>
      </c>
      <c r="C55" s="573">
        <f t="shared" si="1"/>
        <v>7093360.8399999989</v>
      </c>
      <c r="D55" s="1161">
        <v>1066200.08</v>
      </c>
      <c r="E55" s="1161">
        <v>6027160.7599999988</v>
      </c>
      <c r="F55" s="1162"/>
      <c r="G55" s="575">
        <f t="shared" si="0"/>
        <v>0</v>
      </c>
      <c r="H55" s="1161"/>
      <c r="I55" s="1161"/>
      <c r="J55" s="517">
        <f t="shared" ref="J55" si="9">SUM(K55:L55)</f>
        <v>7093360.8399999989</v>
      </c>
      <c r="K55" s="517">
        <f t="shared" ref="K55" si="10">D55+H55</f>
        <v>1066200.08</v>
      </c>
      <c r="L55" s="517">
        <f t="shared" ref="L55" si="11">E55+I55</f>
        <v>6027160.7599999988</v>
      </c>
    </row>
    <row r="56" spans="1:12" x14ac:dyDescent="0.2">
      <c r="A56" s="115">
        <f t="shared" si="4"/>
        <v>46</v>
      </c>
      <c r="B56" s="519" t="s">
        <v>1590</v>
      </c>
      <c r="C56" s="573">
        <f t="shared" si="1"/>
        <v>751561.71000000008</v>
      </c>
      <c r="D56" s="1161">
        <v>0</v>
      </c>
      <c r="E56" s="1161">
        <v>751561.71000000008</v>
      </c>
      <c r="F56" s="1162"/>
      <c r="G56" s="574">
        <f t="shared" si="0"/>
        <v>0</v>
      </c>
      <c r="H56" s="1161"/>
      <c r="I56" s="1161"/>
      <c r="J56" s="517">
        <f t="shared" si="2"/>
        <v>751561.71000000008</v>
      </c>
      <c r="K56" s="517">
        <f t="shared" si="5"/>
        <v>0</v>
      </c>
      <c r="L56" s="517">
        <f t="shared" si="5"/>
        <v>751561.71000000008</v>
      </c>
    </row>
    <row r="57" spans="1:12" x14ac:dyDescent="0.2">
      <c r="A57" s="115">
        <f t="shared" si="4"/>
        <v>47</v>
      </c>
      <c r="B57" s="519" t="s">
        <v>1591</v>
      </c>
      <c r="C57" s="573">
        <f t="shared" si="1"/>
        <v>624355.69999999995</v>
      </c>
      <c r="D57" s="1161">
        <v>145540.14999999991</v>
      </c>
      <c r="E57" s="1161">
        <v>478815.5500000001</v>
      </c>
      <c r="F57" s="1162"/>
      <c r="G57" s="574">
        <f t="shared" si="0"/>
        <v>0</v>
      </c>
      <c r="H57" s="1161"/>
      <c r="I57" s="1161"/>
      <c r="J57" s="517">
        <f t="shared" si="2"/>
        <v>624355.69999999995</v>
      </c>
      <c r="K57" s="517">
        <f t="shared" si="5"/>
        <v>145540.14999999991</v>
      </c>
      <c r="L57" s="517">
        <f t="shared" si="5"/>
        <v>478815.5500000001</v>
      </c>
    </row>
    <row r="58" spans="1:12" x14ac:dyDescent="0.2">
      <c r="A58" s="115">
        <f t="shared" si="4"/>
        <v>48</v>
      </c>
      <c r="B58" s="519" t="s">
        <v>1592</v>
      </c>
      <c r="C58" s="573">
        <f t="shared" si="1"/>
        <v>108306.52</v>
      </c>
      <c r="D58" s="1161">
        <v>0</v>
      </c>
      <c r="E58" s="1161">
        <v>108306.52</v>
      </c>
      <c r="F58" s="1162"/>
      <c r="G58" s="574">
        <f t="shared" si="0"/>
        <v>0</v>
      </c>
      <c r="H58" s="1161"/>
      <c r="I58" s="1161"/>
      <c r="J58" s="517">
        <f t="shared" si="2"/>
        <v>108306.52</v>
      </c>
      <c r="K58" s="517">
        <f t="shared" si="5"/>
        <v>0</v>
      </c>
      <c r="L58" s="517">
        <f t="shared" si="5"/>
        <v>108306.52</v>
      </c>
    </row>
    <row r="59" spans="1:12" ht="15" x14ac:dyDescent="0.35">
      <c r="A59" s="115">
        <f t="shared" si="4"/>
        <v>49</v>
      </c>
      <c r="B59" s="519" t="s">
        <v>1593</v>
      </c>
      <c r="C59" s="572">
        <f t="shared" si="1"/>
        <v>2297999.5</v>
      </c>
      <c r="D59" s="1161">
        <v>497329.08000000007</v>
      </c>
      <c r="E59" s="1161">
        <v>1800670.42</v>
      </c>
      <c r="F59" s="1164"/>
      <c r="G59" s="576">
        <f t="shared" si="0"/>
        <v>0</v>
      </c>
      <c r="H59" s="1166"/>
      <c r="I59" s="1166"/>
      <c r="J59" s="525">
        <f t="shared" si="2"/>
        <v>2297999.5</v>
      </c>
      <c r="K59" s="525">
        <f t="shared" si="5"/>
        <v>497329.08000000007</v>
      </c>
      <c r="L59" s="525">
        <f t="shared" si="5"/>
        <v>1800670.42</v>
      </c>
    </row>
    <row r="60" spans="1:12" ht="15" x14ac:dyDescent="0.35">
      <c r="A60" s="115">
        <f t="shared" si="4"/>
        <v>50</v>
      </c>
      <c r="B60" s="526" t="s">
        <v>574</v>
      </c>
      <c r="C60" s="527" t="s">
        <v>86</v>
      </c>
      <c r="D60" s="1079" t="s">
        <v>86</v>
      </c>
      <c r="E60" s="1079" t="s">
        <v>86</v>
      </c>
      <c r="F60" s="1079" t="s">
        <v>86</v>
      </c>
      <c r="G60" s="1079" t="s">
        <v>86</v>
      </c>
      <c r="H60" s="1079" t="s">
        <v>86</v>
      </c>
      <c r="I60" s="1079" t="s">
        <v>86</v>
      </c>
      <c r="J60" s="528"/>
      <c r="K60" s="528"/>
      <c r="L60" s="528"/>
    </row>
    <row r="61" spans="1:12" x14ac:dyDescent="0.2">
      <c r="A61" s="115">
        <f t="shared" si="4"/>
        <v>51</v>
      </c>
      <c r="B61" s="519" t="s">
        <v>2797</v>
      </c>
      <c r="C61" s="529">
        <v>0</v>
      </c>
      <c r="D61" s="529">
        <v>0</v>
      </c>
      <c r="E61" s="529">
        <v>0</v>
      </c>
      <c r="F61" s="530"/>
      <c r="G61" s="577">
        <f t="shared" si="0"/>
        <v>9198518.4784367215</v>
      </c>
      <c r="H61" s="584">
        <f>+C87*C191</f>
        <v>9198518.4784367215</v>
      </c>
      <c r="I61" s="584">
        <v>0</v>
      </c>
      <c r="J61" s="582">
        <f t="shared" si="2"/>
        <v>9198518.4784367215</v>
      </c>
      <c r="K61" s="582">
        <f>D61+H61</f>
        <v>9198518.4784367215</v>
      </c>
      <c r="L61" s="582">
        <f>E61+I61</f>
        <v>0</v>
      </c>
    </row>
    <row r="62" spans="1:12" x14ac:dyDescent="0.2">
      <c r="A62" s="115">
        <f t="shared" si="4"/>
        <v>52</v>
      </c>
      <c r="B62" s="532" t="s">
        <v>1594</v>
      </c>
      <c r="C62" s="572">
        <f>SUM(D62:E62)</f>
        <v>235054669.19000006</v>
      </c>
      <c r="D62" s="579">
        <f>SUM(D11:D61)</f>
        <v>68830082.920000002</v>
      </c>
      <c r="E62" s="579">
        <f>SUM(E11:E61)</f>
        <v>166224586.27000007</v>
      </c>
      <c r="F62" s="580"/>
      <c r="G62" s="578">
        <f t="shared" ref="G62:L62" si="12">SUM(G11:G61)</f>
        <v>-73245972.9398278</v>
      </c>
      <c r="H62" s="581">
        <f t="shared" si="12"/>
        <v>8652906.8084367216</v>
      </c>
      <c r="I62" s="581">
        <f t="shared" si="12"/>
        <v>-81898879.748264536</v>
      </c>
      <c r="J62" s="581">
        <f t="shared" si="12"/>
        <v>161808696.25017223</v>
      </c>
      <c r="K62" s="581">
        <f t="shared" si="12"/>
        <v>77482989.728436723</v>
      </c>
      <c r="L62" s="581">
        <f t="shared" si="12"/>
        <v>84325706.521735445</v>
      </c>
    </row>
    <row r="63" spans="1:12" x14ac:dyDescent="0.2">
      <c r="A63" s="115">
        <f t="shared" si="4"/>
        <v>53</v>
      </c>
      <c r="B63" s="518"/>
      <c r="C63" s="522"/>
      <c r="D63" s="533"/>
      <c r="E63" s="533"/>
      <c r="F63" s="534"/>
      <c r="G63" s="516"/>
      <c r="H63" s="536"/>
      <c r="I63" s="536"/>
      <c r="J63" s="517"/>
      <c r="K63" s="517"/>
      <c r="L63" s="517"/>
    </row>
    <row r="64" spans="1:12" x14ac:dyDescent="0.2">
      <c r="A64" s="115"/>
      <c r="B64" s="537"/>
      <c r="C64" s="533"/>
      <c r="D64" s="533"/>
      <c r="E64" s="533"/>
      <c r="F64" s="534"/>
      <c r="G64" s="538"/>
      <c r="H64" s="533"/>
      <c r="I64" s="533"/>
      <c r="J64" s="533"/>
      <c r="K64" s="533"/>
      <c r="L64" s="533"/>
    </row>
    <row r="65" spans="1:12" x14ac:dyDescent="0.2">
      <c r="A65" s="2"/>
      <c r="B65" s="495" t="s">
        <v>403</v>
      </c>
      <c r="C65" s="495" t="s">
        <v>387</v>
      </c>
      <c r="D65" s="495" t="s">
        <v>388</v>
      </c>
      <c r="E65" s="495" t="s">
        <v>389</v>
      </c>
      <c r="F65" s="496" t="s">
        <v>390</v>
      </c>
      <c r="G65" s="495" t="s">
        <v>391</v>
      </c>
      <c r="H65" s="495" t="s">
        <v>392</v>
      </c>
      <c r="I65" s="495" t="s">
        <v>606</v>
      </c>
      <c r="J65" s="495" t="s">
        <v>1055</v>
      </c>
      <c r="K65" s="495" t="s">
        <v>1072</v>
      </c>
      <c r="L65" s="495" t="s">
        <v>1075</v>
      </c>
    </row>
    <row r="66" spans="1:12" x14ac:dyDescent="0.2">
      <c r="A66" s="2"/>
      <c r="B66" s="537"/>
      <c r="C66" s="791" t="s">
        <v>1537</v>
      </c>
      <c r="D66" s="493"/>
      <c r="E66" s="493"/>
      <c r="F66" s="498" t="s">
        <v>405</v>
      </c>
      <c r="G66" s="791" t="s">
        <v>1538</v>
      </c>
      <c r="H66" s="499"/>
      <c r="I66" s="499"/>
      <c r="J66" s="791" t="s">
        <v>1539</v>
      </c>
      <c r="K66" s="791" t="s">
        <v>1540</v>
      </c>
      <c r="L66" s="792" t="s">
        <v>1541</v>
      </c>
    </row>
    <row r="67" spans="1:12" x14ac:dyDescent="0.2">
      <c r="A67" s="2"/>
      <c r="C67" s="522"/>
      <c r="D67" s="533"/>
      <c r="E67" s="533"/>
      <c r="F67" s="534"/>
      <c r="G67" s="516"/>
      <c r="H67" s="539"/>
      <c r="I67" s="539"/>
      <c r="J67" s="517"/>
      <c r="K67" s="517"/>
      <c r="L67" s="517"/>
    </row>
    <row r="68" spans="1:12" x14ac:dyDescent="0.2">
      <c r="A68" s="2"/>
      <c r="B68" s="1199" t="s">
        <v>1542</v>
      </c>
      <c r="C68" s="1201" t="s">
        <v>1543</v>
      </c>
      <c r="D68" s="1201"/>
      <c r="E68" s="1201"/>
      <c r="F68" s="509"/>
      <c r="G68" s="1197" t="s">
        <v>1544</v>
      </c>
      <c r="H68" s="1197"/>
      <c r="I68" s="1198"/>
      <c r="J68" s="1196" t="s">
        <v>1545</v>
      </c>
      <c r="K68" s="1197"/>
      <c r="L68" s="1198"/>
    </row>
    <row r="69" spans="1:12" x14ac:dyDescent="0.2">
      <c r="A69" s="2"/>
      <c r="B69" s="1200"/>
      <c r="C69" s="508" t="s">
        <v>224</v>
      </c>
      <c r="D69" s="508" t="s">
        <v>1546</v>
      </c>
      <c r="E69" s="510" t="s">
        <v>1547</v>
      </c>
      <c r="F69" s="511" t="s">
        <v>1479</v>
      </c>
      <c r="G69" s="510" t="s">
        <v>224</v>
      </c>
      <c r="H69" s="510" t="s">
        <v>1546</v>
      </c>
      <c r="I69" s="510" t="s">
        <v>1547</v>
      </c>
      <c r="J69" s="508" t="s">
        <v>224</v>
      </c>
      <c r="K69" s="510" t="s">
        <v>1546</v>
      </c>
      <c r="L69" s="510" t="s">
        <v>1547</v>
      </c>
    </row>
    <row r="70" spans="1:12" x14ac:dyDescent="0.2">
      <c r="A70" s="2"/>
      <c r="B70" s="540" t="s">
        <v>1595</v>
      </c>
      <c r="C70" s="268"/>
      <c r="D70" s="268"/>
      <c r="E70" s="513"/>
      <c r="F70" s="514"/>
      <c r="G70" s="513"/>
      <c r="H70" s="513"/>
      <c r="I70" s="513"/>
      <c r="J70" s="268"/>
      <c r="K70" s="513"/>
      <c r="L70" s="513"/>
    </row>
    <row r="71" spans="1:12" x14ac:dyDescent="0.2">
      <c r="A71" s="115">
        <f>A63+1</f>
        <v>54</v>
      </c>
      <c r="B71" s="519" t="s">
        <v>1596</v>
      </c>
      <c r="C71" s="515">
        <f t="shared" ref="C71:C79" si="13">SUM(D71:E71)</f>
        <v>18675046.640000008</v>
      </c>
      <c r="D71" s="1161">
        <v>13058906.380000005</v>
      </c>
      <c r="E71" s="1161">
        <v>5616140.2600000016</v>
      </c>
      <c r="F71" s="1162" t="s">
        <v>630</v>
      </c>
      <c r="G71" s="516">
        <f t="shared" ref="G71:G79" si="14">SUM(H71:I71)</f>
        <v>-2400</v>
      </c>
      <c r="H71" s="1161">
        <v>-2000</v>
      </c>
      <c r="I71" s="1161">
        <v>-400</v>
      </c>
      <c r="J71" s="517">
        <f t="shared" ref="J71:J78" si="15">SUM(K71:L71)</f>
        <v>18672646.640000008</v>
      </c>
      <c r="K71" s="517">
        <f t="shared" ref="K71:L80" si="16">D71+H71</f>
        <v>13056906.380000005</v>
      </c>
      <c r="L71" s="517">
        <f t="shared" si="16"/>
        <v>5615740.2600000016</v>
      </c>
    </row>
    <row r="72" spans="1:12" x14ac:dyDescent="0.2">
      <c r="A72" s="115">
        <f t="shared" ref="A72:A85" si="17">A71+1</f>
        <v>55</v>
      </c>
      <c r="B72" s="519" t="s">
        <v>1597</v>
      </c>
      <c r="C72" s="515">
        <f t="shared" si="13"/>
        <v>11083363.319999998</v>
      </c>
      <c r="D72" s="1161">
        <v>8178766.7099999981</v>
      </c>
      <c r="E72" s="1161">
        <v>2904596.6100000008</v>
      </c>
      <c r="F72" s="1162"/>
      <c r="G72" s="516">
        <f t="shared" si="14"/>
        <v>0</v>
      </c>
      <c r="H72" s="1161"/>
      <c r="I72" s="1161"/>
      <c r="J72" s="517">
        <f t="shared" si="15"/>
        <v>11083363.319999998</v>
      </c>
      <c r="K72" s="517">
        <f t="shared" si="16"/>
        <v>8178766.7099999981</v>
      </c>
      <c r="L72" s="517">
        <f t="shared" si="16"/>
        <v>2904596.6100000008</v>
      </c>
    </row>
    <row r="73" spans="1:12" x14ac:dyDescent="0.2">
      <c r="A73" s="115">
        <f t="shared" si="17"/>
        <v>56</v>
      </c>
      <c r="B73" s="519" t="s">
        <v>1598</v>
      </c>
      <c r="C73" s="515">
        <f t="shared" si="13"/>
        <v>2204134.25</v>
      </c>
      <c r="D73" s="1161">
        <v>1778094.75</v>
      </c>
      <c r="E73" s="1161">
        <v>426039.5</v>
      </c>
      <c r="F73" s="1162"/>
      <c r="G73" s="516">
        <f t="shared" si="14"/>
        <v>0</v>
      </c>
      <c r="H73" s="1161"/>
      <c r="I73" s="1161"/>
      <c r="J73" s="517">
        <f t="shared" si="15"/>
        <v>2204134.25</v>
      </c>
      <c r="K73" s="517">
        <f t="shared" si="16"/>
        <v>1778094.75</v>
      </c>
      <c r="L73" s="517">
        <f t="shared" si="16"/>
        <v>426039.5</v>
      </c>
    </row>
    <row r="74" spans="1:12" x14ac:dyDescent="0.2">
      <c r="A74" s="115">
        <f t="shared" si="17"/>
        <v>57</v>
      </c>
      <c r="B74" s="519" t="s">
        <v>1599</v>
      </c>
      <c r="C74" s="515">
        <f t="shared" si="13"/>
        <v>250797.04000000007</v>
      </c>
      <c r="D74" s="1161">
        <v>10952.2</v>
      </c>
      <c r="E74" s="1161">
        <v>239844.84000000005</v>
      </c>
      <c r="F74" s="1162"/>
      <c r="G74" s="516">
        <f t="shared" si="14"/>
        <v>0</v>
      </c>
      <c r="H74" s="1161"/>
      <c r="I74" s="1161"/>
      <c r="J74" s="517">
        <f t="shared" si="15"/>
        <v>250797.04000000007</v>
      </c>
      <c r="K74" s="517">
        <f t="shared" si="16"/>
        <v>10952.2</v>
      </c>
      <c r="L74" s="517">
        <f t="shared" si="16"/>
        <v>239844.84000000005</v>
      </c>
    </row>
    <row r="75" spans="1:12" x14ac:dyDescent="0.2">
      <c r="A75" s="115">
        <f t="shared" si="17"/>
        <v>58</v>
      </c>
      <c r="B75" s="519" t="s">
        <v>1600</v>
      </c>
      <c r="C75" s="515">
        <f t="shared" si="13"/>
        <v>796801.56</v>
      </c>
      <c r="D75" s="1161">
        <v>480520.1500000002</v>
      </c>
      <c r="E75" s="1161">
        <v>316281.40999999992</v>
      </c>
      <c r="F75" s="1162"/>
      <c r="G75" s="516">
        <f t="shared" si="14"/>
        <v>0</v>
      </c>
      <c r="H75" s="1161"/>
      <c r="I75" s="1161"/>
      <c r="J75" s="517">
        <f t="shared" si="15"/>
        <v>796801.56</v>
      </c>
      <c r="K75" s="517">
        <f t="shared" si="16"/>
        <v>480520.1500000002</v>
      </c>
      <c r="L75" s="517">
        <f t="shared" si="16"/>
        <v>316281.40999999992</v>
      </c>
    </row>
    <row r="76" spans="1:12" x14ac:dyDescent="0.2">
      <c r="A76" s="115">
        <f t="shared" si="17"/>
        <v>59</v>
      </c>
      <c r="B76" s="519" t="s">
        <v>1601</v>
      </c>
      <c r="C76" s="515">
        <f t="shared" si="13"/>
        <v>2281930.4100000011</v>
      </c>
      <c r="D76" s="1161">
        <v>1727059.820000001</v>
      </c>
      <c r="E76" s="1161">
        <v>554870.58999999985</v>
      </c>
      <c r="F76" s="1162"/>
      <c r="G76" s="516">
        <f t="shared" si="14"/>
        <v>0</v>
      </c>
      <c r="H76" s="1161"/>
      <c r="I76" s="1161"/>
      <c r="J76" s="517">
        <f t="shared" si="15"/>
        <v>2281930.4100000011</v>
      </c>
      <c r="K76" s="517">
        <f t="shared" si="16"/>
        <v>1727059.820000001</v>
      </c>
      <c r="L76" s="517">
        <f t="shared" si="16"/>
        <v>554870.58999999985</v>
      </c>
    </row>
    <row r="77" spans="1:12" x14ac:dyDescent="0.2">
      <c r="A77" s="115">
        <f t="shared" si="17"/>
        <v>60</v>
      </c>
      <c r="B77" s="519" t="s">
        <v>1602</v>
      </c>
      <c r="C77" s="515">
        <f t="shared" si="13"/>
        <v>757178.66999999993</v>
      </c>
      <c r="D77" s="1161">
        <v>517069.6399999999</v>
      </c>
      <c r="E77" s="1161">
        <v>240109.02999999997</v>
      </c>
      <c r="F77" s="1162"/>
      <c r="G77" s="516">
        <f t="shared" si="14"/>
        <v>0</v>
      </c>
      <c r="H77" s="1161"/>
      <c r="I77" s="1161"/>
      <c r="J77" s="517">
        <f t="shared" si="15"/>
        <v>757178.66999999993</v>
      </c>
      <c r="K77" s="517">
        <f t="shared" si="16"/>
        <v>517069.6399999999</v>
      </c>
      <c r="L77" s="517">
        <f t="shared" si="16"/>
        <v>240109.02999999997</v>
      </c>
    </row>
    <row r="78" spans="1:12" x14ac:dyDescent="0.2">
      <c r="A78" s="115">
        <f t="shared" si="17"/>
        <v>61</v>
      </c>
      <c r="B78" s="519" t="s">
        <v>1603</v>
      </c>
      <c r="C78" s="515">
        <f t="shared" si="13"/>
        <v>746617.46</v>
      </c>
      <c r="D78" s="1161">
        <v>574149.24000000011</v>
      </c>
      <c r="E78" s="1161">
        <v>172468.21999999991</v>
      </c>
      <c r="F78" s="1162"/>
      <c r="G78" s="1081">
        <f t="shared" si="14"/>
        <v>0</v>
      </c>
      <c r="H78" s="1161"/>
      <c r="I78" s="1161"/>
      <c r="J78" s="517">
        <f t="shared" si="15"/>
        <v>746617.46</v>
      </c>
      <c r="K78" s="517">
        <f t="shared" si="16"/>
        <v>574149.24000000011</v>
      </c>
      <c r="L78" s="517">
        <f t="shared" si="16"/>
        <v>172468.21999999991</v>
      </c>
    </row>
    <row r="79" spans="1:12" x14ac:dyDescent="0.2">
      <c r="A79" s="115">
        <f t="shared" si="17"/>
        <v>62</v>
      </c>
      <c r="B79" s="519" t="s">
        <v>1604</v>
      </c>
      <c r="C79" s="515">
        <f t="shared" si="13"/>
        <v>449080156.95999992</v>
      </c>
      <c r="D79" s="1161">
        <v>187238672.10999992</v>
      </c>
      <c r="E79" s="1161">
        <v>261841484.84999999</v>
      </c>
      <c r="F79" s="1162"/>
      <c r="G79" s="1081">
        <f t="shared" si="14"/>
        <v>-2601252.4</v>
      </c>
      <c r="H79" s="1161">
        <f>-136428.14-734075</f>
        <v>-870503.14</v>
      </c>
      <c r="I79" s="1161">
        <f>-412009.26-1318740</f>
        <v>-1730749.26</v>
      </c>
      <c r="J79" s="525">
        <f>C79+G79</f>
        <v>446478904.55999994</v>
      </c>
      <c r="K79" s="517">
        <f t="shared" si="16"/>
        <v>186368168.96999994</v>
      </c>
      <c r="L79" s="517">
        <f t="shared" si="16"/>
        <v>260110735.59</v>
      </c>
    </row>
    <row r="80" spans="1:12" x14ac:dyDescent="0.2">
      <c r="A80" s="115">
        <f>A79+1</f>
        <v>63</v>
      </c>
      <c r="B80" s="838" t="s">
        <v>2798</v>
      </c>
      <c r="C80" s="529">
        <v>0</v>
      </c>
      <c r="D80" s="529">
        <v>0</v>
      </c>
      <c r="E80" s="529">
        <v>0</v>
      </c>
      <c r="F80" s="530"/>
      <c r="G80" s="531">
        <f>SUM(H80:I80)</f>
        <v>28540923.879594374</v>
      </c>
      <c r="H80" s="530">
        <f>+C87*C192</f>
        <v>28540923.879594374</v>
      </c>
      <c r="I80" s="530">
        <v>0</v>
      </c>
      <c r="J80" s="541">
        <f>SUM(K80:L80)</f>
        <v>28540923.879594374</v>
      </c>
      <c r="K80" s="541">
        <f t="shared" si="16"/>
        <v>28540923.879594374</v>
      </c>
      <c r="L80" s="541">
        <f t="shared" si="16"/>
        <v>0</v>
      </c>
    </row>
    <row r="81" spans="1:12" x14ac:dyDescent="0.2">
      <c r="A81" s="115">
        <f t="shared" si="17"/>
        <v>64</v>
      </c>
      <c r="B81" s="537" t="s">
        <v>1605</v>
      </c>
      <c r="C81" s="533">
        <f>SUM(C71:C80)</f>
        <v>485876026.30999994</v>
      </c>
      <c r="D81" s="533">
        <f>SUM(D71:D80)</f>
        <v>213564190.99999994</v>
      </c>
      <c r="E81" s="533">
        <f>SUM(E71:E80)</f>
        <v>272311835.31</v>
      </c>
      <c r="F81" s="534"/>
      <c r="G81" s="538">
        <f t="shared" ref="G81:L81" si="18">SUM(G71:G80)</f>
        <v>25937271.479594376</v>
      </c>
      <c r="H81" s="533">
        <f t="shared" si="18"/>
        <v>27668420.739594374</v>
      </c>
      <c r="I81" s="533">
        <f t="shared" si="18"/>
        <v>-1731149.26</v>
      </c>
      <c r="J81" s="533">
        <f>SUM(J71:J80)</f>
        <v>511813297.78959435</v>
      </c>
      <c r="K81" s="533">
        <f t="shared" si="18"/>
        <v>241232611.73959434</v>
      </c>
      <c r="L81" s="533">
        <f t="shared" si="18"/>
        <v>270580686.05000001</v>
      </c>
    </row>
    <row r="82" spans="1:12" x14ac:dyDescent="0.2">
      <c r="A82" s="115">
        <f t="shared" si="17"/>
        <v>65</v>
      </c>
      <c r="B82" s="304"/>
      <c r="C82" s="515"/>
      <c r="D82" s="533"/>
      <c r="E82" s="533"/>
      <c r="F82" s="542"/>
      <c r="G82" s="516"/>
      <c r="H82" s="536"/>
      <c r="I82" s="536"/>
      <c r="J82" s="517"/>
      <c r="K82" s="517"/>
      <c r="L82" s="517"/>
    </row>
    <row r="83" spans="1:12" x14ac:dyDescent="0.2">
      <c r="A83" s="115">
        <f t="shared" si="17"/>
        <v>66</v>
      </c>
      <c r="B83" s="537" t="s">
        <v>1606</v>
      </c>
      <c r="C83" s="523">
        <f>+C62+C81</f>
        <v>720930695.5</v>
      </c>
      <c r="D83" s="523">
        <f>D81+D62</f>
        <v>282394273.91999996</v>
      </c>
      <c r="E83" s="523">
        <f>E81+E62</f>
        <v>438536421.58000004</v>
      </c>
      <c r="F83" s="543"/>
      <c r="G83" s="524">
        <f>+G62+G81</f>
        <v>-47308701.46023342</v>
      </c>
      <c r="H83" s="525">
        <f>H81+H62</f>
        <v>36321327.548031092</v>
      </c>
      <c r="I83" s="525">
        <f>I81+I62</f>
        <v>-83630029.008264542</v>
      </c>
      <c r="J83" s="525">
        <f>J81+J62</f>
        <v>673621994.03976655</v>
      </c>
      <c r="K83" s="525">
        <f>K81+K62</f>
        <v>318715601.46803105</v>
      </c>
      <c r="L83" s="525">
        <f>L81+L62</f>
        <v>354906392.57173544</v>
      </c>
    </row>
    <row r="84" spans="1:12" x14ac:dyDescent="0.2">
      <c r="A84" s="115">
        <f t="shared" si="17"/>
        <v>67</v>
      </c>
      <c r="B84" s="522"/>
      <c r="C84" s="522"/>
      <c r="D84" s="522"/>
      <c r="E84" s="522"/>
      <c r="F84" s="544"/>
      <c r="G84" s="545"/>
      <c r="H84" s="536"/>
      <c r="I84" s="536"/>
      <c r="J84" s="518"/>
      <c r="K84" s="518"/>
      <c r="L84" s="518"/>
    </row>
    <row r="85" spans="1:12" x14ac:dyDescent="0.2">
      <c r="A85" s="115">
        <f t="shared" si="17"/>
        <v>68</v>
      </c>
      <c r="B85" s="519" t="s">
        <v>1607</v>
      </c>
      <c r="C85" s="1167">
        <v>235054669</v>
      </c>
      <c r="D85" s="546" t="s">
        <v>1608</v>
      </c>
      <c r="E85" s="523" t="str">
        <f>"Must equal Line "&amp;A62&amp;", Column 2."</f>
        <v>Must equal Line 52, Column 2.</v>
      </c>
      <c r="F85" s="543"/>
      <c r="G85" s="547"/>
      <c r="H85" s="548"/>
      <c r="I85" s="548"/>
      <c r="J85" s="548"/>
      <c r="K85" s="548"/>
      <c r="L85" s="548"/>
    </row>
    <row r="86" spans="1:12" x14ac:dyDescent="0.2">
      <c r="A86" s="115">
        <f>A85+1</f>
        <v>69</v>
      </c>
      <c r="B86" s="519" t="s">
        <v>1609</v>
      </c>
      <c r="C86" s="1168">
        <v>485876026</v>
      </c>
      <c r="D86" s="546" t="s">
        <v>1610</v>
      </c>
      <c r="E86" s="523" t="str">
        <f>"Must equal Line "&amp;A81&amp;", Column 2."</f>
        <v>Must equal Line 64, Column 2.</v>
      </c>
      <c r="F86" s="543"/>
      <c r="G86" s="516"/>
      <c r="H86" s="517"/>
      <c r="I86" s="517"/>
      <c r="J86" s="517"/>
      <c r="K86" s="517"/>
      <c r="L86" s="517"/>
    </row>
    <row r="87" spans="1:12" x14ac:dyDescent="0.2">
      <c r="A87" s="115">
        <f>A86+1</f>
        <v>70</v>
      </c>
      <c r="B87" s="838" t="s">
        <v>2799</v>
      </c>
      <c r="C87" s="601">
        <f>'20-AandG'!E63</f>
        <v>37739442.358031094</v>
      </c>
      <c r="D87" s="546" t="str">
        <f>"20-AandG, Note 2, "&amp;'20-AandG'!B63&amp;""</f>
        <v>20-AandG, Note 2, f</v>
      </c>
      <c r="E87" s="523"/>
      <c r="F87" s="2"/>
      <c r="G87" s="516"/>
      <c r="H87" s="517"/>
      <c r="I87" s="517"/>
      <c r="J87" s="517"/>
      <c r="K87" s="517"/>
      <c r="L87" s="517"/>
    </row>
    <row r="88" spans="1:12" x14ac:dyDescent="0.2">
      <c r="A88" s="549"/>
      <c r="C88" s="550"/>
      <c r="D88" s="515"/>
      <c r="E88" s="515"/>
      <c r="F88" s="544"/>
      <c r="G88" s="516"/>
      <c r="H88" s="517"/>
      <c r="I88" s="517"/>
      <c r="J88" s="517"/>
      <c r="K88" s="517"/>
      <c r="L88" s="517"/>
    </row>
    <row r="89" spans="1:12" x14ac:dyDescent="0.2">
      <c r="A89" s="518"/>
      <c r="B89" s="484" t="s">
        <v>1686</v>
      </c>
      <c r="C89" s="522"/>
      <c r="D89" s="522"/>
      <c r="E89" s="522"/>
      <c r="F89" s="544"/>
      <c r="G89" s="545"/>
      <c r="H89" s="518"/>
      <c r="I89" s="518"/>
      <c r="J89" s="518"/>
      <c r="K89" s="518"/>
      <c r="L89" s="518"/>
    </row>
    <row r="90" spans="1:12" x14ac:dyDescent="0.2">
      <c r="A90" s="518"/>
      <c r="C90" s="522"/>
      <c r="D90" s="522"/>
      <c r="E90" s="522"/>
      <c r="F90" s="544"/>
      <c r="G90" s="545"/>
      <c r="H90" s="518"/>
      <c r="I90" s="518"/>
      <c r="J90" s="19"/>
      <c r="K90" s="518"/>
      <c r="L90" s="518"/>
    </row>
    <row r="91" spans="1:12" x14ac:dyDescent="0.2">
      <c r="A91" s="518"/>
      <c r="B91" s="86" t="s">
        <v>403</v>
      </c>
      <c r="C91" s="495" t="s">
        <v>387</v>
      </c>
      <c r="D91" s="495" t="s">
        <v>388</v>
      </c>
      <c r="E91" s="495" t="s">
        <v>389</v>
      </c>
      <c r="F91" s="496" t="s">
        <v>390</v>
      </c>
      <c r="G91" s="495" t="s">
        <v>391</v>
      </c>
      <c r="H91" s="495" t="s">
        <v>392</v>
      </c>
      <c r="I91" s="495" t="s">
        <v>606</v>
      </c>
      <c r="J91" s="1082" t="s">
        <v>1055</v>
      </c>
      <c r="K91" s="376"/>
      <c r="L91" s="86"/>
    </row>
    <row r="92" spans="1:12" x14ac:dyDescent="0.2">
      <c r="A92" s="518"/>
      <c r="C92" s="522" t="s">
        <v>1611</v>
      </c>
      <c r="D92" s="522" t="s">
        <v>1612</v>
      </c>
      <c r="E92" s="522" t="s">
        <v>1613</v>
      </c>
      <c r="F92" s="545" t="s">
        <v>1349</v>
      </c>
      <c r="G92" s="792" t="s">
        <v>1538</v>
      </c>
      <c r="H92" s="793" t="s">
        <v>2161</v>
      </c>
      <c r="I92" s="793" t="s">
        <v>2162</v>
      </c>
      <c r="J92" s="554"/>
      <c r="K92" s="522"/>
      <c r="L92" s="518"/>
    </row>
    <row r="93" spans="1:12" x14ac:dyDescent="0.2">
      <c r="C93" s="522"/>
      <c r="D93" s="522"/>
      <c r="E93" s="522"/>
      <c r="F93" s="544"/>
      <c r="G93" s="545"/>
      <c r="H93" s="518"/>
      <c r="I93" s="518"/>
      <c r="J93" s="522"/>
      <c r="K93" s="522"/>
      <c r="L93" s="518"/>
    </row>
    <row r="94" spans="1:12" x14ac:dyDescent="0.2">
      <c r="A94" s="507"/>
      <c r="B94" s="1205" t="s">
        <v>1542</v>
      </c>
      <c r="C94" s="1196" t="s">
        <v>1545</v>
      </c>
      <c r="D94" s="1197"/>
      <c r="E94" s="1198"/>
      <c r="F94" s="551" t="s">
        <v>1749</v>
      </c>
      <c r="G94" s="1202" t="s">
        <v>1614</v>
      </c>
      <c r="H94" s="1203"/>
      <c r="I94" s="1204"/>
      <c r="J94" s="1083" t="s">
        <v>2255</v>
      </c>
      <c r="K94" s="522"/>
    </row>
    <row r="95" spans="1:12" x14ac:dyDescent="0.2">
      <c r="B95" s="1205"/>
      <c r="C95" s="508" t="s">
        <v>224</v>
      </c>
      <c r="D95" s="510" t="s">
        <v>1546</v>
      </c>
      <c r="E95" s="510" t="s">
        <v>1547</v>
      </c>
      <c r="F95" s="551" t="s">
        <v>487</v>
      </c>
      <c r="G95" s="508" t="s">
        <v>224</v>
      </c>
      <c r="H95" s="510" t="s">
        <v>1546</v>
      </c>
      <c r="I95" s="510" t="s">
        <v>1547</v>
      </c>
      <c r="J95" s="1013" t="s">
        <v>233</v>
      </c>
      <c r="K95" s="522"/>
      <c r="L95" s="518"/>
    </row>
    <row r="96" spans="1:12" x14ac:dyDescent="0.2">
      <c r="A96" s="53" t="s">
        <v>369</v>
      </c>
      <c r="B96" s="512" t="s">
        <v>1548</v>
      </c>
      <c r="C96" s="268"/>
      <c r="D96" s="513"/>
      <c r="E96" s="513"/>
      <c r="F96" s="552"/>
      <c r="G96" s="268"/>
      <c r="H96" s="513"/>
      <c r="I96" s="513"/>
      <c r="J96" s="554"/>
      <c r="K96" s="522"/>
      <c r="L96" s="518"/>
    </row>
    <row r="97" spans="1:12" x14ac:dyDescent="0.2">
      <c r="A97" s="115">
        <f>A87+1</f>
        <v>71</v>
      </c>
      <c r="B97" s="519" t="s">
        <v>1549</v>
      </c>
      <c r="C97" s="515">
        <f t="shared" ref="C97:C112" si="19">J11</f>
        <v>12705375.559999999</v>
      </c>
      <c r="D97" s="515">
        <f t="shared" ref="D97:D112" si="20">K11</f>
        <v>6381720.0899999989</v>
      </c>
      <c r="E97" s="515">
        <f t="shared" ref="E97:E112" si="21">L11</f>
        <v>6323655.4700000007</v>
      </c>
      <c r="F97" s="558">
        <f>J202</f>
        <v>0.43526465293278577</v>
      </c>
      <c r="G97" s="553">
        <f>SUM(H97:I97)</f>
        <v>5530200.8835040983</v>
      </c>
      <c r="H97" s="553">
        <f>D97*F97</f>
        <v>2777737.1800880358</v>
      </c>
      <c r="I97" s="553">
        <f>E97*F97</f>
        <v>2752463.7034160625</v>
      </c>
      <c r="J97" s="646" t="s">
        <v>2421</v>
      </c>
      <c r="K97" s="522"/>
      <c r="L97" s="518"/>
    </row>
    <row r="98" spans="1:12" x14ac:dyDescent="0.2">
      <c r="A98" s="115">
        <f t="shared" ref="A98:A149" si="22">A97+1</f>
        <v>72</v>
      </c>
      <c r="B98" s="519" t="s">
        <v>1550</v>
      </c>
      <c r="C98" s="515">
        <f t="shared" si="19"/>
        <v>282900.90999999997</v>
      </c>
      <c r="D98" s="515">
        <f t="shared" si="20"/>
        <v>0</v>
      </c>
      <c r="E98" s="515">
        <f t="shared" si="21"/>
        <v>282900.90999999997</v>
      </c>
      <c r="F98" s="558">
        <v>1</v>
      </c>
      <c r="G98" s="553">
        <f t="shared" ref="G98:G145" si="23">SUM(H98:I98)</f>
        <v>282900.90999999997</v>
      </c>
      <c r="H98" s="553">
        <f t="shared" ref="H98:H145" si="24">D98*F98</f>
        <v>0</v>
      </c>
      <c r="I98" s="553">
        <f t="shared" ref="I98:I145" si="25">E98*F98</f>
        <v>282900.90999999997</v>
      </c>
      <c r="J98" s="1084" t="s">
        <v>2423</v>
      </c>
      <c r="K98" s="522"/>
      <c r="L98" s="518"/>
    </row>
    <row r="99" spans="1:12" x14ac:dyDescent="0.2">
      <c r="A99" s="115">
        <f t="shared" si="22"/>
        <v>73</v>
      </c>
      <c r="B99" s="519" t="s">
        <v>1551</v>
      </c>
      <c r="C99" s="515">
        <f t="shared" si="19"/>
        <v>379489.83</v>
      </c>
      <c r="D99" s="515">
        <f t="shared" si="20"/>
        <v>-10.089999999999996</v>
      </c>
      <c r="E99" s="515">
        <f t="shared" si="21"/>
        <v>379499.92000000004</v>
      </c>
      <c r="F99" s="558">
        <f>'27-Allocators'!D36</f>
        <v>0.48926532638371806</v>
      </c>
      <c r="G99" s="553">
        <f t="shared" si="23"/>
        <v>185671.21553425171</v>
      </c>
      <c r="H99" s="553">
        <f t="shared" si="24"/>
        <v>-4.9366871432117136</v>
      </c>
      <c r="I99" s="553">
        <f t="shared" si="25"/>
        <v>185676.15222139491</v>
      </c>
      <c r="J99" s="554" t="str">
        <f>"27-Allocators Line "&amp;'27-Allocators'!A36&amp;""</f>
        <v>27-Allocators Line 30</v>
      </c>
      <c r="K99" s="522"/>
      <c r="L99" s="518"/>
    </row>
    <row r="100" spans="1:12" x14ac:dyDescent="0.2">
      <c r="A100" s="115">
        <f t="shared" si="22"/>
        <v>74</v>
      </c>
      <c r="B100" s="519" t="s">
        <v>1552</v>
      </c>
      <c r="C100" s="515">
        <f t="shared" si="19"/>
        <v>675463.41</v>
      </c>
      <c r="D100" s="515">
        <f t="shared" si="20"/>
        <v>494161.56</v>
      </c>
      <c r="E100" s="515">
        <f t="shared" si="21"/>
        <v>181301.85</v>
      </c>
      <c r="F100" s="558">
        <f>'27-Allocators'!D36</f>
        <v>0.48926532638371806</v>
      </c>
      <c r="G100" s="553">
        <f t="shared" si="23"/>
        <v>330480.82575390919</v>
      </c>
      <c r="H100" s="553">
        <f t="shared" si="24"/>
        <v>241776.11693968729</v>
      </c>
      <c r="I100" s="553">
        <f t="shared" si="25"/>
        <v>88704.7088142219</v>
      </c>
      <c r="J100" s="554" t="str">
        <f>"27-Allocators Line "&amp;'27-Allocators'!A36&amp;""</f>
        <v>27-Allocators Line 30</v>
      </c>
      <c r="K100" s="522"/>
      <c r="L100" s="518"/>
    </row>
    <row r="101" spans="1:12" x14ac:dyDescent="0.2">
      <c r="A101" s="115">
        <f t="shared" si="22"/>
        <v>75</v>
      </c>
      <c r="B101" s="519" t="s">
        <v>1553</v>
      </c>
      <c r="C101" s="515">
        <f t="shared" si="19"/>
        <v>5384508.9500000002</v>
      </c>
      <c r="D101" s="515">
        <f t="shared" si="20"/>
        <v>4264420.95</v>
      </c>
      <c r="E101" s="515">
        <f t="shared" si="21"/>
        <v>1120088</v>
      </c>
      <c r="F101" s="558">
        <f>'27-Allocators'!D36</f>
        <v>0.48926532638371806</v>
      </c>
      <c r="G101" s="553">
        <f t="shared" si="23"/>
        <v>2634453.528837801</v>
      </c>
      <c r="H101" s="553">
        <f t="shared" si="24"/>
        <v>2086433.3079393152</v>
      </c>
      <c r="I101" s="553">
        <f t="shared" si="25"/>
        <v>548020.22089848598</v>
      </c>
      <c r="J101" s="554" t="str">
        <f>"27-Allocators Line "&amp;'27-Allocators'!A36&amp;""</f>
        <v>27-Allocators Line 30</v>
      </c>
      <c r="K101" s="522"/>
      <c r="L101" s="518"/>
    </row>
    <row r="102" spans="1:12" x14ac:dyDescent="0.2">
      <c r="A102" s="115">
        <f t="shared" si="22"/>
        <v>76</v>
      </c>
      <c r="B102" s="519" t="s">
        <v>1554</v>
      </c>
      <c r="C102" s="515">
        <f t="shared" si="19"/>
        <v>0</v>
      </c>
      <c r="D102" s="515">
        <f t="shared" si="20"/>
        <v>0</v>
      </c>
      <c r="E102" s="515">
        <f t="shared" si="21"/>
        <v>0</v>
      </c>
      <c r="F102" s="558">
        <v>0</v>
      </c>
      <c r="G102" s="553">
        <f t="shared" si="23"/>
        <v>0</v>
      </c>
      <c r="H102" s="553">
        <f t="shared" si="24"/>
        <v>0</v>
      </c>
      <c r="I102" s="553">
        <f t="shared" si="25"/>
        <v>0</v>
      </c>
      <c r="J102" s="1084" t="s">
        <v>2424</v>
      </c>
      <c r="K102" s="522"/>
      <c r="L102" s="518"/>
    </row>
    <row r="103" spans="1:12" x14ac:dyDescent="0.2">
      <c r="A103" s="115">
        <f t="shared" si="22"/>
        <v>77</v>
      </c>
      <c r="B103" s="519" t="s">
        <v>1555</v>
      </c>
      <c r="C103" s="515">
        <f t="shared" si="19"/>
        <v>4575420.2100000009</v>
      </c>
      <c r="D103" s="515">
        <f t="shared" si="20"/>
        <v>4092312.0400000005</v>
      </c>
      <c r="E103" s="515">
        <f t="shared" si="21"/>
        <v>483108.17000000027</v>
      </c>
      <c r="F103" s="558">
        <v>1</v>
      </c>
      <c r="G103" s="553">
        <f t="shared" si="23"/>
        <v>4575420.2100000009</v>
      </c>
      <c r="H103" s="553">
        <f t="shared" si="24"/>
        <v>4092312.0400000005</v>
      </c>
      <c r="I103" s="553">
        <f t="shared" si="25"/>
        <v>483108.17000000027</v>
      </c>
      <c r="J103" s="1084" t="s">
        <v>2423</v>
      </c>
      <c r="K103" s="522"/>
      <c r="L103" s="518"/>
    </row>
    <row r="104" spans="1:12" x14ac:dyDescent="0.2">
      <c r="A104" s="115">
        <f t="shared" si="22"/>
        <v>78</v>
      </c>
      <c r="B104" s="519" t="s">
        <v>1556</v>
      </c>
      <c r="C104" s="515">
        <f t="shared" si="19"/>
        <v>0</v>
      </c>
      <c r="D104" s="515">
        <f t="shared" si="20"/>
        <v>0</v>
      </c>
      <c r="E104" s="515">
        <f t="shared" si="21"/>
        <v>0</v>
      </c>
      <c r="F104" s="558">
        <v>0</v>
      </c>
      <c r="G104" s="553">
        <f t="shared" si="23"/>
        <v>0</v>
      </c>
      <c r="H104" s="553">
        <f t="shared" si="24"/>
        <v>0</v>
      </c>
      <c r="I104" s="553">
        <f t="shared" si="25"/>
        <v>0</v>
      </c>
      <c r="J104" s="1084" t="s">
        <v>2424</v>
      </c>
      <c r="K104" s="515"/>
      <c r="L104" s="517"/>
    </row>
    <row r="105" spans="1:12" x14ac:dyDescent="0.2">
      <c r="A105" s="115">
        <f t="shared" si="22"/>
        <v>79</v>
      </c>
      <c r="B105" s="519" t="s">
        <v>1557</v>
      </c>
      <c r="C105" s="515">
        <f t="shared" si="19"/>
        <v>15837070.530000005</v>
      </c>
      <c r="D105" s="515">
        <f t="shared" si="20"/>
        <v>11184331.590000002</v>
      </c>
      <c r="E105" s="515">
        <f t="shared" si="21"/>
        <v>4652738.9400000032</v>
      </c>
      <c r="F105" s="558">
        <f>'27-Allocators'!D42</f>
        <v>0.19352159468438537</v>
      </c>
      <c r="G105" s="553">
        <f t="shared" si="23"/>
        <v>3064815.1440946851</v>
      </c>
      <c r="H105" s="553">
        <f t="shared" si="24"/>
        <v>2164409.6847757478</v>
      </c>
      <c r="I105" s="553">
        <f t="shared" si="25"/>
        <v>900405.4593189375</v>
      </c>
      <c r="J105" s="554" t="str">
        <f>"27-Allocators Line "&amp;'27-Allocators'!A42&amp;""</f>
        <v>27-Allocators Line 36</v>
      </c>
      <c r="K105" s="522"/>
      <c r="L105" s="518"/>
    </row>
    <row r="106" spans="1:12" ht="12.75" customHeight="1" x14ac:dyDescent="0.2">
      <c r="A106" s="115">
        <f t="shared" si="22"/>
        <v>80</v>
      </c>
      <c r="B106" s="841" t="s">
        <v>1558</v>
      </c>
      <c r="C106" s="1085">
        <f t="shared" si="19"/>
        <v>4030768.17</v>
      </c>
      <c r="D106" s="1085">
        <f t="shared" si="20"/>
        <v>2416866.8899999997</v>
      </c>
      <c r="E106" s="1085">
        <f t="shared" si="21"/>
        <v>1613901.2800000003</v>
      </c>
      <c r="F106" s="1086">
        <f>'27-Allocators'!D48</f>
        <v>0.12210487307763572</v>
      </c>
      <c r="G106" s="842">
        <f t="shared" si="23"/>
        <v>492176.43580322398</v>
      </c>
      <c r="H106" s="842">
        <f t="shared" si="24"/>
        <v>295111.22484899015</v>
      </c>
      <c r="I106" s="842">
        <f t="shared" si="25"/>
        <v>197065.21095423386</v>
      </c>
      <c r="J106" s="554" t="str">
        <f>"27-Allocators Line "&amp;'27-Allocators'!A48&amp;""</f>
        <v>27-Allocators Line 42</v>
      </c>
      <c r="K106" s="515"/>
      <c r="L106" s="518"/>
    </row>
    <row r="107" spans="1:12" x14ac:dyDescent="0.2">
      <c r="A107" s="115">
        <f t="shared" si="22"/>
        <v>81</v>
      </c>
      <c r="B107" s="519" t="s">
        <v>1559</v>
      </c>
      <c r="C107" s="515">
        <f t="shared" si="19"/>
        <v>682254.3899999999</v>
      </c>
      <c r="D107" s="515">
        <f t="shared" si="20"/>
        <v>0</v>
      </c>
      <c r="E107" s="515">
        <f t="shared" si="21"/>
        <v>682254.3899999999</v>
      </c>
      <c r="F107" s="558">
        <v>1</v>
      </c>
      <c r="G107" s="553">
        <f t="shared" si="23"/>
        <v>682254.3899999999</v>
      </c>
      <c r="H107" s="553">
        <f t="shared" si="24"/>
        <v>0</v>
      </c>
      <c r="I107" s="553">
        <f t="shared" si="25"/>
        <v>682254.3899999999</v>
      </c>
      <c r="J107" s="1084" t="s">
        <v>2423</v>
      </c>
      <c r="K107" s="522"/>
      <c r="L107" s="518"/>
    </row>
    <row r="108" spans="1:12" x14ac:dyDescent="0.2">
      <c r="A108" s="115">
        <f t="shared" si="22"/>
        <v>82</v>
      </c>
      <c r="B108" s="519" t="s">
        <v>1560</v>
      </c>
      <c r="C108" s="515">
        <f t="shared" si="19"/>
        <v>4781155.8299999991</v>
      </c>
      <c r="D108" s="515">
        <f t="shared" si="20"/>
        <v>2733192.8499999992</v>
      </c>
      <c r="E108" s="515">
        <f t="shared" si="21"/>
        <v>2047962.9800000002</v>
      </c>
      <c r="F108" s="558">
        <f>'27-Allocators'!D54</f>
        <v>0.49123851650221162</v>
      </c>
      <c r="G108" s="553">
        <f t="shared" si="23"/>
        <v>2348687.8970951</v>
      </c>
      <c r="H108" s="553">
        <f t="shared" si="24"/>
        <v>1342649.6009484513</v>
      </c>
      <c r="I108" s="553">
        <f t="shared" si="25"/>
        <v>1006038.2961466486</v>
      </c>
      <c r="J108" s="554" t="str">
        <f>"27-Allocators Line "&amp;'27-Allocators'!A54&amp;""</f>
        <v>27-Allocators Line 48</v>
      </c>
      <c r="K108" s="522"/>
      <c r="L108" s="518"/>
    </row>
    <row r="109" spans="1:12" x14ac:dyDescent="0.2">
      <c r="A109" s="115">
        <f t="shared" si="22"/>
        <v>83</v>
      </c>
      <c r="B109" s="519" t="s">
        <v>1561</v>
      </c>
      <c r="C109" s="515">
        <f t="shared" si="19"/>
        <v>1102726.2399999998</v>
      </c>
      <c r="D109" s="515">
        <f t="shared" si="20"/>
        <v>793686.64999999991</v>
      </c>
      <c r="E109" s="515">
        <f t="shared" si="21"/>
        <v>309039.58999999997</v>
      </c>
      <c r="F109" s="558">
        <f>'27-Allocators'!D60</f>
        <v>1.7291066282420751E-2</v>
      </c>
      <c r="G109" s="553">
        <f t="shared" si="23"/>
        <v>19067.31250720461</v>
      </c>
      <c r="H109" s="553">
        <f t="shared" si="24"/>
        <v>13723.688472622478</v>
      </c>
      <c r="I109" s="553">
        <f t="shared" si="25"/>
        <v>5343.6240345821325</v>
      </c>
      <c r="J109" s="554" t="str">
        <f>"27-Allocators Line "&amp;'27-Allocators'!A60&amp;""</f>
        <v>27-Allocators Line 54</v>
      </c>
      <c r="K109" s="522"/>
      <c r="L109" s="518"/>
    </row>
    <row r="110" spans="1:12" x14ac:dyDescent="0.2">
      <c r="A110" s="115">
        <f t="shared" si="22"/>
        <v>84</v>
      </c>
      <c r="B110" s="519" t="s">
        <v>1562</v>
      </c>
      <c r="C110" s="515">
        <f t="shared" si="19"/>
        <v>0</v>
      </c>
      <c r="D110" s="515">
        <f t="shared" si="20"/>
        <v>0</v>
      </c>
      <c r="E110" s="515">
        <f t="shared" si="21"/>
        <v>0</v>
      </c>
      <c r="F110" s="558">
        <v>0</v>
      </c>
      <c r="G110" s="553">
        <f t="shared" si="23"/>
        <v>0</v>
      </c>
      <c r="H110" s="553">
        <f t="shared" si="24"/>
        <v>0</v>
      </c>
      <c r="I110" s="553">
        <f t="shared" si="25"/>
        <v>0</v>
      </c>
      <c r="J110" s="1084" t="s">
        <v>2424</v>
      </c>
      <c r="K110" s="515"/>
      <c r="L110" s="517"/>
    </row>
    <row r="111" spans="1:12" x14ac:dyDescent="0.2">
      <c r="A111" s="115">
        <f t="shared" si="22"/>
        <v>85</v>
      </c>
      <c r="B111" s="519" t="s">
        <v>1563</v>
      </c>
      <c r="C111" s="515">
        <f t="shared" si="19"/>
        <v>222919.82</v>
      </c>
      <c r="D111" s="515">
        <f t="shared" si="20"/>
        <v>0</v>
      </c>
      <c r="E111" s="515">
        <f t="shared" si="21"/>
        <v>222919.82</v>
      </c>
      <c r="F111" s="558">
        <v>0</v>
      </c>
      <c r="G111" s="553">
        <f t="shared" si="23"/>
        <v>0</v>
      </c>
      <c r="H111" s="553">
        <f t="shared" si="24"/>
        <v>0</v>
      </c>
      <c r="I111" s="553">
        <f t="shared" si="25"/>
        <v>0</v>
      </c>
      <c r="J111" s="1084" t="s">
        <v>2424</v>
      </c>
      <c r="K111" s="522"/>
      <c r="L111" s="518"/>
    </row>
    <row r="112" spans="1:12" x14ac:dyDescent="0.2">
      <c r="A112" s="115">
        <f t="shared" si="22"/>
        <v>86</v>
      </c>
      <c r="B112" s="519" t="s">
        <v>1564</v>
      </c>
      <c r="C112" s="515">
        <f t="shared" si="19"/>
        <v>5404696.6000000006</v>
      </c>
      <c r="D112" s="515">
        <f t="shared" si="20"/>
        <v>8.6600000000000019</v>
      </c>
      <c r="E112" s="515">
        <f t="shared" si="21"/>
        <v>5404687.9400000004</v>
      </c>
      <c r="F112" s="558">
        <v>1</v>
      </c>
      <c r="G112" s="553">
        <f t="shared" si="23"/>
        <v>5404696.6000000006</v>
      </c>
      <c r="H112" s="553">
        <f t="shared" si="24"/>
        <v>8.6600000000000019</v>
      </c>
      <c r="I112" s="553">
        <f t="shared" si="25"/>
        <v>5404687.9400000004</v>
      </c>
      <c r="J112" s="1084" t="s">
        <v>2423</v>
      </c>
      <c r="K112" s="522"/>
      <c r="L112" s="518"/>
    </row>
    <row r="113" spans="1:12" x14ac:dyDescent="0.2">
      <c r="A113" s="115">
        <f t="shared" si="22"/>
        <v>87</v>
      </c>
      <c r="B113" s="519" t="s">
        <v>1565</v>
      </c>
      <c r="C113" s="515">
        <f>SUM(D113:E113)</f>
        <v>0</v>
      </c>
      <c r="D113" s="515">
        <f t="shared" ref="D113:E115" si="26">K27</f>
        <v>0</v>
      </c>
      <c r="E113" s="515">
        <f t="shared" si="26"/>
        <v>0</v>
      </c>
      <c r="F113" s="558">
        <v>0</v>
      </c>
      <c r="G113" s="553">
        <f t="shared" si="23"/>
        <v>0</v>
      </c>
      <c r="H113" s="553">
        <f t="shared" si="24"/>
        <v>0</v>
      </c>
      <c r="I113" s="553">
        <f t="shared" si="25"/>
        <v>0</v>
      </c>
      <c r="J113" s="1084" t="s">
        <v>2424</v>
      </c>
      <c r="K113" s="515"/>
      <c r="L113" s="517"/>
    </row>
    <row r="114" spans="1:12" x14ac:dyDescent="0.2">
      <c r="A114" s="115">
        <f t="shared" si="22"/>
        <v>88</v>
      </c>
      <c r="B114" s="838" t="s">
        <v>2335</v>
      </c>
      <c r="C114" s="515">
        <f>J28</f>
        <v>10382785</v>
      </c>
      <c r="D114" s="515">
        <f t="shared" si="26"/>
        <v>7465883</v>
      </c>
      <c r="E114" s="515">
        <f t="shared" si="26"/>
        <v>2916902</v>
      </c>
      <c r="F114" s="558">
        <f>J202</f>
        <v>0.43526465293278577</v>
      </c>
      <c r="G114" s="553">
        <f t="shared" si="23"/>
        <v>4519259.3095007334</v>
      </c>
      <c r="H114" s="553">
        <f t="shared" si="24"/>
        <v>3249634.9728317852</v>
      </c>
      <c r="I114" s="553">
        <f t="shared" si="25"/>
        <v>1269624.3366689486</v>
      </c>
      <c r="J114" s="646" t="s">
        <v>2421</v>
      </c>
      <c r="K114" s="554"/>
      <c r="L114" s="532"/>
    </row>
    <row r="115" spans="1:12" x14ac:dyDescent="0.2">
      <c r="A115" s="115">
        <f t="shared" si="22"/>
        <v>89</v>
      </c>
      <c r="B115" s="838" t="s">
        <v>2336</v>
      </c>
      <c r="C115" s="515">
        <f>J29</f>
        <v>17742473</v>
      </c>
      <c r="D115" s="515">
        <f t="shared" si="26"/>
        <v>5470810</v>
      </c>
      <c r="E115" s="515">
        <f t="shared" si="26"/>
        <v>12271663</v>
      </c>
      <c r="F115" s="558">
        <f>J202</f>
        <v>0.43526465293278577</v>
      </c>
      <c r="G115" s="553">
        <f t="shared" ref="G115" si="27">SUM(H115:I115)</f>
        <v>7722671.3525143228</v>
      </c>
      <c r="H115" s="553">
        <f t="shared" ref="H115" si="28">D115*F115</f>
        <v>2381250.2159112138</v>
      </c>
      <c r="I115" s="553">
        <f t="shared" ref="I115" si="29">E115*F115</f>
        <v>5341421.1366031086</v>
      </c>
      <c r="J115" s="646" t="s">
        <v>2421</v>
      </c>
      <c r="K115" s="554"/>
      <c r="L115" s="532"/>
    </row>
    <row r="116" spans="1:12" x14ac:dyDescent="0.2">
      <c r="A116" s="115">
        <f t="shared" si="22"/>
        <v>90</v>
      </c>
      <c r="B116" s="519" t="s">
        <v>1566</v>
      </c>
      <c r="C116" s="515">
        <f t="shared" ref="C116:C141" si="30">J30</f>
        <v>1194518.2499999998</v>
      </c>
      <c r="D116" s="515">
        <f t="shared" ref="D116:D141" si="31">K30</f>
        <v>1013661.1999999997</v>
      </c>
      <c r="E116" s="515">
        <f t="shared" ref="E116:E141" si="32">L30</f>
        <v>180857.05000000002</v>
      </c>
      <c r="F116" s="558">
        <f>'7-PlantStudy'!F28</f>
        <v>0.54112159582129271</v>
      </c>
      <c r="G116" s="553">
        <f t="shared" si="23"/>
        <v>646379.62167765782</v>
      </c>
      <c r="H116" s="553">
        <f t="shared" si="24"/>
        <v>548513.96616612643</v>
      </c>
      <c r="I116" s="553">
        <f t="shared" si="25"/>
        <v>97865.655511531339</v>
      </c>
      <c r="J116" s="554" t="str">
        <f>"7-PlantStudy, Line "&amp;'7-PlantStudy'!A28&amp;", C3"</f>
        <v>7-PlantStudy, Line 21, C3</v>
      </c>
      <c r="K116" s="522"/>
      <c r="L116" s="518"/>
    </row>
    <row r="117" spans="1:12" x14ac:dyDescent="0.2">
      <c r="A117" s="115">
        <f t="shared" si="22"/>
        <v>91</v>
      </c>
      <c r="B117" s="519" t="s">
        <v>1567</v>
      </c>
      <c r="C117" s="515">
        <f t="shared" si="30"/>
        <v>1007324.61</v>
      </c>
      <c r="D117" s="515">
        <f t="shared" si="31"/>
        <v>944120.66</v>
      </c>
      <c r="E117" s="515">
        <f t="shared" si="32"/>
        <v>63203.949999999953</v>
      </c>
      <c r="F117" s="558">
        <f>'7-PlantStudy'!F28</f>
        <v>0.54112159582129271</v>
      </c>
      <c r="G117" s="553">
        <f t="shared" si="23"/>
        <v>545085.10047326132</v>
      </c>
      <c r="H117" s="553">
        <f t="shared" si="24"/>
        <v>510884.07818705216</v>
      </c>
      <c r="I117" s="553">
        <f t="shared" si="25"/>
        <v>34201.022286209169</v>
      </c>
      <c r="J117" s="554" t="str">
        <f>"7-PlantStudy, Line "&amp;'7-PlantStudy'!A28&amp;", C3"</f>
        <v>7-PlantStudy, Line 21, C3</v>
      </c>
      <c r="K117" s="515"/>
      <c r="L117" s="843"/>
    </row>
    <row r="118" spans="1:12" x14ac:dyDescent="0.2">
      <c r="A118" s="115">
        <f t="shared" si="22"/>
        <v>92</v>
      </c>
      <c r="B118" s="519" t="s">
        <v>1568</v>
      </c>
      <c r="C118" s="515">
        <f t="shared" si="30"/>
        <v>4077099.2</v>
      </c>
      <c r="D118" s="515">
        <f t="shared" si="31"/>
        <v>3112278.6799999997</v>
      </c>
      <c r="E118" s="515">
        <f t="shared" si="32"/>
        <v>964820.52000000025</v>
      </c>
      <c r="F118" s="558">
        <f>'7-PlantStudy'!F28</f>
        <v>0.54112159582129271</v>
      </c>
      <c r="G118" s="553">
        <f t="shared" si="23"/>
        <v>2206206.4254257157</v>
      </c>
      <c r="H118" s="553">
        <f t="shared" si="24"/>
        <v>1684121.2059621862</v>
      </c>
      <c r="I118" s="553">
        <f t="shared" si="25"/>
        <v>522085.21946352959</v>
      </c>
      <c r="J118" s="554" t="str">
        <f>"7-PlantStudy, Line "&amp;'7-PlantStudy'!A28&amp;", C3"</f>
        <v>7-PlantStudy, Line 21, C3</v>
      </c>
      <c r="K118" s="554"/>
    </row>
    <row r="119" spans="1:12" x14ac:dyDescent="0.2">
      <c r="A119" s="115">
        <f t="shared" si="22"/>
        <v>93</v>
      </c>
      <c r="B119" s="519" t="s">
        <v>1569</v>
      </c>
      <c r="C119" s="515">
        <f t="shared" si="30"/>
        <v>1837083.89</v>
      </c>
      <c r="D119" s="515">
        <f t="shared" si="31"/>
        <v>1708878.38</v>
      </c>
      <c r="E119" s="515">
        <f t="shared" si="32"/>
        <v>128205.51000000004</v>
      </c>
      <c r="F119" s="558">
        <f>'7-PlantStudy'!F28</f>
        <v>0.54112159582129271</v>
      </c>
      <c r="G119" s="553">
        <f t="shared" si="23"/>
        <v>994085.76621438819</v>
      </c>
      <c r="H119" s="553">
        <f t="shared" si="24"/>
        <v>924710.99605010543</v>
      </c>
      <c r="I119" s="553">
        <f t="shared" si="25"/>
        <v>69374.770164282716</v>
      </c>
      <c r="J119" s="554" t="str">
        <f>"7-PlantStudy, Line "&amp;'7-PlantStudy'!A28&amp;", C3"</f>
        <v>7-PlantStudy, Line 21, C3</v>
      </c>
      <c r="K119" s="554"/>
    </row>
    <row r="120" spans="1:12" x14ac:dyDescent="0.2">
      <c r="A120" s="115">
        <f t="shared" si="22"/>
        <v>94</v>
      </c>
      <c r="B120" s="519" t="s">
        <v>1570</v>
      </c>
      <c r="C120" s="515">
        <f t="shared" si="30"/>
        <v>616272.64000000013</v>
      </c>
      <c r="D120" s="515">
        <f t="shared" si="31"/>
        <v>0</v>
      </c>
      <c r="E120" s="515">
        <f t="shared" si="32"/>
        <v>616272.64000000013</v>
      </c>
      <c r="F120" s="558">
        <v>1</v>
      </c>
      <c r="G120" s="553">
        <f t="shared" si="23"/>
        <v>616272.64000000013</v>
      </c>
      <c r="H120" s="553">
        <f t="shared" si="24"/>
        <v>0</v>
      </c>
      <c r="I120" s="553">
        <f t="shared" si="25"/>
        <v>616272.64000000013</v>
      </c>
      <c r="J120" s="1084" t="s">
        <v>2423</v>
      </c>
      <c r="K120" s="554"/>
    </row>
    <row r="121" spans="1:12" x14ac:dyDescent="0.2">
      <c r="A121" s="115">
        <f t="shared" si="22"/>
        <v>95</v>
      </c>
      <c r="B121" s="519" t="s">
        <v>1571</v>
      </c>
      <c r="C121" s="515">
        <f t="shared" si="30"/>
        <v>8580892.7999999989</v>
      </c>
      <c r="D121" s="515">
        <f t="shared" si="31"/>
        <v>163584.19000000003</v>
      </c>
      <c r="E121" s="515">
        <f t="shared" si="32"/>
        <v>8417308.6099999994</v>
      </c>
      <c r="F121" s="558">
        <f>'27-Allocators'!D66</f>
        <v>0.72125966376692963</v>
      </c>
      <c r="G121" s="553">
        <f t="shared" si="23"/>
        <v>6189051.8557480667</v>
      </c>
      <c r="H121" s="553">
        <f t="shared" si="24"/>
        <v>117986.67787698556</v>
      </c>
      <c r="I121" s="553">
        <f t="shared" si="25"/>
        <v>6071065.177871081</v>
      </c>
      <c r="J121" s="554" t="str">
        <f>"27-Allocators Line "&amp;'27-Allocators'!A66&amp;""</f>
        <v>27-Allocators Line 60</v>
      </c>
      <c r="K121" s="554"/>
    </row>
    <row r="122" spans="1:12" x14ac:dyDescent="0.2">
      <c r="A122" s="115">
        <f t="shared" si="22"/>
        <v>96</v>
      </c>
      <c r="B122" s="519" t="s">
        <v>1572</v>
      </c>
      <c r="C122" s="515">
        <f t="shared" si="30"/>
        <v>1899867.03</v>
      </c>
      <c r="D122" s="515">
        <f t="shared" si="31"/>
        <v>-132.91000000000003</v>
      </c>
      <c r="E122" s="515">
        <f t="shared" si="32"/>
        <v>1899999.94</v>
      </c>
      <c r="F122" s="558">
        <f>'27-Allocators'!D72</f>
        <v>0.90843373493975899</v>
      </c>
      <c r="G122" s="553">
        <f t="shared" si="23"/>
        <v>1725903.3019518072</v>
      </c>
      <c r="H122" s="553">
        <f t="shared" si="24"/>
        <v>-120.73992771084339</v>
      </c>
      <c r="I122" s="553">
        <f t="shared" si="25"/>
        <v>1726024.041879518</v>
      </c>
      <c r="J122" s="554" t="str">
        <f>"27-Allocators Line "&amp;'27-Allocators'!A72&amp;""</f>
        <v>27-Allocators Line 66</v>
      </c>
      <c r="K122" s="554"/>
    </row>
    <row r="123" spans="1:12" x14ac:dyDescent="0.2">
      <c r="A123" s="115">
        <f t="shared" si="22"/>
        <v>97</v>
      </c>
      <c r="B123" s="519" t="s">
        <v>1573</v>
      </c>
      <c r="C123" s="515">
        <f t="shared" si="30"/>
        <v>80794.510000000009</v>
      </c>
      <c r="D123" s="515">
        <f t="shared" si="31"/>
        <v>2199.5</v>
      </c>
      <c r="E123" s="515">
        <f t="shared" si="32"/>
        <v>78595.010000000009</v>
      </c>
      <c r="F123" s="558">
        <v>1</v>
      </c>
      <c r="G123" s="553">
        <f t="shared" si="23"/>
        <v>80794.510000000009</v>
      </c>
      <c r="H123" s="553">
        <f t="shared" si="24"/>
        <v>2199.5</v>
      </c>
      <c r="I123" s="553">
        <f t="shared" si="25"/>
        <v>78595.010000000009</v>
      </c>
      <c r="J123" s="1084" t="s">
        <v>2423</v>
      </c>
      <c r="K123" s="554"/>
      <c r="L123" s="554"/>
    </row>
    <row r="124" spans="1:12" x14ac:dyDescent="0.2">
      <c r="A124" s="115">
        <f t="shared" si="22"/>
        <v>98</v>
      </c>
      <c r="B124" s="519" t="s">
        <v>1574</v>
      </c>
      <c r="C124" s="515">
        <f t="shared" si="30"/>
        <v>297668.43999999994</v>
      </c>
      <c r="D124" s="515">
        <f t="shared" si="31"/>
        <v>52.359999999999992</v>
      </c>
      <c r="E124" s="515">
        <f t="shared" si="32"/>
        <v>297616.07999999996</v>
      </c>
      <c r="F124" s="558">
        <v>1</v>
      </c>
      <c r="G124" s="553">
        <f t="shared" si="23"/>
        <v>297668.43999999994</v>
      </c>
      <c r="H124" s="553">
        <f t="shared" si="24"/>
        <v>52.359999999999992</v>
      </c>
      <c r="I124" s="553">
        <f t="shared" si="25"/>
        <v>297616.07999999996</v>
      </c>
      <c r="J124" s="1084" t="s">
        <v>2423</v>
      </c>
      <c r="K124" s="554"/>
    </row>
    <row r="125" spans="1:12" x14ac:dyDescent="0.2">
      <c r="A125" s="115">
        <f t="shared" si="22"/>
        <v>99</v>
      </c>
      <c r="B125" s="519" t="s">
        <v>1575</v>
      </c>
      <c r="C125" s="515">
        <f t="shared" si="30"/>
        <v>2231459.7600000002</v>
      </c>
      <c r="D125" s="515">
        <f t="shared" si="31"/>
        <v>1778137.82</v>
      </c>
      <c r="E125" s="515">
        <f t="shared" si="32"/>
        <v>453321.94000000012</v>
      </c>
      <c r="F125" s="558">
        <f>J207</f>
        <v>0.43483870805440289</v>
      </c>
      <c r="G125" s="553">
        <f t="shared" si="23"/>
        <v>970325.07911378797</v>
      </c>
      <c r="H125" s="553">
        <f t="shared" si="24"/>
        <v>773203.15239147237</v>
      </c>
      <c r="I125" s="553">
        <f t="shared" si="25"/>
        <v>197121.92672231561</v>
      </c>
      <c r="J125" s="646" t="s">
        <v>2426</v>
      </c>
      <c r="K125" s="554"/>
      <c r="L125"/>
    </row>
    <row r="126" spans="1:12" x14ac:dyDescent="0.2">
      <c r="A126" s="115">
        <f t="shared" si="22"/>
        <v>100</v>
      </c>
      <c r="B126" s="519" t="s">
        <v>1576</v>
      </c>
      <c r="C126" s="515">
        <f t="shared" si="30"/>
        <v>-70709.989999999962</v>
      </c>
      <c r="D126" s="515">
        <f t="shared" si="31"/>
        <v>0</v>
      </c>
      <c r="E126" s="515">
        <f t="shared" si="32"/>
        <v>-70709.989999999962</v>
      </c>
      <c r="F126" s="558">
        <v>1</v>
      </c>
      <c r="G126" s="553">
        <f t="shared" si="23"/>
        <v>-70709.989999999962</v>
      </c>
      <c r="H126" s="553">
        <f t="shared" si="24"/>
        <v>0</v>
      </c>
      <c r="I126" s="553">
        <f t="shared" si="25"/>
        <v>-70709.989999999962</v>
      </c>
      <c r="J126" s="1084" t="s">
        <v>2423</v>
      </c>
      <c r="K126" s="554"/>
    </row>
    <row r="127" spans="1:12" x14ac:dyDescent="0.2">
      <c r="A127" s="115">
        <f t="shared" si="22"/>
        <v>101</v>
      </c>
      <c r="B127" s="519" t="s">
        <v>1577</v>
      </c>
      <c r="C127" s="515">
        <f t="shared" si="30"/>
        <v>75908.190000000017</v>
      </c>
      <c r="D127" s="515">
        <f t="shared" si="31"/>
        <v>6392.0700000000015</v>
      </c>
      <c r="E127" s="515">
        <f t="shared" si="32"/>
        <v>69516.12000000001</v>
      </c>
      <c r="F127" s="558">
        <f>J205</f>
        <v>0.25029054334710998</v>
      </c>
      <c r="G127" s="553">
        <f t="shared" si="23"/>
        <v>18999.102119595664</v>
      </c>
      <c r="H127" s="553">
        <f t="shared" si="24"/>
        <v>1599.8746734127617</v>
      </c>
      <c r="I127" s="553">
        <f t="shared" si="25"/>
        <v>17399.2274461829</v>
      </c>
      <c r="J127" s="646" t="s">
        <v>2425</v>
      </c>
      <c r="K127" s="554"/>
    </row>
    <row r="128" spans="1:12" x14ac:dyDescent="0.2">
      <c r="A128" s="115">
        <f t="shared" si="22"/>
        <v>102</v>
      </c>
      <c r="B128" s="519" t="s">
        <v>1578</v>
      </c>
      <c r="C128" s="515">
        <f t="shared" si="30"/>
        <v>467275.52419637004</v>
      </c>
      <c r="D128" s="515">
        <f t="shared" si="31"/>
        <v>0</v>
      </c>
      <c r="E128" s="515">
        <f t="shared" si="32"/>
        <v>467275.52419637004</v>
      </c>
      <c r="F128" s="558">
        <f>J202</f>
        <v>0.43526465293278577</v>
      </c>
      <c r="G128" s="553">
        <f t="shared" si="23"/>
        <v>203388.51886331855</v>
      </c>
      <c r="H128" s="553">
        <f t="shared" si="24"/>
        <v>0</v>
      </c>
      <c r="I128" s="553">
        <f t="shared" si="25"/>
        <v>203388.51886331855</v>
      </c>
      <c r="J128" s="646" t="s">
        <v>2421</v>
      </c>
      <c r="K128" s="554"/>
    </row>
    <row r="129" spans="1:12" x14ac:dyDescent="0.2">
      <c r="A129" s="115">
        <f t="shared" si="22"/>
        <v>103</v>
      </c>
      <c r="B129" s="519" t="s">
        <v>1579</v>
      </c>
      <c r="C129" s="515">
        <f t="shared" si="30"/>
        <v>856308.33339315001</v>
      </c>
      <c r="D129" s="515">
        <f t="shared" si="31"/>
        <v>0</v>
      </c>
      <c r="E129" s="515">
        <f t="shared" si="32"/>
        <v>856308.33339315001</v>
      </c>
      <c r="F129" s="558">
        <f>J202</f>
        <v>0.43526465293278577</v>
      </c>
      <c r="G129" s="553">
        <f t="shared" si="23"/>
        <v>372720.74953782163</v>
      </c>
      <c r="H129" s="553">
        <f t="shared" si="24"/>
        <v>0</v>
      </c>
      <c r="I129" s="553">
        <f t="shared" si="25"/>
        <v>372720.74953782163</v>
      </c>
      <c r="J129" s="646" t="s">
        <v>2421</v>
      </c>
      <c r="K129" s="554"/>
    </row>
    <row r="130" spans="1:12" x14ac:dyDescent="0.2">
      <c r="A130" s="115">
        <f t="shared" si="22"/>
        <v>104</v>
      </c>
      <c r="B130" s="519" t="s">
        <v>1580</v>
      </c>
      <c r="C130" s="515">
        <f t="shared" si="30"/>
        <v>242413.83414594992</v>
      </c>
      <c r="D130" s="515">
        <f t="shared" si="31"/>
        <v>0</v>
      </c>
      <c r="E130" s="515">
        <f t="shared" si="32"/>
        <v>242413.83414594992</v>
      </c>
      <c r="F130" s="558">
        <f>J202</f>
        <v>0.43526465293278577</v>
      </c>
      <c r="G130" s="553">
        <f t="shared" si="23"/>
        <v>105514.17338564279</v>
      </c>
      <c r="H130" s="553">
        <f t="shared" si="24"/>
        <v>0</v>
      </c>
      <c r="I130" s="553">
        <f t="shared" si="25"/>
        <v>105514.17338564279</v>
      </c>
      <c r="J130" s="646" t="s">
        <v>2421</v>
      </c>
      <c r="K130" s="554"/>
    </row>
    <row r="131" spans="1:12" x14ac:dyDescent="0.2">
      <c r="A131" s="115">
        <f t="shared" si="22"/>
        <v>105</v>
      </c>
      <c r="B131" s="519" t="s">
        <v>1581</v>
      </c>
      <c r="C131" s="515">
        <f t="shared" si="30"/>
        <v>178166.65999999997</v>
      </c>
      <c r="D131" s="515">
        <f t="shared" si="31"/>
        <v>0</v>
      </c>
      <c r="E131" s="515">
        <f t="shared" si="32"/>
        <v>178166.65999999997</v>
      </c>
      <c r="F131" s="558">
        <v>1</v>
      </c>
      <c r="G131" s="553">
        <f t="shared" si="23"/>
        <v>178166.65999999997</v>
      </c>
      <c r="H131" s="553">
        <f t="shared" si="24"/>
        <v>0</v>
      </c>
      <c r="I131" s="553">
        <f t="shared" si="25"/>
        <v>178166.65999999997</v>
      </c>
      <c r="J131" s="1084" t="s">
        <v>2423</v>
      </c>
      <c r="K131" s="554"/>
    </row>
    <row r="132" spans="1:12" x14ac:dyDescent="0.2">
      <c r="A132" s="115">
        <f t="shared" si="22"/>
        <v>106</v>
      </c>
      <c r="B132" s="838" t="s">
        <v>1582</v>
      </c>
      <c r="C132" s="515">
        <f t="shared" si="30"/>
        <v>1161165.7400000002</v>
      </c>
      <c r="D132" s="515">
        <f t="shared" si="31"/>
        <v>737584.53</v>
      </c>
      <c r="E132" s="515">
        <f t="shared" si="32"/>
        <v>423581.21000000008</v>
      </c>
      <c r="F132" s="1087">
        <f>'27-Allocators'!D78</f>
        <v>0.18599562363238512</v>
      </c>
      <c r="G132" s="553">
        <f t="shared" si="23"/>
        <v>215971.74595185998</v>
      </c>
      <c r="H132" s="553">
        <f t="shared" si="24"/>
        <v>137187.49463894966</v>
      </c>
      <c r="I132" s="553">
        <f t="shared" si="25"/>
        <v>78784.251312910303</v>
      </c>
      <c r="J132" s="554" t="str">
        <f>"27-Allocators Line "&amp;'27-Allocators'!A78&amp;""</f>
        <v>27-Allocators Line 72</v>
      </c>
      <c r="K132" s="554"/>
      <c r="L132" s="263"/>
    </row>
    <row r="133" spans="1:12" x14ac:dyDescent="0.2">
      <c r="A133" s="115">
        <f t="shared" si="22"/>
        <v>107</v>
      </c>
      <c r="B133" s="519" t="s">
        <v>1583</v>
      </c>
      <c r="C133" s="515">
        <f t="shared" si="30"/>
        <v>1628574.6099999999</v>
      </c>
      <c r="D133" s="515">
        <f t="shared" si="31"/>
        <v>1152607.96</v>
      </c>
      <c r="E133" s="515">
        <f t="shared" si="32"/>
        <v>475966.65</v>
      </c>
      <c r="F133" s="1087">
        <f>'27-Allocators'!D84</f>
        <v>0.28315674095725246</v>
      </c>
      <c r="G133" s="553">
        <f t="shared" si="23"/>
        <v>461141.87897332851</v>
      </c>
      <c r="H133" s="553">
        <f t="shared" si="24"/>
        <v>326368.71355498722</v>
      </c>
      <c r="I133" s="553">
        <f t="shared" si="25"/>
        <v>134773.16541834126</v>
      </c>
      <c r="J133" s="554" t="str">
        <f>"27-Allocators Line "&amp;'27-Allocators'!A84&amp;""</f>
        <v>27-Allocators Line 78</v>
      </c>
      <c r="K133" s="554"/>
      <c r="L133" s="263"/>
    </row>
    <row r="134" spans="1:12" x14ac:dyDescent="0.2">
      <c r="A134" s="115">
        <f t="shared" si="22"/>
        <v>108</v>
      </c>
      <c r="B134" s="838" t="s">
        <v>1584</v>
      </c>
      <c r="C134" s="515">
        <f t="shared" si="30"/>
        <v>238934.58999999973</v>
      </c>
      <c r="D134" s="515">
        <f t="shared" si="31"/>
        <v>365609.25</v>
      </c>
      <c r="E134" s="515">
        <f t="shared" si="32"/>
        <v>-126674.66000000025</v>
      </c>
      <c r="F134" s="1087">
        <f>'27-Allocators'!D90</f>
        <v>0.79166666666666663</v>
      </c>
      <c r="G134" s="553">
        <f t="shared" si="23"/>
        <v>189156.55041666649</v>
      </c>
      <c r="H134" s="553">
        <f t="shared" si="24"/>
        <v>289440.65625</v>
      </c>
      <c r="I134" s="553">
        <f t="shared" si="25"/>
        <v>-100284.10583333352</v>
      </c>
      <c r="J134" s="554" t="str">
        <f>"27-Allocators Line "&amp;'27-Allocators'!A90&amp;""</f>
        <v>27-Allocators Line 84</v>
      </c>
      <c r="K134" s="554"/>
      <c r="L134" s="263"/>
    </row>
    <row r="135" spans="1:12" x14ac:dyDescent="0.2">
      <c r="A135" s="115">
        <f t="shared" si="22"/>
        <v>109</v>
      </c>
      <c r="B135" s="519" t="s">
        <v>1585</v>
      </c>
      <c r="C135" s="515">
        <f t="shared" si="30"/>
        <v>2679237.290000001</v>
      </c>
      <c r="D135" s="515">
        <f t="shared" si="31"/>
        <v>1360643.3200000003</v>
      </c>
      <c r="E135" s="515">
        <f t="shared" si="32"/>
        <v>1318593.9700000007</v>
      </c>
      <c r="F135" s="558">
        <f>J207</f>
        <v>0.43483870805440289</v>
      </c>
      <c r="G135" s="553">
        <f t="shared" si="23"/>
        <v>1165036.0817547799</v>
      </c>
      <c r="H135" s="553">
        <f t="shared" si="24"/>
        <v>591660.38339165365</v>
      </c>
      <c r="I135" s="553">
        <f t="shared" si="25"/>
        <v>573375.69836312637</v>
      </c>
      <c r="J135" s="646" t="s">
        <v>2426</v>
      </c>
      <c r="K135" s="554"/>
    </row>
    <row r="136" spans="1:12" x14ac:dyDescent="0.2">
      <c r="A136" s="115">
        <f t="shared" si="22"/>
        <v>110</v>
      </c>
      <c r="B136" s="628" t="s">
        <v>2098</v>
      </c>
      <c r="C136" s="515">
        <f t="shared" si="30"/>
        <v>3687239.8899999997</v>
      </c>
      <c r="D136" s="515">
        <f t="shared" si="31"/>
        <v>1502280.3699999999</v>
      </c>
      <c r="E136" s="515">
        <f t="shared" si="32"/>
        <v>2184959.52</v>
      </c>
      <c r="F136" s="558">
        <f>'27-Allocators'!D96</f>
        <v>0.58655010251570283</v>
      </c>
      <c r="G136" s="553">
        <f t="shared" si="23"/>
        <v>2162750.9354794887</v>
      </c>
      <c r="H136" s="553">
        <f t="shared" si="24"/>
        <v>881162.7050308279</v>
      </c>
      <c r="I136" s="553">
        <f t="shared" si="25"/>
        <v>1281588.2304486609</v>
      </c>
      <c r="J136" s="554" t="str">
        <f>"27-Allocators Line "&amp;'27-Allocators'!A96&amp;""</f>
        <v>27-Allocators Line 90</v>
      </c>
      <c r="K136" s="554"/>
    </row>
    <row r="137" spans="1:12" x14ac:dyDescent="0.2">
      <c r="A137" s="115">
        <f t="shared" si="22"/>
        <v>111</v>
      </c>
      <c r="B137" s="519" t="s">
        <v>1586</v>
      </c>
      <c r="C137" s="515">
        <f t="shared" si="30"/>
        <v>1327263.3500000001</v>
      </c>
      <c r="D137" s="515">
        <f t="shared" si="31"/>
        <v>105.46</v>
      </c>
      <c r="E137" s="515">
        <f t="shared" si="32"/>
        <v>1327157.8900000001</v>
      </c>
      <c r="F137" s="558">
        <v>1</v>
      </c>
      <c r="G137" s="553">
        <f t="shared" si="23"/>
        <v>1327263.3500000001</v>
      </c>
      <c r="H137" s="553">
        <f t="shared" si="24"/>
        <v>105.46</v>
      </c>
      <c r="I137" s="553">
        <f t="shared" si="25"/>
        <v>1327157.8900000001</v>
      </c>
      <c r="J137" s="1084" t="s">
        <v>2423</v>
      </c>
      <c r="K137" s="554"/>
    </row>
    <row r="138" spans="1:12" x14ac:dyDescent="0.2">
      <c r="A138" s="115">
        <f t="shared" si="22"/>
        <v>112</v>
      </c>
      <c r="B138" s="519" t="s">
        <v>1587</v>
      </c>
      <c r="C138" s="515">
        <f t="shared" si="30"/>
        <v>3038761.94</v>
      </c>
      <c r="D138" s="515">
        <f t="shared" si="31"/>
        <v>1561641.0700000003</v>
      </c>
      <c r="E138" s="515">
        <f t="shared" si="32"/>
        <v>1477120.8699999996</v>
      </c>
      <c r="F138" s="558">
        <f>'27-Allocators'!D54</f>
        <v>0.49123851650221162</v>
      </c>
      <c r="G138" s="553">
        <f t="shared" si="23"/>
        <v>1492756.9074089825</v>
      </c>
      <c r="H138" s="553">
        <f t="shared" si="24"/>
        <v>767138.24253572652</v>
      </c>
      <c r="I138" s="553">
        <f t="shared" si="25"/>
        <v>725618.664873256</v>
      </c>
      <c r="J138" s="554" t="str">
        <f>"27-Allocators Line "&amp;'27-Allocators'!A54&amp;""</f>
        <v>27-Allocators Line 48</v>
      </c>
      <c r="K138" s="554"/>
      <c r="L138" s="554"/>
    </row>
    <row r="139" spans="1:12" x14ac:dyDescent="0.2">
      <c r="A139" s="115">
        <f t="shared" si="22"/>
        <v>113</v>
      </c>
      <c r="B139" s="519" t="s">
        <v>1588</v>
      </c>
      <c r="C139" s="515">
        <f t="shared" si="30"/>
        <v>8089022.0000000019</v>
      </c>
      <c r="D139" s="515">
        <f t="shared" si="31"/>
        <v>4281351.4300000006</v>
      </c>
      <c r="E139" s="515">
        <f t="shared" si="32"/>
        <v>3807670.5700000008</v>
      </c>
      <c r="F139" s="558">
        <f>'27-Allocators'!D54</f>
        <v>0.49123851650221162</v>
      </c>
      <c r="G139" s="553">
        <f t="shared" si="23"/>
        <v>3973639.1672337535</v>
      </c>
      <c r="H139" s="553">
        <f t="shared" si="24"/>
        <v>2103164.7250978225</v>
      </c>
      <c r="I139" s="553">
        <f t="shared" si="25"/>
        <v>1870474.442135931</v>
      </c>
      <c r="J139" s="554" t="str">
        <f>"27-Allocators Line "&amp;'27-Allocators'!A54&amp;""</f>
        <v>27-Allocators Line 48</v>
      </c>
      <c r="K139" s="554"/>
      <c r="L139" s="554"/>
    </row>
    <row r="140" spans="1:12" x14ac:dyDescent="0.2">
      <c r="A140" s="115">
        <f t="shared" si="22"/>
        <v>114</v>
      </c>
      <c r="B140" s="519" t="s">
        <v>1589</v>
      </c>
      <c r="C140" s="515">
        <f t="shared" si="30"/>
        <v>12122041.960000001</v>
      </c>
      <c r="D140" s="515">
        <f t="shared" si="31"/>
        <v>1587022.4100000001</v>
      </c>
      <c r="E140" s="515">
        <f t="shared" si="32"/>
        <v>10535019.550000001</v>
      </c>
      <c r="F140" s="558">
        <f>'27-Allocators'!D54</f>
        <v>0.49123851650221162</v>
      </c>
      <c r="G140" s="553">
        <f t="shared" si="23"/>
        <v>5954813.9094079621</v>
      </c>
      <c r="H140" s="553">
        <f t="shared" si="24"/>
        <v>779606.53434416477</v>
      </c>
      <c r="I140" s="553">
        <f t="shared" si="25"/>
        <v>5175207.3750637975</v>
      </c>
      <c r="J140" s="554" t="str">
        <f>"27-Allocators Line "&amp;'27-Allocators'!A54&amp;""</f>
        <v>27-Allocators Line 48</v>
      </c>
      <c r="K140" s="554"/>
      <c r="L140" s="554"/>
    </row>
    <row r="141" spans="1:12" x14ac:dyDescent="0.2">
      <c r="A141" s="115">
        <f t="shared" si="22"/>
        <v>115</v>
      </c>
      <c r="B141" s="519" t="s">
        <v>1870</v>
      </c>
      <c r="C141" s="515">
        <f t="shared" si="30"/>
        <v>7093360.8399999989</v>
      </c>
      <c r="D141" s="515">
        <f t="shared" si="31"/>
        <v>1066200.08</v>
      </c>
      <c r="E141" s="515">
        <f t="shared" si="32"/>
        <v>6027160.7599999988</v>
      </c>
      <c r="F141" s="558">
        <f>'27-Allocators'!D102</f>
        <v>0.43599775000845864</v>
      </c>
      <c r="G141" s="553">
        <f t="shared" ref="G141" si="33">SUM(H141:I141)</f>
        <v>3092689.3662381098</v>
      </c>
      <c r="H141" s="553">
        <f t="shared" ref="H141" si="34">D141*F141</f>
        <v>464860.83593883866</v>
      </c>
      <c r="I141" s="553">
        <f t="shared" ref="I141" si="35">E141*F141</f>
        <v>2627828.530299271</v>
      </c>
      <c r="J141" s="554" t="str">
        <f>"27-Allocators Line "&amp;'27-Allocators'!A102&amp;""</f>
        <v>27-Allocators Line 96</v>
      </c>
      <c r="K141" s="554"/>
      <c r="L141" s="554"/>
    </row>
    <row r="142" spans="1:12" x14ac:dyDescent="0.2">
      <c r="A142" s="115">
        <f t="shared" si="22"/>
        <v>116</v>
      </c>
      <c r="B142" s="519" t="s">
        <v>1590</v>
      </c>
      <c r="C142" s="515">
        <f t="shared" ref="C142" si="36">J56</f>
        <v>751561.71000000008</v>
      </c>
      <c r="D142" s="515">
        <f t="shared" ref="D142:E145" si="37">K56</f>
        <v>0</v>
      </c>
      <c r="E142" s="515">
        <f t="shared" si="37"/>
        <v>751561.71000000008</v>
      </c>
      <c r="F142" s="558">
        <v>1</v>
      </c>
      <c r="G142" s="553">
        <f t="shared" si="23"/>
        <v>751561.71000000008</v>
      </c>
      <c r="H142" s="553">
        <f t="shared" si="24"/>
        <v>0</v>
      </c>
      <c r="I142" s="553">
        <f t="shared" si="25"/>
        <v>751561.71000000008</v>
      </c>
      <c r="J142" s="1084" t="s">
        <v>2423</v>
      </c>
      <c r="K142" s="554"/>
      <c r="L142" s="554"/>
    </row>
    <row r="143" spans="1:12" x14ac:dyDescent="0.2">
      <c r="A143" s="115">
        <f t="shared" si="22"/>
        <v>117</v>
      </c>
      <c r="B143" s="519" t="s">
        <v>1591</v>
      </c>
      <c r="C143" s="515">
        <f>J57</f>
        <v>624355.69999999995</v>
      </c>
      <c r="D143" s="515">
        <f t="shared" si="37"/>
        <v>145540.14999999991</v>
      </c>
      <c r="E143" s="515">
        <f t="shared" si="37"/>
        <v>478815.5500000001</v>
      </c>
      <c r="F143" s="558">
        <f>'27-Allocators'!D60</f>
        <v>1.7291066282420751E-2</v>
      </c>
      <c r="G143" s="553">
        <f t="shared" si="23"/>
        <v>10795.775792507206</v>
      </c>
      <c r="H143" s="553">
        <f t="shared" si="24"/>
        <v>2516.5443804034567</v>
      </c>
      <c r="I143" s="553">
        <f t="shared" si="25"/>
        <v>8279.2314121037489</v>
      </c>
      <c r="J143" s="554" t="str">
        <f>"27-Allocators Line "&amp;'27-Allocators'!A60&amp;""</f>
        <v>27-Allocators Line 54</v>
      </c>
      <c r="K143" s="554"/>
    </row>
    <row r="144" spans="1:12" x14ac:dyDescent="0.2">
      <c r="A144" s="115">
        <f t="shared" si="22"/>
        <v>118</v>
      </c>
      <c r="B144" s="519" t="s">
        <v>1592</v>
      </c>
      <c r="C144" s="515">
        <f>J58</f>
        <v>108306.52</v>
      </c>
      <c r="D144" s="515">
        <f t="shared" si="37"/>
        <v>0</v>
      </c>
      <c r="E144" s="515">
        <f t="shared" si="37"/>
        <v>108306.52</v>
      </c>
      <c r="F144" s="558">
        <v>1</v>
      </c>
      <c r="G144" s="553">
        <f t="shared" si="23"/>
        <v>108306.52</v>
      </c>
      <c r="H144" s="553">
        <f t="shared" si="24"/>
        <v>0</v>
      </c>
      <c r="I144" s="553">
        <f t="shared" si="25"/>
        <v>108306.52</v>
      </c>
      <c r="J144" s="1084" t="s">
        <v>2423</v>
      </c>
      <c r="K144" s="554"/>
    </row>
    <row r="145" spans="1:12" x14ac:dyDescent="0.2">
      <c r="A145" s="115">
        <f t="shared" si="22"/>
        <v>119</v>
      </c>
      <c r="B145" s="519" t="s">
        <v>1593</v>
      </c>
      <c r="C145" s="523">
        <f>J59</f>
        <v>2297999.5</v>
      </c>
      <c r="D145" s="523">
        <f t="shared" si="37"/>
        <v>497329.08000000007</v>
      </c>
      <c r="E145" s="523">
        <f t="shared" si="37"/>
        <v>1800670.42</v>
      </c>
      <c r="F145" s="1087">
        <f>'27-Allocators'!D108</f>
        <v>0.45018339868729274</v>
      </c>
      <c r="G145" s="553">
        <f t="shared" si="23"/>
        <v>1034521.2250916994</v>
      </c>
      <c r="H145" s="553">
        <f t="shared" si="24"/>
        <v>223889.29550042455</v>
      </c>
      <c r="I145" s="553">
        <f t="shared" si="25"/>
        <v>810631.92959127482</v>
      </c>
      <c r="J145" s="554" t="str">
        <f>"27-Allocators Line "&amp;'27-Allocators'!A108&amp;""</f>
        <v>27-Allocators Line 102</v>
      </c>
      <c r="K145" s="554"/>
      <c r="L145" s="263"/>
    </row>
    <row r="146" spans="1:12" x14ac:dyDescent="0.2">
      <c r="A146" s="115">
        <f t="shared" si="22"/>
        <v>120</v>
      </c>
      <c r="B146" s="526" t="s">
        <v>574</v>
      </c>
      <c r="C146" s="527" t="s">
        <v>86</v>
      </c>
      <c r="D146" s="527" t="s">
        <v>86</v>
      </c>
      <c r="E146" s="527" t="s">
        <v>86</v>
      </c>
      <c r="F146" s="527" t="s">
        <v>86</v>
      </c>
      <c r="G146" s="527" t="s">
        <v>86</v>
      </c>
      <c r="H146" s="527" t="s">
        <v>86</v>
      </c>
      <c r="I146" s="527" t="s">
        <v>86</v>
      </c>
    </row>
    <row r="147" spans="1:12" x14ac:dyDescent="0.2">
      <c r="A147" s="115">
        <f t="shared" si="22"/>
        <v>121</v>
      </c>
      <c r="B147" s="838" t="s">
        <v>2800</v>
      </c>
      <c r="C147" s="555">
        <f>J61</f>
        <v>9198518.4784367215</v>
      </c>
      <c r="D147" s="555">
        <f>K61</f>
        <v>9198518.4784367215</v>
      </c>
      <c r="E147" s="555">
        <f>L61</f>
        <v>0</v>
      </c>
      <c r="F147" s="585"/>
      <c r="G147" s="556">
        <f>SUM(H147:I147)</f>
        <v>4010993.8744806233</v>
      </c>
      <c r="H147" s="556">
        <f>D147*C196</f>
        <v>4010993.8744806233</v>
      </c>
      <c r="I147" s="556">
        <v>0</v>
      </c>
    </row>
    <row r="148" spans="1:12" x14ac:dyDescent="0.2">
      <c r="A148" s="115">
        <f t="shared" si="22"/>
        <v>122</v>
      </c>
      <c r="B148" s="532" t="s">
        <v>1615</v>
      </c>
      <c r="C148" s="535">
        <f>SUM(C97:C147)</f>
        <v>161808696.25017223</v>
      </c>
      <c r="D148" s="535">
        <f>SUM(D97:D147)</f>
        <v>77482989.728436723</v>
      </c>
      <c r="E148" s="535">
        <f>SUM(E97:E147)</f>
        <v>84325706.521735445</v>
      </c>
      <c r="F148" s="557"/>
      <c r="G148" s="535">
        <f>SUM(G97:G147)</f>
        <v>78824006.967886135</v>
      </c>
      <c r="H148" s="535">
        <f>SUM(H97:H147)</f>
        <v>33786288.292592756</v>
      </c>
      <c r="I148" s="535">
        <f>SUM(I97:I147)</f>
        <v>45037718.675293408</v>
      </c>
      <c r="K148" s="559">
        <f>L148-H148</f>
        <v>-1132862.4187282547</v>
      </c>
      <c r="L148" s="560">
        <v>32653425.873864502</v>
      </c>
    </row>
    <row r="149" spans="1:12" x14ac:dyDescent="0.2">
      <c r="A149" s="115">
        <f t="shared" si="22"/>
        <v>123</v>
      </c>
      <c r="B149" s="518"/>
      <c r="C149" s="517"/>
      <c r="D149" s="517"/>
      <c r="E149" s="517"/>
      <c r="F149" s="557"/>
      <c r="G149" s="558"/>
      <c r="H149" s="553"/>
      <c r="I149" s="553"/>
      <c r="J149" s="553"/>
      <c r="K149" s="559">
        <f>L149*1000-I148</f>
        <v>21957487.276787139</v>
      </c>
      <c r="L149" s="561">
        <v>66995.205952080549</v>
      </c>
    </row>
    <row r="150" spans="1:12" x14ac:dyDescent="0.2">
      <c r="A150" s="2"/>
      <c r="B150" s="537"/>
      <c r="C150" s="562"/>
      <c r="D150" s="562"/>
      <c r="E150" s="562"/>
      <c r="F150" s="563"/>
      <c r="G150" s="564"/>
      <c r="H150" s="562"/>
      <c r="I150" s="562"/>
      <c r="J150" s="562"/>
    </row>
    <row r="151" spans="1:12" x14ac:dyDescent="0.2">
      <c r="A151" s="2"/>
      <c r="B151" s="86" t="s">
        <v>403</v>
      </c>
      <c r="C151" s="495" t="s">
        <v>387</v>
      </c>
      <c r="D151" s="495" t="s">
        <v>388</v>
      </c>
      <c r="E151" s="495" t="s">
        <v>389</v>
      </c>
      <c r="F151" s="496" t="s">
        <v>390</v>
      </c>
      <c r="G151" s="495" t="s">
        <v>391</v>
      </c>
      <c r="H151" s="495" t="s">
        <v>392</v>
      </c>
      <c r="I151" s="495" t="s">
        <v>606</v>
      </c>
      <c r="J151" s="1082" t="s">
        <v>1055</v>
      </c>
      <c r="K151" s="554"/>
    </row>
    <row r="152" spans="1:12" x14ac:dyDescent="0.2">
      <c r="A152" s="2"/>
      <c r="C152" s="522" t="s">
        <v>1611</v>
      </c>
      <c r="D152" s="522" t="s">
        <v>1612</v>
      </c>
      <c r="E152" s="522" t="s">
        <v>1613</v>
      </c>
      <c r="F152" s="545" t="s">
        <v>1349</v>
      </c>
      <c r="G152" s="792" t="s">
        <v>1538</v>
      </c>
      <c r="H152" s="793" t="s">
        <v>2161</v>
      </c>
      <c r="I152" s="793" t="s">
        <v>2162</v>
      </c>
      <c r="J152" s="554"/>
      <c r="K152" s="554"/>
    </row>
    <row r="153" spans="1:12" x14ac:dyDescent="0.2">
      <c r="A153" s="2"/>
      <c r="C153" s="522"/>
      <c r="D153" s="522"/>
      <c r="E153" s="522"/>
      <c r="F153" s="544"/>
      <c r="G153" s="545"/>
      <c r="H153" s="518"/>
      <c r="I153" s="518"/>
      <c r="J153" s="522"/>
      <c r="K153" s="554"/>
    </row>
    <row r="154" spans="1:12" x14ac:dyDescent="0.2">
      <c r="A154" s="2"/>
      <c r="B154" s="1205" t="s">
        <v>1542</v>
      </c>
      <c r="C154" s="1196" t="s">
        <v>1545</v>
      </c>
      <c r="D154" s="1197"/>
      <c r="E154" s="1198"/>
      <c r="F154" s="551" t="s">
        <v>1749</v>
      </c>
      <c r="G154" s="1202" t="s">
        <v>1614</v>
      </c>
      <c r="H154" s="1203"/>
      <c r="I154" s="1204"/>
      <c r="J154" s="1083" t="s">
        <v>2255</v>
      </c>
      <c r="K154" s="554"/>
    </row>
    <row r="155" spans="1:12" x14ac:dyDescent="0.2">
      <c r="A155" s="2"/>
      <c r="B155" s="1205"/>
      <c r="C155" s="508" t="s">
        <v>224</v>
      </c>
      <c r="D155" s="510" t="s">
        <v>1546</v>
      </c>
      <c r="E155" s="510" t="s">
        <v>1547</v>
      </c>
      <c r="F155" s="551" t="s">
        <v>487</v>
      </c>
      <c r="G155" s="508" t="s">
        <v>224</v>
      </c>
      <c r="H155" s="510" t="s">
        <v>1546</v>
      </c>
      <c r="I155" s="510" t="s">
        <v>1547</v>
      </c>
      <c r="J155" s="1013" t="s">
        <v>233</v>
      </c>
      <c r="K155" s="554"/>
    </row>
    <row r="156" spans="1:12" ht="12.75" customHeight="1" x14ac:dyDescent="0.2">
      <c r="A156" s="2"/>
      <c r="B156" s="540" t="s">
        <v>1595</v>
      </c>
      <c r="C156" s="517"/>
      <c r="D156" s="517"/>
      <c r="E156" s="517"/>
      <c r="F156" s="557"/>
      <c r="G156" s="558"/>
      <c r="H156" s="553"/>
      <c r="I156" s="553"/>
      <c r="J156" s="553"/>
      <c r="K156" s="554"/>
    </row>
    <row r="157" spans="1:12" ht="12.75" customHeight="1" x14ac:dyDescent="0.2">
      <c r="A157" s="115">
        <f>A149+1</f>
        <v>124</v>
      </c>
      <c r="B157" s="519" t="s">
        <v>1596</v>
      </c>
      <c r="C157" s="517">
        <f t="shared" ref="C157:E164" si="38">J71</f>
        <v>18672646.640000008</v>
      </c>
      <c r="D157" s="517">
        <f t="shared" si="38"/>
        <v>13056906.380000005</v>
      </c>
      <c r="E157" s="517">
        <f t="shared" si="38"/>
        <v>5615740.2600000016</v>
      </c>
      <c r="F157" s="1088">
        <f>J213</f>
        <v>2.4928952011248191E-2</v>
      </c>
      <c r="G157" s="553">
        <f t="shared" ref="G157:G164" si="39">SUM(H157:I157)</f>
        <v>465489.51201155491</v>
      </c>
      <c r="H157" s="553">
        <f>D157*F157</f>
        <v>325494.99256238044</v>
      </c>
      <c r="I157" s="553">
        <f>E157*F157</f>
        <v>139994.51944917449</v>
      </c>
      <c r="J157" s="646" t="s">
        <v>2427</v>
      </c>
      <c r="K157" s="554"/>
    </row>
    <row r="158" spans="1:12" ht="12.75" customHeight="1" x14ac:dyDescent="0.2">
      <c r="A158" s="115">
        <f t="shared" ref="A158:A167" si="40">A157+1</f>
        <v>125</v>
      </c>
      <c r="B158" s="519" t="s">
        <v>1597</v>
      </c>
      <c r="C158" s="517">
        <f t="shared" si="38"/>
        <v>11083363.319999998</v>
      </c>
      <c r="D158" s="517">
        <f t="shared" si="38"/>
        <v>8178766.7099999981</v>
      </c>
      <c r="E158" s="517">
        <f t="shared" si="38"/>
        <v>2904596.6100000008</v>
      </c>
      <c r="F158" s="1088">
        <f>J213</f>
        <v>2.4928952011248191E-2</v>
      </c>
      <c r="G158" s="553">
        <f t="shared" si="39"/>
        <v>276296.63232750841</v>
      </c>
      <c r="H158" s="553">
        <f t="shared" ref="H158:H165" si="41">D158*F158</f>
        <v>203888.08282478419</v>
      </c>
      <c r="I158" s="553">
        <f t="shared" ref="I158:I165" si="42">E158*F158</f>
        <v>72408.5495027242</v>
      </c>
      <c r="J158" s="646" t="s">
        <v>2427</v>
      </c>
      <c r="K158" s="554"/>
    </row>
    <row r="159" spans="1:12" ht="12.75" customHeight="1" x14ac:dyDescent="0.2">
      <c r="A159" s="115">
        <f t="shared" si="40"/>
        <v>126</v>
      </c>
      <c r="B159" s="519" t="s">
        <v>1598</v>
      </c>
      <c r="C159" s="517">
        <f t="shared" si="38"/>
        <v>2204134.25</v>
      </c>
      <c r="D159" s="517">
        <f t="shared" si="38"/>
        <v>1778094.75</v>
      </c>
      <c r="E159" s="517">
        <f t="shared" si="38"/>
        <v>426039.5</v>
      </c>
      <c r="F159" s="1088">
        <f>J213</f>
        <v>2.4928952011248191E-2</v>
      </c>
      <c r="G159" s="553">
        <f t="shared" si="39"/>
        <v>54946.756944598521</v>
      </c>
      <c r="H159" s="553">
        <f t="shared" si="41"/>
        <v>44326.038694202347</v>
      </c>
      <c r="I159" s="553">
        <f t="shared" si="42"/>
        <v>10620.718250396174</v>
      </c>
      <c r="J159" s="646" t="s">
        <v>2427</v>
      </c>
      <c r="K159" s="554"/>
    </row>
    <row r="160" spans="1:12" ht="12.75" customHeight="1" x14ac:dyDescent="0.2">
      <c r="A160" s="115">
        <f t="shared" si="40"/>
        <v>127</v>
      </c>
      <c r="B160" s="519" t="s">
        <v>1599</v>
      </c>
      <c r="C160" s="517">
        <f t="shared" si="38"/>
        <v>250797.04000000007</v>
      </c>
      <c r="D160" s="517">
        <f t="shared" si="38"/>
        <v>10952.2</v>
      </c>
      <c r="E160" s="517">
        <f t="shared" si="38"/>
        <v>239844.84000000005</v>
      </c>
      <c r="F160" s="1088">
        <f>J213</f>
        <v>2.4928952011248191E-2</v>
      </c>
      <c r="G160" s="553">
        <f t="shared" si="39"/>
        <v>6252.1073747230948</v>
      </c>
      <c r="H160" s="553">
        <f t="shared" si="41"/>
        <v>273.02686821759244</v>
      </c>
      <c r="I160" s="553">
        <f t="shared" si="42"/>
        <v>5979.0805065055019</v>
      </c>
      <c r="J160" s="646" t="s">
        <v>2427</v>
      </c>
      <c r="K160" s="554"/>
    </row>
    <row r="161" spans="1:12" ht="12.75" customHeight="1" x14ac:dyDescent="0.2">
      <c r="A161" s="115">
        <f t="shared" si="40"/>
        <v>128</v>
      </c>
      <c r="B161" s="519" t="s">
        <v>1600</v>
      </c>
      <c r="C161" s="517">
        <f t="shared" si="38"/>
        <v>796801.56</v>
      </c>
      <c r="D161" s="517">
        <f t="shared" si="38"/>
        <v>480520.1500000002</v>
      </c>
      <c r="E161" s="517">
        <f t="shared" si="38"/>
        <v>316281.40999999992</v>
      </c>
      <c r="F161" s="558">
        <f>'27-Allocators'!D114</f>
        <v>2.764612954186414E-3</v>
      </c>
      <c r="G161" s="553">
        <f t="shared" si="39"/>
        <v>2202.8479146919435</v>
      </c>
      <c r="H161" s="553">
        <f t="shared" si="41"/>
        <v>1328.4522314375993</v>
      </c>
      <c r="I161" s="553">
        <f t="shared" si="42"/>
        <v>874.39568325434414</v>
      </c>
      <c r="J161" s="554" t="str">
        <f>"27-Allocators Line "&amp;'27-Allocators'!A114&amp;""</f>
        <v>27-Allocators Line 108</v>
      </c>
      <c r="K161" s="554"/>
    </row>
    <row r="162" spans="1:12" ht="12.75" customHeight="1" x14ac:dyDescent="0.2">
      <c r="A162" s="115">
        <f t="shared" si="40"/>
        <v>129</v>
      </c>
      <c r="B162" s="519" t="s">
        <v>1601</v>
      </c>
      <c r="C162" s="517">
        <f t="shared" si="38"/>
        <v>2281930.4100000011</v>
      </c>
      <c r="D162" s="517">
        <f t="shared" si="38"/>
        <v>1727059.820000001</v>
      </c>
      <c r="E162" s="517">
        <f t="shared" si="38"/>
        <v>554870.58999999985</v>
      </c>
      <c r="F162" s="558">
        <f>'27-Allocators'!D120</f>
        <v>1.6643866849065207E-2</v>
      </c>
      <c r="G162" s="553">
        <f t="shared" si="39"/>
        <v>37980.145902872791</v>
      </c>
      <c r="H162" s="553">
        <f t="shared" si="41"/>
        <v>28744.953684450542</v>
      </c>
      <c r="I162" s="553">
        <f t="shared" si="42"/>
        <v>9235.1922184222494</v>
      </c>
      <c r="J162" s="554" t="str">
        <f>"27-Allocators Line "&amp;'27-Allocators'!A120&amp;""</f>
        <v>27-Allocators Line 114</v>
      </c>
      <c r="K162" s="554"/>
    </row>
    <row r="163" spans="1:12" ht="12.75" customHeight="1" x14ac:dyDescent="0.2">
      <c r="A163" s="115">
        <f t="shared" si="40"/>
        <v>130</v>
      </c>
      <c r="B163" s="519" t="s">
        <v>1602</v>
      </c>
      <c r="C163" s="517">
        <f t="shared" si="38"/>
        <v>757178.66999999993</v>
      </c>
      <c r="D163" s="517">
        <f t="shared" si="38"/>
        <v>517069.6399999999</v>
      </c>
      <c r="E163" s="517">
        <f t="shared" si="38"/>
        <v>240109.02999999997</v>
      </c>
      <c r="F163" s="558">
        <f>'27-Allocators'!D126</f>
        <v>7.3199527744982285E-2</v>
      </c>
      <c r="G163" s="553">
        <f t="shared" si="39"/>
        <v>55425.121062573773</v>
      </c>
      <c r="H163" s="553">
        <f t="shared" si="41"/>
        <v>37849.253459267995</v>
      </c>
      <c r="I163" s="553">
        <f t="shared" si="42"/>
        <v>17575.867603305782</v>
      </c>
      <c r="J163" s="554" t="str">
        <f>"27-Allocators Line "&amp;'27-Allocators'!A126&amp;""</f>
        <v>27-Allocators Line 120</v>
      </c>
      <c r="K163" s="554"/>
    </row>
    <row r="164" spans="1:12" ht="12.75" customHeight="1" x14ac:dyDescent="0.2">
      <c r="A164" s="115">
        <f t="shared" si="40"/>
        <v>131</v>
      </c>
      <c r="B164" s="519" t="s">
        <v>1603</v>
      </c>
      <c r="C164" s="517">
        <f t="shared" si="38"/>
        <v>746617.46</v>
      </c>
      <c r="D164" s="517">
        <f t="shared" si="38"/>
        <v>574149.24000000011</v>
      </c>
      <c r="E164" s="517">
        <f t="shared" si="38"/>
        <v>172468.21999999991</v>
      </c>
      <c r="F164" s="1088">
        <f>J213</f>
        <v>2.4928952011248191E-2</v>
      </c>
      <c r="G164" s="553">
        <f t="shared" si="39"/>
        <v>18612.390831100016</v>
      </c>
      <c r="H164" s="553">
        <f t="shared" si="41"/>
        <v>14312.938851254623</v>
      </c>
      <c r="I164" s="553">
        <f t="shared" si="42"/>
        <v>4299.451979845393</v>
      </c>
      <c r="J164" s="646" t="s">
        <v>2427</v>
      </c>
      <c r="K164" s="554"/>
      <c r="L164" s="263"/>
    </row>
    <row r="165" spans="1:12" ht="12.75" customHeight="1" x14ac:dyDescent="0.35">
      <c r="A165" s="1091">
        <f t="shared" si="40"/>
        <v>132</v>
      </c>
      <c r="B165" s="1092" t="s">
        <v>1604</v>
      </c>
      <c r="C165" s="583">
        <f t="shared" ref="C165:E166" si="43">J79</f>
        <v>446478904.55999994</v>
      </c>
      <c r="D165" s="517">
        <f t="shared" si="43"/>
        <v>186368168.96999994</v>
      </c>
      <c r="E165" s="517">
        <f t="shared" si="43"/>
        <v>260110735.59</v>
      </c>
      <c r="F165" s="1089">
        <v>0</v>
      </c>
      <c r="G165" s="565">
        <v>0</v>
      </c>
      <c r="H165" s="553">
        <f t="shared" si="41"/>
        <v>0</v>
      </c>
      <c r="I165" s="553">
        <f t="shared" si="42"/>
        <v>0</v>
      </c>
      <c r="J165" s="1084" t="s">
        <v>2424</v>
      </c>
      <c r="K165" s="554"/>
    </row>
    <row r="166" spans="1:12" ht="12.75" customHeight="1" x14ac:dyDescent="0.2">
      <c r="A166" s="115">
        <f t="shared" si="40"/>
        <v>133</v>
      </c>
      <c r="B166" s="838" t="s">
        <v>2801</v>
      </c>
      <c r="C166" s="541">
        <f t="shared" si="43"/>
        <v>28540923.879594374</v>
      </c>
      <c r="D166" s="541">
        <f t="shared" si="43"/>
        <v>28540923.879594374</v>
      </c>
      <c r="E166" s="541">
        <f t="shared" si="43"/>
        <v>0</v>
      </c>
      <c r="F166" s="1090">
        <v>0</v>
      </c>
      <c r="G166" s="556">
        <f>SUM(H166:I166)</f>
        <v>0</v>
      </c>
      <c r="H166" s="556">
        <f>D166*F166</f>
        <v>0</v>
      </c>
      <c r="I166" s="556">
        <f>E166*F166</f>
        <v>0</v>
      </c>
      <c r="J166" s="1084" t="s">
        <v>2424</v>
      </c>
      <c r="K166" s="554"/>
    </row>
    <row r="167" spans="1:12" x14ac:dyDescent="0.2">
      <c r="A167" s="115">
        <f t="shared" si="40"/>
        <v>134</v>
      </c>
      <c r="B167" s="537" t="s">
        <v>1616</v>
      </c>
      <c r="C167" s="517">
        <f>SUM(C157:C166)</f>
        <v>511813297.78959435</v>
      </c>
      <c r="D167" s="517">
        <f>SUM(D157:D166)</f>
        <v>241232611.73959434</v>
      </c>
      <c r="E167" s="517">
        <f>SUM(E157:E166)</f>
        <v>270580686.05000001</v>
      </c>
      <c r="F167" s="563"/>
      <c r="G167" s="535">
        <f>SUM(G157:G165)</f>
        <v>917205.51436962339</v>
      </c>
      <c r="H167" s="535">
        <f>SUM(H157:H165)</f>
        <v>656217.73917599535</v>
      </c>
      <c r="I167" s="535">
        <f>SUM(I157:I165)</f>
        <v>260987.77519362813</v>
      </c>
    </row>
    <row r="168" spans="1:12" x14ac:dyDescent="0.2">
      <c r="A168" s="115">
        <f>+A167+1</f>
        <v>135</v>
      </c>
      <c r="B168" s="537"/>
      <c r="C168" s="517"/>
      <c r="D168" s="517"/>
      <c r="E168" s="517"/>
      <c r="F168" s="563"/>
      <c r="G168" s="535"/>
      <c r="H168" s="533"/>
      <c r="I168" s="566"/>
    </row>
    <row r="169" spans="1:12" x14ac:dyDescent="0.2">
      <c r="A169" s="115">
        <f>A168+1</f>
        <v>136</v>
      </c>
      <c r="B169" s="304"/>
      <c r="C169" s="515"/>
      <c r="D169" s="515"/>
      <c r="E169" s="515"/>
      <c r="F169" s="557"/>
      <c r="G169" s="553"/>
      <c r="H169" s="553"/>
      <c r="I169" s="553"/>
    </row>
    <row r="170" spans="1:12" x14ac:dyDescent="0.2">
      <c r="A170" s="115">
        <f>A169+1</f>
        <v>137</v>
      </c>
      <c r="B170" s="537" t="s">
        <v>2164</v>
      </c>
      <c r="C170" s="515">
        <f>+C148+C167</f>
        <v>673621994.03976655</v>
      </c>
      <c r="D170" s="515">
        <f>+D148+D167</f>
        <v>318715601.46803105</v>
      </c>
      <c r="E170" s="515">
        <f>+E148+E167</f>
        <v>354906392.57173544</v>
      </c>
      <c r="F170" s="514"/>
      <c r="G170" s="553">
        <f>SUM(H170:I170)</f>
        <v>79741212.482255787</v>
      </c>
      <c r="H170" s="515">
        <f>+H148+H167</f>
        <v>34442506.031768754</v>
      </c>
      <c r="I170" s="515">
        <f>+I148+I167</f>
        <v>45298706.45048704</v>
      </c>
    </row>
    <row r="171" spans="1:12" x14ac:dyDescent="0.2">
      <c r="A171" s="115">
        <f>A170+1</f>
        <v>138</v>
      </c>
      <c r="B171" s="554" t="str">
        <f>"Line "&amp;A148&amp;" +  Line "&amp;A167&amp;""</f>
        <v>Line 122 +  Line 134</v>
      </c>
    </row>
    <row r="173" spans="1:12" x14ac:dyDescent="0.2">
      <c r="B173" s="568" t="s">
        <v>265</v>
      </c>
    </row>
    <row r="174" spans="1:12" x14ac:dyDescent="0.2">
      <c r="B174" s="608" t="s">
        <v>1617</v>
      </c>
      <c r="G174" s="609"/>
      <c r="H174" s="610"/>
      <c r="I174" s="610"/>
      <c r="J174" s="554"/>
      <c r="K174" s="554"/>
    </row>
    <row r="175" spans="1:12" x14ac:dyDescent="0.2">
      <c r="B175" s="611" t="s">
        <v>1618</v>
      </c>
      <c r="G175" s="609"/>
      <c r="H175" s="610"/>
      <c r="I175" s="610"/>
      <c r="J175" s="554"/>
      <c r="K175" s="554"/>
    </row>
    <row r="176" spans="1:12" x14ac:dyDescent="0.2">
      <c r="B176" s="1010" t="s">
        <v>1619</v>
      </c>
      <c r="G176" s="609"/>
      <c r="H176" s="610"/>
      <c r="I176" s="610"/>
      <c r="J176" s="554"/>
      <c r="K176" s="554"/>
    </row>
    <row r="177" spans="2:11" x14ac:dyDescent="0.2">
      <c r="B177" s="1011" t="s">
        <v>1620</v>
      </c>
      <c r="G177" s="609"/>
      <c r="H177" s="610"/>
      <c r="I177" s="610"/>
      <c r="J177" s="554"/>
      <c r="K177" s="554"/>
    </row>
    <row r="178" spans="2:11" x14ac:dyDescent="0.2">
      <c r="B178" s="1011" t="s">
        <v>1621</v>
      </c>
      <c r="G178" s="609"/>
      <c r="H178" s="610"/>
      <c r="I178" s="610"/>
      <c r="J178" s="554"/>
      <c r="K178" s="554"/>
    </row>
    <row r="179" spans="2:11" x14ac:dyDescent="0.2">
      <c r="B179" s="1011" t="s">
        <v>1622</v>
      </c>
      <c r="G179" s="609"/>
      <c r="H179" s="610"/>
      <c r="I179" s="610"/>
      <c r="J179" s="554"/>
      <c r="K179" s="554"/>
    </row>
    <row r="180" spans="2:11" x14ac:dyDescent="0.2">
      <c r="B180" s="1093" t="s">
        <v>2233</v>
      </c>
      <c r="G180" s="609"/>
      <c r="H180" s="610"/>
      <c r="I180" s="610"/>
      <c r="J180" s="554"/>
      <c r="K180" s="554"/>
    </row>
    <row r="181" spans="2:11" x14ac:dyDescent="0.2">
      <c r="B181" s="846" t="s">
        <v>2802</v>
      </c>
      <c r="G181" s="609"/>
      <c r="H181" s="610"/>
      <c r="I181" s="610"/>
      <c r="J181" s="554"/>
      <c r="K181" s="554"/>
    </row>
    <row r="182" spans="2:11" x14ac:dyDescent="0.2">
      <c r="B182" s="846" t="s">
        <v>2283</v>
      </c>
      <c r="C182" s="646"/>
      <c r="D182" s="646"/>
      <c r="G182" s="609"/>
      <c r="H182" s="610"/>
      <c r="I182" s="610"/>
      <c r="J182" s="554"/>
      <c r="K182" s="554"/>
    </row>
    <row r="183" spans="2:11" x14ac:dyDescent="0.2">
      <c r="B183" s="846" t="s">
        <v>3209</v>
      </c>
      <c r="C183" s="646"/>
      <c r="D183" s="646"/>
      <c r="G183" s="609"/>
      <c r="H183" s="610"/>
      <c r="I183" s="610"/>
      <c r="J183" s="554"/>
      <c r="K183" s="554"/>
    </row>
    <row r="184" spans="2:11" x14ac:dyDescent="0.2">
      <c r="B184" s="571" t="s">
        <v>574</v>
      </c>
      <c r="C184" s="520"/>
      <c r="D184" s="520"/>
      <c r="E184" s="520"/>
      <c r="F184" s="521"/>
      <c r="G184" s="569"/>
      <c r="H184" s="570"/>
      <c r="I184" s="570"/>
      <c r="J184" s="520"/>
      <c r="K184" s="520"/>
    </row>
    <row r="185" spans="2:11" x14ac:dyDescent="0.2">
      <c r="B185" s="646" t="s">
        <v>2812</v>
      </c>
      <c r="G185" s="609"/>
      <c r="H185" s="610"/>
      <c r="I185" s="610"/>
      <c r="J185" s="554"/>
      <c r="K185" s="554"/>
    </row>
    <row r="186" spans="2:11" x14ac:dyDescent="0.2">
      <c r="B186" s="646" t="s">
        <v>2803</v>
      </c>
      <c r="G186" s="609"/>
      <c r="H186" s="610"/>
      <c r="I186" s="610"/>
      <c r="J186" s="554"/>
      <c r="K186" s="554"/>
    </row>
    <row r="187" spans="2:11" x14ac:dyDescent="0.2">
      <c r="G187" s="609"/>
      <c r="H187" s="610"/>
      <c r="I187" s="610"/>
      <c r="J187" s="554"/>
      <c r="K187" s="554"/>
    </row>
    <row r="188" spans="2:11" x14ac:dyDescent="0.2">
      <c r="B188" s="1094" t="s">
        <v>2804</v>
      </c>
      <c r="C188" s="520">
        <v>70</v>
      </c>
      <c r="G188" s="609"/>
      <c r="H188" s="610"/>
      <c r="I188" s="610"/>
      <c r="J188" s="554"/>
      <c r="K188" s="554"/>
    </row>
    <row r="189" spans="2:11" x14ac:dyDescent="0.2">
      <c r="B189" s="554"/>
      <c r="G189" s="609"/>
      <c r="H189" s="610"/>
      <c r="I189" s="610"/>
      <c r="J189" s="554"/>
      <c r="K189" s="554"/>
    </row>
    <row r="190" spans="2:11" x14ac:dyDescent="0.2">
      <c r="B190" s="612"/>
      <c r="C190" s="613" t="s">
        <v>1750</v>
      </c>
      <c r="D190" s="613" t="s">
        <v>172</v>
      </c>
      <c r="G190" s="609"/>
      <c r="H190" s="610"/>
      <c r="I190" s="610"/>
      <c r="J190" s="554"/>
      <c r="K190" s="554"/>
    </row>
    <row r="191" spans="2:11" x14ac:dyDescent="0.2">
      <c r="B191" s="1095" t="s">
        <v>2805</v>
      </c>
      <c r="C191" s="614">
        <f>D62/D83</f>
        <v>0.24373753038455381</v>
      </c>
      <c r="D191" s="612" t="str">
        <f>"Line "&amp;A62&amp;", Col 3 / Line "&amp;A83&amp;", Col 3"</f>
        <v>Line 52, Col 3 / Line 66, Col 3</v>
      </c>
      <c r="G191" s="609"/>
      <c r="H191" s="610"/>
      <c r="I191" s="610"/>
      <c r="J191" s="554"/>
      <c r="K191" s="554"/>
    </row>
    <row r="192" spans="2:11" x14ac:dyDescent="0.2">
      <c r="B192" s="1095" t="s">
        <v>2806</v>
      </c>
      <c r="C192" s="614">
        <f>D81/D83</f>
        <v>0.75626246961544619</v>
      </c>
      <c r="D192" s="612" t="str">
        <f>"Line "&amp;A81&amp;", Col 3 / Line "&amp;A83&amp;", Col 3"</f>
        <v>Line 64, Col 3 / Line 66, Col 3</v>
      </c>
      <c r="G192" s="609"/>
      <c r="H192" s="610"/>
      <c r="I192" s="610"/>
      <c r="J192" s="554"/>
      <c r="K192" s="554"/>
    </row>
    <row r="193" spans="2:12" x14ac:dyDescent="0.2">
      <c r="B193" s="554"/>
      <c r="G193" s="609"/>
      <c r="H193" s="610"/>
      <c r="I193" s="610"/>
      <c r="J193" s="554"/>
      <c r="K193" s="554"/>
    </row>
    <row r="194" spans="2:12" x14ac:dyDescent="0.2">
      <c r="B194" s="646" t="s">
        <v>2807</v>
      </c>
      <c r="G194" s="609"/>
      <c r="H194" s="610"/>
      <c r="I194" s="610"/>
      <c r="J194" s="554"/>
      <c r="K194" s="554"/>
      <c r="L194" s="554"/>
    </row>
    <row r="195" spans="2:12" x14ac:dyDescent="0.2">
      <c r="B195" s="646" t="s">
        <v>2808</v>
      </c>
      <c r="G195" s="609"/>
      <c r="H195" s="610"/>
      <c r="I195" s="610"/>
      <c r="J195" s="554"/>
      <c r="K195" s="554"/>
      <c r="L195" s="554"/>
    </row>
    <row r="196" spans="2:12" x14ac:dyDescent="0.2">
      <c r="B196" s="646" t="s">
        <v>2254</v>
      </c>
      <c r="C196" s="1096">
        <f>(SUM(H97:H145)/SUM(D97:D145))</f>
        <v>0.43604781399126868</v>
      </c>
      <c r="G196" s="609"/>
      <c r="H196" s="610"/>
      <c r="I196" s="610"/>
      <c r="J196" s="554"/>
      <c r="K196" s="554"/>
      <c r="L196" s="554"/>
    </row>
    <row r="197" spans="2:12" x14ac:dyDescent="0.2">
      <c r="B197" s="646" t="s">
        <v>2163</v>
      </c>
      <c r="G197" s="609"/>
      <c r="H197" s="610"/>
      <c r="I197" s="610"/>
      <c r="J197" s="554"/>
      <c r="K197" s="554"/>
      <c r="L197" s="554"/>
    </row>
    <row r="198" spans="2:12" x14ac:dyDescent="0.2">
      <c r="B198" s="646" t="s">
        <v>2422</v>
      </c>
      <c r="G198" s="609"/>
      <c r="H198" s="610"/>
      <c r="I198" s="610"/>
      <c r="J198" s="554"/>
      <c r="K198" s="554"/>
      <c r="L198" s="554"/>
    </row>
    <row r="199" spans="2:12" x14ac:dyDescent="0.2">
      <c r="B199" s="646"/>
      <c r="G199" s="609"/>
      <c r="H199" s="610"/>
      <c r="I199" s="610"/>
      <c r="J199" s="554"/>
      <c r="K199" s="554"/>
      <c r="L199" s="554"/>
    </row>
    <row r="200" spans="2:12" x14ac:dyDescent="0.2">
      <c r="B200" s="646" t="s">
        <v>2420</v>
      </c>
      <c r="G200" s="609"/>
      <c r="H200" s="610"/>
      <c r="I200" s="610"/>
      <c r="J200" s="554"/>
      <c r="K200" s="554"/>
      <c r="L200" s="554"/>
    </row>
    <row r="201" spans="2:12" x14ac:dyDescent="0.2">
      <c r="B201" s="1095" t="s">
        <v>2428</v>
      </c>
      <c r="G201" s="609"/>
      <c r="H201" s="610"/>
      <c r="I201" s="610"/>
      <c r="J201" s="1097" t="s">
        <v>2255</v>
      </c>
      <c r="K201" s="554"/>
      <c r="L201" s="554"/>
    </row>
    <row r="202" spans="2:12" x14ac:dyDescent="0.2">
      <c r="B202" s="1098" t="s">
        <v>2434</v>
      </c>
      <c r="G202" s="609"/>
      <c r="H202" s="610"/>
      <c r="I202" s="610"/>
      <c r="J202" s="1099">
        <f>SUM(H99:H109, H113, H116:H120,H132:H144)/SUM(D99:D109,D113,D116:D120,D132:D144)</f>
        <v>0.43526465293278577</v>
      </c>
      <c r="K202" s="554"/>
      <c r="L202" s="554"/>
    </row>
    <row r="203" spans="2:12" x14ac:dyDescent="0.2">
      <c r="B203" s="1098" t="s">
        <v>3213</v>
      </c>
      <c r="G203" s="609"/>
      <c r="H203" s="610"/>
      <c r="I203" s="610"/>
      <c r="J203" s="1099"/>
      <c r="K203" s="554"/>
      <c r="L203" s="554"/>
    </row>
    <row r="204" spans="2:12" x14ac:dyDescent="0.2">
      <c r="B204" s="1095" t="s">
        <v>2439</v>
      </c>
      <c r="G204" s="609"/>
      <c r="H204" s="610"/>
      <c r="I204" s="610"/>
      <c r="J204" s="554"/>
      <c r="K204" s="554"/>
      <c r="L204" s="554"/>
    </row>
    <row r="205" spans="2:12" x14ac:dyDescent="0.2">
      <c r="B205" s="1098" t="s">
        <v>2256</v>
      </c>
      <c r="G205" s="609"/>
      <c r="H205" s="610"/>
      <c r="I205" s="610"/>
      <c r="J205" s="1099">
        <f>SUM(H104:H107, H132:H137)/SUM(D104:D107,D132:D137)</f>
        <v>0.25029054334710998</v>
      </c>
      <c r="K205" s="554"/>
      <c r="L205" s="554"/>
    </row>
    <row r="206" spans="2:12" x14ac:dyDescent="0.2">
      <c r="B206" s="1095" t="s">
        <v>2441</v>
      </c>
      <c r="G206" s="609"/>
      <c r="H206" s="610"/>
      <c r="I206" s="610"/>
      <c r="J206" s="554"/>
      <c r="K206" s="554"/>
      <c r="L206" s="554"/>
    </row>
    <row r="207" spans="2:12" x14ac:dyDescent="0.2">
      <c r="B207" s="1098" t="s">
        <v>2257</v>
      </c>
      <c r="G207" s="609"/>
      <c r="H207" s="610"/>
      <c r="I207" s="610"/>
      <c r="J207" s="1099">
        <f>SUM(H132:H134,H136)/SUM(D132:D134,D136)</f>
        <v>0.43483870805440289</v>
      </c>
      <c r="K207" s="554"/>
      <c r="L207" s="554"/>
    </row>
    <row r="208" spans="2:12" x14ac:dyDescent="0.2">
      <c r="B208" s="1100" t="s">
        <v>1582</v>
      </c>
      <c r="G208" s="609"/>
      <c r="H208" s="610"/>
      <c r="I208" s="610"/>
      <c r="J208" s="554"/>
      <c r="K208" s="554"/>
      <c r="L208" s="554"/>
    </row>
    <row r="209" spans="2:12" x14ac:dyDescent="0.2">
      <c r="B209" s="1101" t="s">
        <v>2098</v>
      </c>
      <c r="G209" s="609"/>
      <c r="H209" s="610"/>
      <c r="I209" s="610"/>
      <c r="J209" s="554"/>
      <c r="K209" s="554"/>
      <c r="L209" s="554"/>
    </row>
    <row r="210" spans="2:12" x14ac:dyDescent="0.2">
      <c r="B210" s="1101" t="s">
        <v>1584</v>
      </c>
      <c r="G210" s="609"/>
      <c r="H210" s="610"/>
      <c r="I210" s="610"/>
      <c r="J210" s="554"/>
      <c r="K210" s="554"/>
      <c r="L210" s="554"/>
    </row>
    <row r="211" spans="2:12" x14ac:dyDescent="0.2">
      <c r="B211" s="1100" t="s">
        <v>1583</v>
      </c>
      <c r="G211" s="609"/>
      <c r="H211" s="610"/>
      <c r="I211" s="610"/>
      <c r="J211" s="554"/>
      <c r="K211" s="554"/>
      <c r="L211" s="554"/>
    </row>
    <row r="212" spans="2:12" x14ac:dyDescent="0.2">
      <c r="B212" s="1095" t="s">
        <v>2440</v>
      </c>
      <c r="G212" s="609"/>
      <c r="H212" s="610"/>
      <c r="I212" s="610"/>
      <c r="J212" s="554"/>
      <c r="K212" s="554"/>
      <c r="L212" s="554"/>
    </row>
    <row r="213" spans="2:12" x14ac:dyDescent="0.2">
      <c r="B213" s="1098" t="s">
        <v>2436</v>
      </c>
      <c r="G213" s="609"/>
      <c r="H213" s="610"/>
      <c r="I213" s="610"/>
      <c r="J213" s="1096">
        <f>SUM(H161:H163)/SUM(D161:D163)</f>
        <v>2.4928952011248191E-2</v>
      </c>
      <c r="K213" s="554"/>
      <c r="L213" s="554"/>
    </row>
    <row r="214" spans="2:12" x14ac:dyDescent="0.2">
      <c r="B214" s="1102" t="s">
        <v>2435</v>
      </c>
      <c r="G214" s="609"/>
      <c r="H214" s="610"/>
      <c r="I214" s="610"/>
      <c r="J214" s="554"/>
      <c r="K214" s="554"/>
      <c r="L214" s="554"/>
    </row>
    <row r="215" spans="2:12" x14ac:dyDescent="0.2">
      <c r="B215" s="646" t="s">
        <v>2446</v>
      </c>
      <c r="G215" s="609"/>
      <c r="H215" s="610"/>
      <c r="I215" s="610"/>
      <c r="J215" s="554"/>
      <c r="K215" s="554"/>
      <c r="L215" s="554"/>
    </row>
    <row r="216" spans="2:12" x14ac:dyDescent="0.2">
      <c r="B216" s="554"/>
      <c r="G216" s="609"/>
      <c r="H216" s="610"/>
      <c r="I216" s="610"/>
      <c r="J216" s="554"/>
      <c r="K216" s="554"/>
      <c r="L216" s="554"/>
    </row>
  </sheetData>
  <mergeCells count="14">
    <mergeCell ref="G154:I154"/>
    <mergeCell ref="G94:I94"/>
    <mergeCell ref="B8:B9"/>
    <mergeCell ref="C8:E8"/>
    <mergeCell ref="G8:I8"/>
    <mergeCell ref="B94:B95"/>
    <mergeCell ref="C94:E94"/>
    <mergeCell ref="B154:B155"/>
    <mergeCell ref="C154:E154"/>
    <mergeCell ref="J8:L8"/>
    <mergeCell ref="B68:B69"/>
    <mergeCell ref="C68:E68"/>
    <mergeCell ref="G68:I68"/>
    <mergeCell ref="J68:L68"/>
  </mergeCells>
  <pageMargins left="0.7" right="0.7" top="0.75" bottom="0.75" header="0.3" footer="0.3"/>
  <pageSetup scale="60" orientation="landscape" cellComments="asDisplayed" r:id="rId1"/>
  <headerFooter>
    <oddHeader>&amp;CSchedule 19
Operations and Maintenance
&amp;"Arial,Bold"Exhibit G-2</oddHeader>
    <oddFooter>&amp;R&amp;A</oddFooter>
  </headerFooter>
  <rowBreaks count="3" manualBreakCount="3">
    <brk id="64" max="11" man="1"/>
    <brk id="88" max="16383" man="1"/>
    <brk id="150"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2"/>
  <sheetViews>
    <sheetView zoomScale="90" zoomScaleNormal="90" workbookViewId="0">
      <selection sqref="A1:C1"/>
    </sheetView>
  </sheetViews>
  <sheetFormatPr defaultRowHeight="12.75" x14ac:dyDescent="0.2"/>
  <cols>
    <col min="1" max="1" width="4.7109375" customWidth="1"/>
    <col min="2" max="2" width="2.7109375" customWidth="1"/>
    <col min="3" max="3" width="6.7109375" customWidth="1"/>
    <col min="4" max="4" width="32.5703125" customWidth="1"/>
    <col min="5" max="5" width="14.7109375" customWidth="1"/>
    <col min="6" max="6" width="15.7109375" customWidth="1"/>
    <col min="7" max="8" width="14.7109375" customWidth="1"/>
    <col min="9" max="9" width="18.7109375" customWidth="1"/>
    <col min="10" max="10" width="14.7109375" customWidth="1"/>
    <col min="11" max="11" width="11" bestFit="1" customWidth="1"/>
  </cols>
  <sheetData>
    <row r="1" spans="1:24" x14ac:dyDescent="0.2">
      <c r="A1" s="1" t="s">
        <v>317</v>
      </c>
      <c r="F1" s="44" t="s">
        <v>17</v>
      </c>
      <c r="G1" s="99"/>
      <c r="H1" s="63"/>
      <c r="I1" s="63"/>
    </row>
    <row r="2" spans="1:24" x14ac:dyDescent="0.2">
      <c r="E2" s="86" t="s">
        <v>403</v>
      </c>
      <c r="F2" s="86" t="s">
        <v>387</v>
      </c>
      <c r="G2" s="86" t="s">
        <v>388</v>
      </c>
      <c r="H2" s="86" t="s">
        <v>389</v>
      </c>
      <c r="I2" s="63"/>
    </row>
    <row r="3" spans="1:24" x14ac:dyDescent="0.2">
      <c r="G3" s="63" t="s">
        <v>245</v>
      </c>
    </row>
    <row r="4" spans="1:24" x14ac:dyDescent="0.2">
      <c r="E4" s="2" t="s">
        <v>539</v>
      </c>
      <c r="F4" s="26" t="s">
        <v>222</v>
      </c>
      <c r="G4" s="2" t="s">
        <v>1685</v>
      </c>
      <c r="I4" s="2"/>
    </row>
    <row r="5" spans="1:24" x14ac:dyDescent="0.2">
      <c r="A5" s="55" t="s">
        <v>359</v>
      </c>
      <c r="B5" s="3"/>
      <c r="C5" s="3" t="s">
        <v>127</v>
      </c>
      <c r="D5" s="3" t="s">
        <v>112</v>
      </c>
      <c r="E5" s="3" t="s">
        <v>203</v>
      </c>
      <c r="F5" s="25" t="s">
        <v>207</v>
      </c>
      <c r="G5" s="3" t="s">
        <v>128</v>
      </c>
      <c r="H5" s="3" t="s">
        <v>299</v>
      </c>
      <c r="I5" s="3" t="s">
        <v>196</v>
      </c>
      <c r="K5" s="3"/>
      <c r="L5" s="3"/>
      <c r="M5" s="3"/>
      <c r="N5" s="3"/>
      <c r="O5" s="3"/>
      <c r="P5" s="3"/>
      <c r="Q5" s="3"/>
      <c r="R5" s="3"/>
      <c r="S5" s="3"/>
      <c r="T5" s="3"/>
      <c r="U5" s="3"/>
      <c r="V5" s="3"/>
      <c r="W5" s="3"/>
      <c r="X5" s="3"/>
    </row>
    <row r="6" spans="1:24" x14ac:dyDescent="0.2">
      <c r="A6" s="2">
        <v>1</v>
      </c>
      <c r="C6" s="63">
        <v>920</v>
      </c>
      <c r="D6" t="s">
        <v>114</v>
      </c>
      <c r="E6" s="82">
        <v>524914232</v>
      </c>
      <c r="F6" s="63" t="s">
        <v>129</v>
      </c>
      <c r="G6" s="65">
        <f>D37</f>
        <v>110012571.32068278</v>
      </c>
      <c r="H6" s="7">
        <f t="shared" ref="H6:H19" si="0">E6-G6</f>
        <v>414901660.67931724</v>
      </c>
    </row>
    <row r="7" spans="1:24" x14ac:dyDescent="0.2">
      <c r="A7" s="2">
        <f>A6+1</f>
        <v>2</v>
      </c>
      <c r="C7" s="63">
        <v>921</v>
      </c>
      <c r="D7" t="s">
        <v>115</v>
      </c>
      <c r="E7" s="82">
        <v>151198075</v>
      </c>
      <c r="F7" s="63" t="s">
        <v>130</v>
      </c>
      <c r="G7" s="65">
        <f t="shared" ref="G7:G19" si="1">D38</f>
        <v>2625170</v>
      </c>
      <c r="H7" s="7">
        <f t="shared" si="0"/>
        <v>148572905</v>
      </c>
    </row>
    <row r="8" spans="1:24" x14ac:dyDescent="0.2">
      <c r="A8" s="2">
        <f>A7+1</f>
        <v>3</v>
      </c>
      <c r="C8" s="63">
        <v>922</v>
      </c>
      <c r="D8" t="s">
        <v>116</v>
      </c>
      <c r="E8" s="82">
        <v>-121390767</v>
      </c>
      <c r="F8" s="63" t="s">
        <v>131</v>
      </c>
      <c r="G8" s="65">
        <f t="shared" si="1"/>
        <v>-22934724.793200001</v>
      </c>
      <c r="H8" s="7">
        <f t="shared" si="0"/>
        <v>-98456042.206799999</v>
      </c>
      <c r="I8" s="118" t="s">
        <v>2290</v>
      </c>
    </row>
    <row r="9" spans="1:24" x14ac:dyDescent="0.2">
      <c r="A9" s="2">
        <f t="shared" ref="A9:A20" si="2">A8+1</f>
        <v>4</v>
      </c>
      <c r="B9" s="2"/>
      <c r="C9" s="63">
        <v>923</v>
      </c>
      <c r="D9" t="s">
        <v>117</v>
      </c>
      <c r="E9" s="82">
        <v>72174387</v>
      </c>
      <c r="F9" s="63" t="s">
        <v>132</v>
      </c>
      <c r="G9" s="65">
        <f t="shared" si="1"/>
        <v>14935184</v>
      </c>
      <c r="H9" s="7">
        <f t="shared" si="0"/>
        <v>57239203</v>
      </c>
    </row>
    <row r="10" spans="1:24" x14ac:dyDescent="0.2">
      <c r="A10" s="2">
        <f t="shared" si="2"/>
        <v>5</v>
      </c>
      <c r="B10" s="2"/>
      <c r="C10" s="63">
        <v>924</v>
      </c>
      <c r="D10" t="s">
        <v>118</v>
      </c>
      <c r="E10" s="82">
        <v>13490781</v>
      </c>
      <c r="F10" s="63" t="s">
        <v>133</v>
      </c>
      <c r="G10" s="65">
        <f t="shared" si="1"/>
        <v>375</v>
      </c>
      <c r="H10" s="7">
        <f t="shared" si="0"/>
        <v>13490406</v>
      </c>
    </row>
    <row r="11" spans="1:24" x14ac:dyDescent="0.2">
      <c r="A11" s="2">
        <f t="shared" si="2"/>
        <v>6</v>
      </c>
      <c r="B11" s="2"/>
      <c r="C11" s="63">
        <v>925</v>
      </c>
      <c r="D11" t="s">
        <v>119</v>
      </c>
      <c r="E11" s="82">
        <v>62577421</v>
      </c>
      <c r="F11" s="63" t="s">
        <v>134</v>
      </c>
      <c r="G11" s="65">
        <f t="shared" si="1"/>
        <v>2875</v>
      </c>
      <c r="H11" s="7">
        <f t="shared" si="0"/>
        <v>62574546</v>
      </c>
    </row>
    <row r="12" spans="1:24" x14ac:dyDescent="0.2">
      <c r="A12" s="2">
        <f t="shared" si="2"/>
        <v>7</v>
      </c>
      <c r="B12" s="2"/>
      <c r="C12" s="63">
        <v>926</v>
      </c>
      <c r="D12" t="s">
        <v>120</v>
      </c>
      <c r="E12" s="82">
        <v>260102912</v>
      </c>
      <c r="F12" s="63" t="s">
        <v>135</v>
      </c>
      <c r="G12" s="65">
        <f t="shared" si="1"/>
        <v>-16222185</v>
      </c>
      <c r="H12" s="7">
        <f t="shared" si="0"/>
        <v>276325097</v>
      </c>
    </row>
    <row r="13" spans="1:24" x14ac:dyDescent="0.2">
      <c r="A13" s="2">
        <f t="shared" si="2"/>
        <v>8</v>
      </c>
      <c r="B13" s="2"/>
      <c r="C13" s="63">
        <v>927</v>
      </c>
      <c r="D13" t="s">
        <v>121</v>
      </c>
      <c r="E13" s="82">
        <v>100494668</v>
      </c>
      <c r="F13" s="63" t="s">
        <v>136</v>
      </c>
      <c r="G13" s="65">
        <f t="shared" si="1"/>
        <v>100494668</v>
      </c>
      <c r="H13" s="7">
        <f t="shared" si="0"/>
        <v>0</v>
      </c>
    </row>
    <row r="14" spans="1:24" x14ac:dyDescent="0.2">
      <c r="A14" s="2">
        <f t="shared" si="2"/>
        <v>9</v>
      </c>
      <c r="B14" s="2"/>
      <c r="C14" s="63">
        <v>928</v>
      </c>
      <c r="D14" s="12" t="s">
        <v>122</v>
      </c>
      <c r="E14" s="82">
        <v>19609268</v>
      </c>
      <c r="F14" s="63" t="s">
        <v>137</v>
      </c>
      <c r="G14" s="65">
        <f t="shared" si="1"/>
        <v>12330081</v>
      </c>
      <c r="H14" s="7">
        <f t="shared" si="0"/>
        <v>7279187</v>
      </c>
    </row>
    <row r="15" spans="1:24" x14ac:dyDescent="0.2">
      <c r="A15" s="2">
        <f t="shared" si="2"/>
        <v>10</v>
      </c>
      <c r="B15" s="2"/>
      <c r="C15" s="63">
        <v>929</v>
      </c>
      <c r="D15" t="s">
        <v>123</v>
      </c>
      <c r="E15" s="82">
        <v>0</v>
      </c>
      <c r="F15" s="63" t="s">
        <v>138</v>
      </c>
      <c r="G15" s="65">
        <f t="shared" si="1"/>
        <v>0</v>
      </c>
      <c r="H15" s="7">
        <f t="shared" si="0"/>
        <v>0</v>
      </c>
    </row>
    <row r="16" spans="1:24" x14ac:dyDescent="0.2">
      <c r="A16" s="2">
        <f t="shared" si="2"/>
        <v>11</v>
      </c>
      <c r="B16" s="2"/>
      <c r="C16" s="63">
        <v>930.1</v>
      </c>
      <c r="D16" t="s">
        <v>124</v>
      </c>
      <c r="E16" s="82">
        <v>0</v>
      </c>
      <c r="F16" s="63" t="s">
        <v>139</v>
      </c>
      <c r="G16" s="65">
        <f t="shared" si="1"/>
        <v>0</v>
      </c>
      <c r="H16" s="7">
        <f t="shared" si="0"/>
        <v>0</v>
      </c>
    </row>
    <row r="17" spans="1:8" x14ac:dyDescent="0.2">
      <c r="A17" s="2">
        <f t="shared" si="2"/>
        <v>12</v>
      </c>
      <c r="B17" s="2"/>
      <c r="C17" s="63">
        <v>930.2</v>
      </c>
      <c r="D17" t="s">
        <v>100</v>
      </c>
      <c r="E17" s="82">
        <v>11068617</v>
      </c>
      <c r="F17" s="63" t="s">
        <v>140</v>
      </c>
      <c r="G17" s="65">
        <f t="shared" si="1"/>
        <v>12784820</v>
      </c>
      <c r="H17" s="7">
        <f t="shared" si="0"/>
        <v>-1716203</v>
      </c>
    </row>
    <row r="18" spans="1:8" x14ac:dyDescent="0.2">
      <c r="A18" s="2">
        <f t="shared" si="2"/>
        <v>13</v>
      </c>
      <c r="B18" s="2"/>
      <c r="C18" s="63">
        <v>931</v>
      </c>
      <c r="D18" t="s">
        <v>125</v>
      </c>
      <c r="E18" s="82">
        <v>20261927</v>
      </c>
      <c r="F18" s="63" t="s">
        <v>141</v>
      </c>
      <c r="G18" s="65">
        <f t="shared" si="1"/>
        <v>0</v>
      </c>
      <c r="H18" s="7">
        <f t="shared" si="0"/>
        <v>20261927</v>
      </c>
    </row>
    <row r="19" spans="1:8" x14ac:dyDescent="0.2">
      <c r="A19" s="2">
        <f t="shared" si="2"/>
        <v>14</v>
      </c>
      <c r="B19" s="2"/>
      <c r="C19" s="63">
        <v>935</v>
      </c>
      <c r="D19" t="s">
        <v>126</v>
      </c>
      <c r="E19" s="1169">
        <v>16709287</v>
      </c>
      <c r="F19" s="63" t="s">
        <v>142</v>
      </c>
      <c r="G19" s="65">
        <f t="shared" si="1"/>
        <v>1000</v>
      </c>
      <c r="H19" s="93">
        <f t="shared" si="0"/>
        <v>16708287</v>
      </c>
    </row>
    <row r="20" spans="1:8" x14ac:dyDescent="0.2">
      <c r="A20" s="2">
        <f t="shared" si="2"/>
        <v>15</v>
      </c>
      <c r="E20" s="7">
        <f>SUM(E6:E19)</f>
        <v>1131210808</v>
      </c>
      <c r="G20" s="37" t="s">
        <v>143</v>
      </c>
      <c r="H20" s="105">
        <f>SUM(H6:H19)</f>
        <v>917180973.47251725</v>
      </c>
    </row>
    <row r="22" spans="1:8" x14ac:dyDescent="0.2">
      <c r="F22" s="3" t="s">
        <v>203</v>
      </c>
      <c r="G22" s="3" t="s">
        <v>207</v>
      </c>
    </row>
    <row r="23" spans="1:8" x14ac:dyDescent="0.2">
      <c r="A23" s="2">
        <f>A20+1</f>
        <v>16</v>
      </c>
      <c r="E23" s="1021" t="s">
        <v>2780</v>
      </c>
      <c r="F23" s="65">
        <f>H20</f>
        <v>917180973.47251725</v>
      </c>
      <c r="G23" s="47" t="str">
        <f>"Line "&amp;A20&amp;""</f>
        <v>Line 15</v>
      </c>
    </row>
    <row r="24" spans="1:8" x14ac:dyDescent="0.2">
      <c r="A24" s="2">
        <f t="shared" ref="A24:A30" si="3">A23+1</f>
        <v>17</v>
      </c>
      <c r="E24" s="381" t="s">
        <v>332</v>
      </c>
      <c r="F24" s="116">
        <f>E10</f>
        <v>13490781</v>
      </c>
      <c r="G24" s="47" t="str">
        <f>"Line "&amp;A10&amp;""</f>
        <v>Line 5</v>
      </c>
    </row>
    <row r="25" spans="1:8" x14ac:dyDescent="0.2">
      <c r="A25" s="2">
        <f t="shared" si="3"/>
        <v>18</v>
      </c>
      <c r="E25" s="381" t="s">
        <v>1680</v>
      </c>
      <c r="F25" s="65">
        <f>F23-F24</f>
        <v>903690192.47251725</v>
      </c>
      <c r="G25" s="47" t="str">
        <f>"Line "&amp;A23&amp;" - Line "&amp;A24&amp;""</f>
        <v>Line 16 - Line 17</v>
      </c>
    </row>
    <row r="26" spans="1:8" x14ac:dyDescent="0.2">
      <c r="A26" s="2">
        <f t="shared" si="3"/>
        <v>19</v>
      </c>
      <c r="E26" s="81" t="s">
        <v>144</v>
      </c>
      <c r="F26" s="1103">
        <f>'27-Allocators'!G15</f>
        <v>3.9273273898169321E-2</v>
      </c>
      <c r="G26" s="47" t="str">
        <f>"27-Allocators, Line "&amp;'27-Allocators'!A15&amp;""</f>
        <v>27-Allocators, Line 9</v>
      </c>
    </row>
    <row r="27" spans="1:8" x14ac:dyDescent="0.2">
      <c r="A27" s="2">
        <f t="shared" si="3"/>
        <v>20</v>
      </c>
      <c r="E27" s="381" t="s">
        <v>1681</v>
      </c>
      <c r="F27" s="65">
        <f>F25*F26</f>
        <v>35490872.448062524</v>
      </c>
      <c r="G27" s="47" t="str">
        <f>"Line "&amp;A25&amp;" * Line "&amp;A26&amp;""</f>
        <v>Line 18 * Line 19</v>
      </c>
    </row>
    <row r="28" spans="1:8" x14ac:dyDescent="0.2">
      <c r="A28" s="2">
        <f t="shared" si="3"/>
        <v>21</v>
      </c>
      <c r="E28" s="381" t="s">
        <v>106</v>
      </c>
      <c r="F28" s="69">
        <f>'27-Allocators'!G28</f>
        <v>9.6689189040997187E-2</v>
      </c>
      <c r="G28" s="118" t="str">
        <f>"27-Allocators, Line "&amp;'27-Allocators'!A28&amp;""</f>
        <v>27-Allocators, Line 22</v>
      </c>
    </row>
    <row r="29" spans="1:8" x14ac:dyDescent="0.2">
      <c r="A29" s="2">
        <f t="shared" si="3"/>
        <v>22</v>
      </c>
      <c r="E29" s="381" t="s">
        <v>333</v>
      </c>
      <c r="F29" s="116">
        <f>H10*F28</f>
        <v>1304376.4159738028</v>
      </c>
      <c r="G29" s="47" t="str">
        <f>"Line "&amp;A10&amp;" Col 4 * Line "&amp;A28&amp;""</f>
        <v>Line 5 Col 4 * Line 21</v>
      </c>
    </row>
    <row r="30" spans="1:8" x14ac:dyDescent="0.2">
      <c r="A30" s="2">
        <f t="shared" si="3"/>
        <v>23</v>
      </c>
      <c r="E30" s="381" t="s">
        <v>334</v>
      </c>
      <c r="F30" s="687">
        <f>F27+F29</f>
        <v>36795248.864036329</v>
      </c>
      <c r="G30" s="47" t="str">
        <f>"Line "&amp;A27&amp;" + Line "&amp;A29&amp;""</f>
        <v>Line 20 + Line 22</v>
      </c>
    </row>
    <row r="32" spans="1:8" x14ac:dyDescent="0.2">
      <c r="B32" s="1" t="s">
        <v>547</v>
      </c>
      <c r="E32" s="86" t="s">
        <v>403</v>
      </c>
      <c r="F32" s="86" t="s">
        <v>387</v>
      </c>
      <c r="G32" s="86" t="s">
        <v>388</v>
      </c>
      <c r="H32" s="86" t="s">
        <v>389</v>
      </c>
    </row>
    <row r="33" spans="1:11" x14ac:dyDescent="0.2">
      <c r="B33" s="1"/>
      <c r="E33" s="115" t="s">
        <v>541</v>
      </c>
      <c r="F33" s="376"/>
      <c r="G33" s="376"/>
      <c r="H33" s="86"/>
    </row>
    <row r="34" spans="1:11" x14ac:dyDescent="0.2">
      <c r="E34" s="115" t="s">
        <v>615</v>
      </c>
      <c r="F34" s="14"/>
      <c r="G34" s="14"/>
    </row>
    <row r="35" spans="1:11" x14ac:dyDescent="0.2">
      <c r="D35" s="2" t="s">
        <v>540</v>
      </c>
      <c r="E35" s="115" t="s">
        <v>614</v>
      </c>
      <c r="F35" s="115" t="s">
        <v>542</v>
      </c>
      <c r="G35" s="115"/>
      <c r="H35" s="2"/>
    </row>
    <row r="36" spans="1:11" x14ac:dyDescent="0.2">
      <c r="C36" s="3" t="s">
        <v>127</v>
      </c>
      <c r="D36" s="86" t="s">
        <v>1241</v>
      </c>
      <c r="E36" s="129" t="s">
        <v>1544</v>
      </c>
      <c r="F36" s="129" t="s">
        <v>543</v>
      </c>
      <c r="G36" s="129" t="s">
        <v>2781</v>
      </c>
      <c r="H36" s="3" t="s">
        <v>544</v>
      </c>
      <c r="I36" s="3" t="s">
        <v>196</v>
      </c>
    </row>
    <row r="37" spans="1:11" x14ac:dyDescent="0.2">
      <c r="A37" s="2">
        <f>A30+1</f>
        <v>24</v>
      </c>
      <c r="C37" s="63">
        <v>920</v>
      </c>
      <c r="D37" s="147">
        <f>SUM(E37:H37)</f>
        <v>110012571.32068278</v>
      </c>
      <c r="E37" s="715">
        <f>32160542-12659792</f>
        <v>19500750</v>
      </c>
      <c r="F37" s="715">
        <v>0</v>
      </c>
      <c r="G37" s="687">
        <f>G58</f>
        <v>90511821.320682779</v>
      </c>
      <c r="H37" s="715">
        <v>0</v>
      </c>
      <c r="I37" s="625" t="s">
        <v>2303</v>
      </c>
      <c r="J37" s="14"/>
    </row>
    <row r="38" spans="1:11" x14ac:dyDescent="0.2">
      <c r="A38" s="2">
        <f>A37+1</f>
        <v>25</v>
      </c>
      <c r="C38" s="63">
        <v>921</v>
      </c>
      <c r="D38" s="147">
        <f t="shared" ref="D38:D50" si="4">SUM(E38:H38)</f>
        <v>2625170</v>
      </c>
      <c r="E38" s="715">
        <v>2625170</v>
      </c>
      <c r="F38" s="715">
        <v>0</v>
      </c>
      <c r="G38" s="715">
        <v>0</v>
      </c>
      <c r="H38" s="715">
        <v>0</v>
      </c>
      <c r="I38" s="16"/>
    </row>
    <row r="39" spans="1:11" x14ac:dyDescent="0.2">
      <c r="A39" s="2">
        <f t="shared" ref="A39:A50" si="5">A38+1</f>
        <v>26</v>
      </c>
      <c r="C39" s="63">
        <v>922</v>
      </c>
      <c r="D39" s="147">
        <f t="shared" si="4"/>
        <v>-22934724.793200001</v>
      </c>
      <c r="E39" s="715"/>
      <c r="F39" s="715">
        <v>0</v>
      </c>
      <c r="G39" s="863">
        <v>-22934724.793200001</v>
      </c>
      <c r="H39" s="715">
        <v>0</v>
      </c>
      <c r="I39" s="16"/>
    </row>
    <row r="40" spans="1:11" x14ac:dyDescent="0.2">
      <c r="A40" s="2">
        <f t="shared" si="5"/>
        <v>27</v>
      </c>
      <c r="C40" s="63">
        <v>923</v>
      </c>
      <c r="D40" s="147">
        <f t="shared" si="4"/>
        <v>14935184</v>
      </c>
      <c r="E40" s="715">
        <v>14935184</v>
      </c>
      <c r="F40" s="715">
        <v>0</v>
      </c>
      <c r="G40" s="715">
        <v>0</v>
      </c>
      <c r="H40" s="715">
        <v>0</v>
      </c>
      <c r="I40" s="16"/>
      <c r="J40" s="3"/>
      <c r="K40" s="3"/>
    </row>
    <row r="41" spans="1:11" x14ac:dyDescent="0.2">
      <c r="A41" s="2">
        <f t="shared" si="5"/>
        <v>28</v>
      </c>
      <c r="C41" s="63">
        <v>924</v>
      </c>
      <c r="D41" s="147">
        <f t="shared" si="4"/>
        <v>375</v>
      </c>
      <c r="E41" s="715">
        <v>375</v>
      </c>
      <c r="F41" s="715">
        <v>0</v>
      </c>
      <c r="G41" s="715">
        <v>0</v>
      </c>
      <c r="H41" s="715">
        <v>0</v>
      </c>
      <c r="I41" s="16"/>
      <c r="K41" s="7"/>
    </row>
    <row r="42" spans="1:11" x14ac:dyDescent="0.2">
      <c r="A42" s="2">
        <f t="shared" si="5"/>
        <v>29</v>
      </c>
      <c r="C42" s="63">
        <v>925</v>
      </c>
      <c r="D42" s="147">
        <f t="shared" si="4"/>
        <v>2875</v>
      </c>
      <c r="E42" s="715">
        <v>2875</v>
      </c>
      <c r="F42" s="715">
        <v>0</v>
      </c>
      <c r="G42" s="715">
        <v>0</v>
      </c>
      <c r="H42" s="715">
        <v>0</v>
      </c>
      <c r="I42" s="13"/>
      <c r="K42" s="7"/>
    </row>
    <row r="43" spans="1:11" x14ac:dyDescent="0.2">
      <c r="A43" s="2">
        <f t="shared" si="5"/>
        <v>30</v>
      </c>
      <c r="C43" s="63">
        <v>926</v>
      </c>
      <c r="D43" s="147">
        <f t="shared" si="4"/>
        <v>-16222185</v>
      </c>
      <c r="E43" s="715">
        <v>2533815</v>
      </c>
      <c r="F43" s="715">
        <v>0</v>
      </c>
      <c r="G43" s="715">
        <v>0</v>
      </c>
      <c r="H43" s="687">
        <f>E70</f>
        <v>-18756000</v>
      </c>
      <c r="I43" s="13" t="s">
        <v>320</v>
      </c>
      <c r="K43" s="7"/>
    </row>
    <row r="44" spans="1:11" x14ac:dyDescent="0.2">
      <c r="A44" s="2">
        <f t="shared" si="5"/>
        <v>31</v>
      </c>
      <c r="C44" s="63">
        <v>927</v>
      </c>
      <c r="D44" s="147">
        <f t="shared" si="4"/>
        <v>100494668</v>
      </c>
      <c r="E44" s="687">
        <v>0</v>
      </c>
      <c r="F44" s="1104">
        <f>E13</f>
        <v>100494668</v>
      </c>
      <c r="G44" s="687">
        <v>0</v>
      </c>
      <c r="H44" s="687">
        <v>0</v>
      </c>
      <c r="I44" s="16" t="s">
        <v>1057</v>
      </c>
      <c r="K44" s="7"/>
    </row>
    <row r="45" spans="1:11" x14ac:dyDescent="0.2">
      <c r="A45" s="2">
        <f t="shared" si="5"/>
        <v>32</v>
      </c>
      <c r="C45" s="63">
        <v>928</v>
      </c>
      <c r="D45" s="147">
        <f t="shared" si="4"/>
        <v>12330081</v>
      </c>
      <c r="E45" s="715">
        <v>12330081</v>
      </c>
      <c r="F45" s="715">
        <v>0</v>
      </c>
      <c r="G45" s="715">
        <v>0</v>
      </c>
      <c r="H45" s="715">
        <v>0</v>
      </c>
      <c r="I45" s="16"/>
      <c r="K45" s="7"/>
    </row>
    <row r="46" spans="1:11" x14ac:dyDescent="0.2">
      <c r="A46" s="2">
        <f t="shared" si="5"/>
        <v>33</v>
      </c>
      <c r="C46" s="63">
        <v>929</v>
      </c>
      <c r="D46" s="147">
        <f t="shared" si="4"/>
        <v>0</v>
      </c>
      <c r="E46" s="715"/>
      <c r="F46" s="715">
        <v>0</v>
      </c>
      <c r="G46" s="715">
        <v>0</v>
      </c>
      <c r="H46" s="715">
        <v>0</v>
      </c>
      <c r="I46" s="16"/>
      <c r="K46" s="7"/>
    </row>
    <row r="47" spans="1:11" x14ac:dyDescent="0.2">
      <c r="A47" s="2">
        <f t="shared" si="5"/>
        <v>34</v>
      </c>
      <c r="C47" s="63">
        <v>930.1</v>
      </c>
      <c r="D47" s="147">
        <f t="shared" si="4"/>
        <v>0</v>
      </c>
      <c r="E47" s="715"/>
      <c r="F47" s="715">
        <v>0</v>
      </c>
      <c r="G47" s="715">
        <v>0</v>
      </c>
      <c r="H47" s="715">
        <v>0</v>
      </c>
      <c r="I47" s="16"/>
      <c r="K47" s="7"/>
    </row>
    <row r="48" spans="1:11" x14ac:dyDescent="0.2">
      <c r="A48" s="2">
        <f t="shared" si="5"/>
        <v>35</v>
      </c>
      <c r="C48" s="63">
        <v>930.2</v>
      </c>
      <c r="D48" s="147">
        <f t="shared" si="4"/>
        <v>12784820</v>
      </c>
      <c r="E48" s="715">
        <v>12784820</v>
      </c>
      <c r="F48" s="715">
        <v>0</v>
      </c>
      <c r="G48" s="715">
        <v>0</v>
      </c>
      <c r="H48" s="715">
        <v>0</v>
      </c>
      <c r="I48" s="16"/>
      <c r="J48" s="636"/>
    </row>
    <row r="49" spans="1:10" x14ac:dyDescent="0.2">
      <c r="A49" s="2">
        <f t="shared" si="5"/>
        <v>36</v>
      </c>
      <c r="C49" s="63">
        <v>931</v>
      </c>
      <c r="D49" s="147">
        <f t="shared" si="4"/>
        <v>0</v>
      </c>
      <c r="E49" s="715"/>
      <c r="F49" s="715">
        <v>0</v>
      </c>
      <c r="G49" s="715">
        <v>0</v>
      </c>
      <c r="H49" s="715">
        <v>0</v>
      </c>
      <c r="I49" s="16"/>
      <c r="J49" s="7"/>
    </row>
    <row r="50" spans="1:10" x14ac:dyDescent="0.2">
      <c r="A50" s="2">
        <f t="shared" si="5"/>
        <v>37</v>
      </c>
      <c r="C50" s="63">
        <v>935</v>
      </c>
      <c r="D50" s="147">
        <f t="shared" si="4"/>
        <v>1000</v>
      </c>
      <c r="E50" s="715">
        <v>1000</v>
      </c>
      <c r="F50" s="715">
        <v>0</v>
      </c>
      <c r="G50" s="715">
        <v>0</v>
      </c>
      <c r="H50" s="715">
        <v>0</v>
      </c>
      <c r="I50" s="16"/>
    </row>
    <row r="51" spans="1:10" x14ac:dyDescent="0.2">
      <c r="B51" s="1" t="s">
        <v>2782</v>
      </c>
      <c r="C51" s="14"/>
      <c r="D51" s="14"/>
      <c r="E51" s="14"/>
      <c r="F51" s="14"/>
      <c r="G51" s="14"/>
      <c r="H51" s="14"/>
    </row>
    <row r="52" spans="1:10" x14ac:dyDescent="0.2">
      <c r="B52" s="1"/>
      <c r="C52" s="14" t="s">
        <v>2783</v>
      </c>
      <c r="D52" s="14"/>
      <c r="E52" s="14"/>
      <c r="F52" s="14"/>
      <c r="G52" s="14"/>
      <c r="H52" s="14"/>
    </row>
    <row r="53" spans="1:10" x14ac:dyDescent="0.2">
      <c r="B53" s="1"/>
      <c r="C53" s="628" t="s">
        <v>2784</v>
      </c>
      <c r="D53" s="14"/>
      <c r="E53" s="14"/>
      <c r="F53" s="14"/>
      <c r="G53" s="115"/>
      <c r="H53" s="115"/>
    </row>
    <row r="54" spans="1:10" x14ac:dyDescent="0.2">
      <c r="B54" s="1"/>
      <c r="C54" s="865" t="s">
        <v>2872</v>
      </c>
      <c r="D54" s="847"/>
      <c r="E54" s="847"/>
      <c r="F54" s="14"/>
      <c r="G54" s="115"/>
      <c r="H54" s="115"/>
    </row>
    <row r="55" spans="1:10" x14ac:dyDescent="0.2">
      <c r="B55" s="1"/>
      <c r="G55" s="3" t="s">
        <v>203</v>
      </c>
      <c r="H55" s="3" t="s">
        <v>207</v>
      </c>
    </row>
    <row r="56" spans="1:10" x14ac:dyDescent="0.2">
      <c r="A56" s="2"/>
      <c r="B56" s="811" t="s">
        <v>2185</v>
      </c>
      <c r="E56" s="14"/>
      <c r="F56" s="1021" t="s">
        <v>2785</v>
      </c>
      <c r="G56" s="715">
        <v>127415137.73999999</v>
      </c>
      <c r="H56" s="625" t="s">
        <v>33</v>
      </c>
    </row>
    <row r="57" spans="1:10" x14ac:dyDescent="0.2">
      <c r="A57" s="2"/>
      <c r="B57" s="811" t="s">
        <v>2186</v>
      </c>
      <c r="C57" s="12"/>
      <c r="E57" s="14"/>
      <c r="F57" s="1021" t="s">
        <v>2786</v>
      </c>
      <c r="G57" s="106">
        <f>E61</f>
        <v>36903316.419317216</v>
      </c>
      <c r="H57" s="630" t="str">
        <f>"Note 2, "&amp;B61&amp;""</f>
        <v>Note 2, d</v>
      </c>
    </row>
    <row r="58" spans="1:10" x14ac:dyDescent="0.2">
      <c r="A58" s="2"/>
      <c r="B58" s="811" t="s">
        <v>2187</v>
      </c>
      <c r="F58" s="624" t="s">
        <v>2191</v>
      </c>
      <c r="G58" s="7">
        <f>G56-G57</f>
        <v>90511821.320682779</v>
      </c>
    </row>
    <row r="59" spans="1:10" x14ac:dyDescent="0.2">
      <c r="A59" s="2"/>
      <c r="C59" s="865" t="s">
        <v>2873</v>
      </c>
      <c r="D59" s="847"/>
      <c r="E59" s="847"/>
      <c r="G59" s="7"/>
    </row>
    <row r="60" spans="1:10" x14ac:dyDescent="0.2">
      <c r="A60" s="2"/>
      <c r="D60" s="53" t="s">
        <v>1682</v>
      </c>
      <c r="E60" s="3" t="s">
        <v>203</v>
      </c>
      <c r="F60" s="64" t="s">
        <v>207</v>
      </c>
      <c r="G60" s="7"/>
    </row>
    <row r="61" spans="1:10" x14ac:dyDescent="0.2">
      <c r="A61" s="2"/>
      <c r="B61" s="811" t="s">
        <v>2188</v>
      </c>
      <c r="D61" t="s">
        <v>1683</v>
      </c>
      <c r="E61" s="863">
        <v>36903316.419317216</v>
      </c>
      <c r="F61" s="625" t="s">
        <v>2772</v>
      </c>
      <c r="G61" s="65"/>
      <c r="I61" s="14"/>
    </row>
    <row r="62" spans="1:10" x14ac:dyDescent="0.2">
      <c r="A62" s="2"/>
      <c r="B62" s="811" t="s">
        <v>2189</v>
      </c>
      <c r="D62" s="628" t="s">
        <v>401</v>
      </c>
      <c r="E62" s="863">
        <v>32494358.432651788</v>
      </c>
      <c r="F62" s="625" t="s">
        <v>2772</v>
      </c>
      <c r="G62" s="65"/>
      <c r="I62" s="851"/>
    </row>
    <row r="63" spans="1:10" x14ac:dyDescent="0.2">
      <c r="A63" s="2"/>
      <c r="B63" s="811" t="s">
        <v>2190</v>
      </c>
      <c r="D63" s="626" t="s">
        <v>1684</v>
      </c>
      <c r="E63" s="1105">
        <v>37739442.358031094</v>
      </c>
      <c r="F63" s="625" t="s">
        <v>2772</v>
      </c>
      <c r="G63" s="65"/>
      <c r="I63" s="65"/>
    </row>
    <row r="64" spans="1:10" x14ac:dyDescent="0.2">
      <c r="A64" s="2"/>
      <c r="B64" s="115" t="s">
        <v>2192</v>
      </c>
      <c r="D64" s="96" t="s">
        <v>4</v>
      </c>
      <c r="E64" s="7">
        <f>SUM(E61:E63)</f>
        <v>107137117.2100001</v>
      </c>
      <c r="F64" s="13" t="str">
        <f>"Sum of "&amp;B61&amp;" to "&amp;B63&amp;""</f>
        <v>Sum of d to f</v>
      </c>
      <c r="G64" s="7"/>
      <c r="I64" s="14"/>
    </row>
    <row r="66" spans="1:11" x14ac:dyDescent="0.2">
      <c r="B66" s="1" t="s">
        <v>549</v>
      </c>
    </row>
    <row r="67" spans="1:11" x14ac:dyDescent="0.2">
      <c r="E67" s="3" t="s">
        <v>203</v>
      </c>
      <c r="F67" s="53" t="s">
        <v>271</v>
      </c>
    </row>
    <row r="68" spans="1:11" x14ac:dyDescent="0.2">
      <c r="A68" s="2"/>
      <c r="B68" s="811" t="s">
        <v>2185</v>
      </c>
      <c r="D68" s="96" t="s">
        <v>545</v>
      </c>
      <c r="E68" s="109">
        <v>52707000</v>
      </c>
      <c r="F68" s="13" t="s">
        <v>551</v>
      </c>
    </row>
    <row r="69" spans="1:11" x14ac:dyDescent="0.2">
      <c r="A69" s="2"/>
      <c r="B69" s="811" t="s">
        <v>2186</v>
      </c>
      <c r="D69" s="96" t="s">
        <v>546</v>
      </c>
      <c r="E69" s="149">
        <v>33951000</v>
      </c>
      <c r="F69" s="625" t="s">
        <v>33</v>
      </c>
    </row>
    <row r="70" spans="1:11" x14ac:dyDescent="0.2">
      <c r="A70" s="2"/>
      <c r="B70" s="811" t="s">
        <v>2187</v>
      </c>
      <c r="D70" s="96" t="s">
        <v>548</v>
      </c>
      <c r="E70" s="148">
        <f>E69-E68</f>
        <v>-18756000</v>
      </c>
      <c r="F70" s="13" t="str">
        <f>""&amp;B69&amp;" - "&amp;B68&amp;""</f>
        <v>b - a</v>
      </c>
    </row>
    <row r="71" spans="1:11" x14ac:dyDescent="0.2">
      <c r="A71" s="618"/>
      <c r="B71" s="1" t="s">
        <v>1765</v>
      </c>
      <c r="D71" s="96"/>
      <c r="E71" s="148"/>
      <c r="F71" s="13"/>
    </row>
    <row r="72" spans="1:11" x14ac:dyDescent="0.2">
      <c r="A72" s="618"/>
      <c r="B72" s="1"/>
      <c r="C72" t="str">
        <f>"Amount in Line "&amp;A44&amp;", column 2 equals amount in Line "&amp;A13&amp;", column 1 because all Franchise Requirements Expenses are excluded"</f>
        <v>Amount in Line 31, column 2 equals amount in Line 8, column 1 because all Franchise Requirements Expenses are excluded</v>
      </c>
      <c r="D72" s="96"/>
      <c r="E72" s="148"/>
      <c r="F72" s="13"/>
    </row>
    <row r="73" spans="1:11" x14ac:dyDescent="0.2">
      <c r="A73" s="618"/>
      <c r="B73" s="1"/>
      <c r="C73" s="12" t="s">
        <v>1766</v>
      </c>
      <c r="D73" s="96"/>
      <c r="E73" s="148"/>
      <c r="F73" s="13"/>
    </row>
    <row r="75" spans="1:11" x14ac:dyDescent="0.2">
      <c r="B75" s="1" t="s">
        <v>429</v>
      </c>
    </row>
    <row r="76" spans="1:11" x14ac:dyDescent="0.2">
      <c r="C76" s="12" t="str">
        <f>"1) Enter amounts of A&amp;G expenses from FERC Form 1 in Lines "&amp;A6&amp;" to "&amp;A19&amp;"."</f>
        <v>1) Enter amounts of A&amp;G expenses from FERC Form 1 in Lines 1 to 14.</v>
      </c>
    </row>
    <row r="77" spans="1:11" x14ac:dyDescent="0.2">
      <c r="C77" s="628" t="s">
        <v>2787</v>
      </c>
      <c r="D77" s="14"/>
      <c r="E77" s="14"/>
      <c r="F77" s="14"/>
      <c r="G77" s="14" t="str">
        <f>"Column 3, Line "&amp;A37&amp;""</f>
        <v>Column 3, Line 24</v>
      </c>
      <c r="H77" s="14"/>
      <c r="I77" s="14"/>
      <c r="J77" s="14"/>
      <c r="K77" s="14"/>
    </row>
    <row r="78" spans="1:11" x14ac:dyDescent="0.2">
      <c r="C78" s="625" t="str">
        <f>"is calculated in Note 2.  The PBOPs exclusion in Column 4, Line "&amp;A43&amp;" is calculated in Note 3."</f>
        <v>is calculated in Note 2.  The PBOPs exclusion in Column 4, Line 30 is calculated in Note 3.</v>
      </c>
      <c r="D78" s="14"/>
      <c r="E78" s="14"/>
      <c r="F78" s="14"/>
      <c r="G78" s="15"/>
      <c r="H78" s="14"/>
      <c r="I78" s="14"/>
      <c r="J78" s="14"/>
      <c r="K78" s="14"/>
    </row>
    <row r="79" spans="1:11" x14ac:dyDescent="0.2">
      <c r="C79" s="625" t="s">
        <v>2165</v>
      </c>
      <c r="D79" s="14"/>
      <c r="E79" s="14"/>
      <c r="F79" s="14"/>
      <c r="G79" s="14"/>
      <c r="H79" s="14"/>
      <c r="I79" s="14"/>
      <c r="J79" s="14"/>
      <c r="K79" s="14"/>
    </row>
    <row r="80" spans="1:11" x14ac:dyDescent="0.2">
      <c r="C80" s="625" t="s">
        <v>2288</v>
      </c>
      <c r="D80" s="381"/>
      <c r="E80" s="621"/>
      <c r="F80" s="47"/>
      <c r="G80" s="14"/>
      <c r="H80" s="14"/>
      <c r="I80" s="14"/>
      <c r="J80" s="14"/>
      <c r="K80" s="14"/>
    </row>
    <row r="81" spans="3:11" x14ac:dyDescent="0.2">
      <c r="C81" s="625" t="s">
        <v>2284</v>
      </c>
      <c r="D81" s="381"/>
      <c r="E81" s="621"/>
      <c r="F81" s="47"/>
      <c r="G81" s="14"/>
      <c r="H81" s="14"/>
      <c r="I81" s="14"/>
      <c r="J81" s="14"/>
      <c r="K81" s="14"/>
    </row>
    <row r="82" spans="3:11" x14ac:dyDescent="0.2">
      <c r="C82" s="625" t="s">
        <v>2285</v>
      </c>
      <c r="D82" s="14"/>
      <c r="E82" s="14"/>
      <c r="F82" s="14"/>
      <c r="G82" s="14"/>
      <c r="H82" s="14"/>
      <c r="I82" s="14"/>
      <c r="J82" s="14"/>
      <c r="K82" s="14"/>
    </row>
    <row r="83" spans="3:11" x14ac:dyDescent="0.2">
      <c r="C83" s="47" t="s">
        <v>550</v>
      </c>
      <c r="D83" s="14"/>
      <c r="E83" s="14"/>
      <c r="F83" s="14"/>
      <c r="G83" s="14"/>
      <c r="H83" s="14"/>
      <c r="I83" s="14"/>
      <c r="J83" s="14"/>
      <c r="K83" s="14"/>
    </row>
    <row r="84" spans="3:11" x14ac:dyDescent="0.2">
      <c r="C84" s="625" t="s">
        <v>2286</v>
      </c>
      <c r="D84" s="14"/>
      <c r="E84" s="14"/>
      <c r="F84" s="14"/>
      <c r="G84" s="14"/>
      <c r="H84" s="14"/>
      <c r="I84" s="14"/>
      <c r="J84" s="14"/>
      <c r="K84" s="14"/>
    </row>
    <row r="85" spans="3:11" x14ac:dyDescent="0.2">
      <c r="C85" s="625" t="s">
        <v>1864</v>
      </c>
      <c r="D85" s="14"/>
      <c r="E85" s="14"/>
      <c r="F85" s="14"/>
      <c r="G85" s="14"/>
      <c r="H85" s="14"/>
      <c r="I85" s="14"/>
      <c r="J85" s="14"/>
      <c r="K85" s="14"/>
    </row>
    <row r="86" spans="3:11" x14ac:dyDescent="0.2">
      <c r="C86" s="625" t="s">
        <v>2287</v>
      </c>
      <c r="D86" s="14"/>
      <c r="E86" s="14"/>
      <c r="F86" s="14"/>
      <c r="G86" s="14"/>
      <c r="H86" s="14"/>
      <c r="I86" s="14"/>
      <c r="J86" s="14"/>
      <c r="K86" s="14"/>
    </row>
    <row r="87" spans="3:11" x14ac:dyDescent="0.2">
      <c r="C87" s="625" t="s">
        <v>2322</v>
      </c>
      <c r="D87" s="628"/>
      <c r="E87" s="1106"/>
      <c r="F87" s="1106"/>
      <c r="G87" s="1106"/>
      <c r="H87" s="14"/>
      <c r="I87" s="14"/>
      <c r="J87" s="14"/>
      <c r="K87" s="14"/>
    </row>
    <row r="88" spans="3:11" x14ac:dyDescent="0.2">
      <c r="C88" s="1030" t="s">
        <v>2320</v>
      </c>
      <c r="D88" s="628"/>
      <c r="E88" s="1106"/>
      <c r="F88" s="1106"/>
      <c r="G88" s="1106"/>
      <c r="H88" s="14"/>
      <c r="I88" s="14"/>
      <c r="J88" s="14"/>
      <c r="K88" s="14"/>
    </row>
    <row r="89" spans="3:11" x14ac:dyDescent="0.2">
      <c r="C89" s="1030" t="s">
        <v>2321</v>
      </c>
      <c r="D89" s="628"/>
      <c r="E89" s="1106"/>
      <c r="F89" s="1106"/>
      <c r="G89" s="1106"/>
      <c r="H89" s="14"/>
      <c r="I89" s="14"/>
      <c r="J89" s="14"/>
      <c r="K89" s="14"/>
    </row>
    <row r="90" spans="3:11" x14ac:dyDescent="0.2">
      <c r="C90" s="1030" t="s">
        <v>2323</v>
      </c>
      <c r="D90" s="628"/>
      <c r="E90" s="1106"/>
      <c r="F90" s="1106"/>
      <c r="G90" s="1106"/>
      <c r="H90" s="14"/>
      <c r="I90" s="14"/>
      <c r="J90" s="14"/>
      <c r="K90" s="14"/>
    </row>
    <row r="91" spans="3:11" x14ac:dyDescent="0.2">
      <c r="C91" s="625" t="s">
        <v>2495</v>
      </c>
      <c r="D91" s="628"/>
      <c r="E91" s="1106"/>
      <c r="F91" s="1106"/>
      <c r="G91" s="1106"/>
      <c r="H91" s="14"/>
      <c r="I91" s="14"/>
      <c r="J91" s="14"/>
      <c r="K91" s="14"/>
    </row>
    <row r="92" spans="3:11" x14ac:dyDescent="0.2">
      <c r="C92" s="1030" t="s">
        <v>2493</v>
      </c>
      <c r="D92" s="628"/>
      <c r="E92" s="1106"/>
      <c r="F92" s="1106"/>
      <c r="G92" s="1106"/>
      <c r="H92" s="14"/>
      <c r="I92" s="14"/>
      <c r="J92" s="14"/>
      <c r="K92" s="14"/>
    </row>
    <row r="93" spans="3:11" x14ac:dyDescent="0.2">
      <c r="C93" s="1030" t="s">
        <v>2494</v>
      </c>
      <c r="D93" s="628"/>
      <c r="E93" s="1106"/>
      <c r="F93" s="1106"/>
      <c r="G93" s="1106"/>
      <c r="H93" s="14"/>
      <c r="I93" s="14"/>
      <c r="J93" s="14"/>
      <c r="K93" s="14"/>
    </row>
    <row r="94" spans="3:11" x14ac:dyDescent="0.2">
      <c r="C94" s="1030" t="s">
        <v>2496</v>
      </c>
      <c r="D94" s="628"/>
      <c r="E94" s="1106"/>
      <c r="F94" s="1106"/>
      <c r="G94" s="1106"/>
      <c r="H94" s="14"/>
      <c r="I94" s="14"/>
      <c r="J94" s="14"/>
      <c r="K94" s="14"/>
    </row>
    <row r="95" spans="3:11" x14ac:dyDescent="0.2">
      <c r="C95" s="1030" t="s">
        <v>2497</v>
      </c>
      <c r="D95" s="628"/>
      <c r="E95" s="1106"/>
      <c r="F95" s="1106"/>
      <c r="G95" s="1106"/>
      <c r="H95" s="14"/>
      <c r="I95" s="14"/>
      <c r="J95" s="14"/>
      <c r="K95" s="14"/>
    </row>
    <row r="96" spans="3:11" x14ac:dyDescent="0.2">
      <c r="C96" s="625" t="s">
        <v>2498</v>
      </c>
      <c r="D96" s="628"/>
      <c r="E96" s="1106"/>
      <c r="F96" s="1106"/>
      <c r="G96" s="1106"/>
      <c r="H96" s="1106"/>
      <c r="I96" s="14"/>
      <c r="J96" s="14"/>
      <c r="K96" s="14"/>
    </row>
    <row r="97" spans="3:11" x14ac:dyDescent="0.2">
      <c r="C97" s="1030" t="s">
        <v>2499</v>
      </c>
      <c r="D97" s="628"/>
      <c r="E97" s="1106"/>
      <c r="F97" s="1106"/>
      <c r="G97" s="1106"/>
      <c r="H97" s="14"/>
      <c r="I97" s="14"/>
      <c r="J97" s="14"/>
      <c r="K97" s="14"/>
    </row>
    <row r="98" spans="3:11" x14ac:dyDescent="0.2">
      <c r="C98" s="1107" t="s">
        <v>2788</v>
      </c>
      <c r="D98" s="628"/>
      <c r="E98" s="1106"/>
      <c r="F98" s="1106"/>
      <c r="G98" s="1106"/>
      <c r="H98" s="14"/>
      <c r="I98" s="14"/>
      <c r="J98" s="14"/>
      <c r="K98" s="14"/>
    </row>
    <row r="99" spans="3:11" x14ac:dyDescent="0.2">
      <c r="C99" s="1107" t="s">
        <v>2789</v>
      </c>
      <c r="D99" s="628"/>
      <c r="E99" s="1106"/>
      <c r="F99" s="1106"/>
      <c r="G99" s="1106"/>
      <c r="H99" s="14"/>
      <c r="I99" s="14"/>
      <c r="J99" s="14"/>
      <c r="K99" s="14"/>
    </row>
    <row r="100" spans="3:11" x14ac:dyDescent="0.2">
      <c r="C100" s="1107" t="s">
        <v>2790</v>
      </c>
      <c r="D100" s="628"/>
      <c r="E100" s="1106"/>
      <c r="F100" s="1106"/>
      <c r="G100" s="1106"/>
      <c r="H100" s="14"/>
      <c r="I100" s="14"/>
      <c r="J100" s="14"/>
      <c r="K100" s="14"/>
    </row>
    <row r="101" spans="3:11" x14ac:dyDescent="0.2">
      <c r="C101" s="1107" t="s">
        <v>2789</v>
      </c>
      <c r="D101" s="628"/>
      <c r="E101" s="1106"/>
      <c r="F101" s="1106"/>
      <c r="G101" s="1106"/>
      <c r="H101" s="14"/>
      <c r="I101" s="14"/>
      <c r="J101" s="14"/>
      <c r="K101" s="14"/>
    </row>
    <row r="102" spans="3:11" x14ac:dyDescent="0.2">
      <c r="C102" s="1107" t="s">
        <v>2791</v>
      </c>
      <c r="D102" s="628"/>
      <c r="E102" s="1106"/>
      <c r="F102" s="1106"/>
      <c r="G102" s="1106"/>
      <c r="H102" s="14"/>
      <c r="I102" s="14"/>
      <c r="J102" s="14"/>
      <c r="K102" s="14"/>
    </row>
    <row r="103" spans="3:11" x14ac:dyDescent="0.2">
      <c r="C103" s="1030" t="s">
        <v>2792</v>
      </c>
      <c r="D103" s="628"/>
      <c r="E103" s="1106"/>
      <c r="F103" s="1106"/>
      <c r="G103" s="1106"/>
      <c r="H103" s="14"/>
      <c r="I103" s="14"/>
      <c r="J103" s="14"/>
      <c r="K103" s="14"/>
    </row>
    <row r="104" spans="3:11" x14ac:dyDescent="0.2">
      <c r="C104" s="1030" t="s">
        <v>2793</v>
      </c>
      <c r="D104" s="628"/>
      <c r="E104" s="1106"/>
      <c r="F104" s="1106"/>
      <c r="G104" s="1106"/>
      <c r="H104" s="14"/>
      <c r="I104" s="14"/>
      <c r="J104" s="14"/>
      <c r="K104" s="14"/>
    </row>
    <row r="105" spans="3:11" x14ac:dyDescent="0.2">
      <c r="C105" s="1108" t="s">
        <v>2794</v>
      </c>
      <c r="D105" s="847"/>
      <c r="E105" s="847"/>
      <c r="F105" s="847"/>
      <c r="G105" s="847"/>
      <c r="H105" s="847"/>
      <c r="I105" s="847"/>
      <c r="J105" s="847"/>
      <c r="K105" s="14"/>
    </row>
    <row r="106" spans="3:11" x14ac:dyDescent="0.2">
      <c r="C106" s="628" t="s">
        <v>2795</v>
      </c>
      <c r="D106" s="14"/>
      <c r="E106" s="14"/>
      <c r="F106" s="14"/>
      <c r="G106" s="14"/>
      <c r="H106" s="14"/>
      <c r="I106" s="14"/>
      <c r="J106" s="14"/>
      <c r="K106" s="14"/>
    </row>
    <row r="107" spans="3:11" x14ac:dyDescent="0.2">
      <c r="C107" s="1108" t="s">
        <v>2796</v>
      </c>
      <c r="D107" s="865"/>
      <c r="E107" s="865"/>
      <c r="F107" s="865"/>
      <c r="G107" s="865"/>
      <c r="H107" s="865"/>
      <c r="I107" s="865"/>
      <c r="J107" s="14"/>
      <c r="K107" s="14"/>
    </row>
    <row r="108" spans="3:11" x14ac:dyDescent="0.2">
      <c r="C108" s="15" t="str">
        <f>"4) Determine the PBOPs exclusion.  The authorized amount of PBOPs expense (line "&amp;B68&amp;") may only be revised"</f>
        <v>4) Determine the PBOPs exclusion.  The authorized amount of PBOPs expense (line a) may only be revised</v>
      </c>
      <c r="D108" s="14"/>
      <c r="E108" s="14"/>
      <c r="F108" s="14"/>
      <c r="G108" s="14"/>
      <c r="H108" s="14"/>
      <c r="I108" s="14"/>
      <c r="J108" s="14"/>
      <c r="K108" s="14"/>
    </row>
    <row r="109" spans="3:11" x14ac:dyDescent="0.2">
      <c r="C109" s="15" t="s">
        <v>1240</v>
      </c>
      <c r="D109" s="14"/>
      <c r="E109" s="14"/>
      <c r="F109" s="14"/>
      <c r="G109" s="14"/>
      <c r="H109" s="14"/>
      <c r="I109" s="14"/>
      <c r="J109" s="14"/>
      <c r="K109" s="14"/>
    </row>
    <row r="110" spans="3:11" x14ac:dyDescent="0.2">
      <c r="C110" s="15" t="s">
        <v>1261</v>
      </c>
      <c r="D110" s="14"/>
      <c r="E110" s="14"/>
      <c r="F110" s="14"/>
      <c r="G110" s="14"/>
      <c r="H110" s="14"/>
      <c r="I110" s="14"/>
      <c r="J110" s="14"/>
      <c r="K110" s="14"/>
    </row>
    <row r="111" spans="3:11" x14ac:dyDescent="0.2">
      <c r="C111" s="626" t="s">
        <v>2258</v>
      </c>
      <c r="E111" s="14"/>
      <c r="F111" s="14"/>
      <c r="G111" s="14"/>
      <c r="H111" s="14"/>
      <c r="I111" s="644" t="s">
        <v>2894</v>
      </c>
      <c r="J111" s="99"/>
    </row>
    <row r="112" spans="3:11" x14ac:dyDescent="0.2">
      <c r="C112" s="628" t="s">
        <v>2447</v>
      </c>
      <c r="D112" s="14"/>
      <c r="E112" s="14"/>
      <c r="F112" s="14"/>
      <c r="G112" s="14"/>
      <c r="H112" s="14"/>
      <c r="I112" s="14"/>
    </row>
  </sheetData>
  <phoneticPr fontId="11" type="noConversion"/>
  <pageMargins left="0.75" right="0.75" top="1" bottom="1" header="0.5" footer="0.5"/>
  <pageSetup scale="75" orientation="landscape" cellComments="asDisplayed" r:id="rId1"/>
  <headerFooter alignWithMargins="0">
    <oddHeader>&amp;CSchedule 20
Administrative and General Expenses
&amp;"Arial,Bold"Exhibit G-2</oddHeader>
    <oddFooter>&amp;R&amp;A</oddFooter>
  </headerFooter>
  <rowBreaks count="2" manualBreakCount="2">
    <brk id="50" max="9" man="1"/>
    <brk id="74"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T234"/>
  <sheetViews>
    <sheetView view="pageBreakPreview" zoomScale="60" zoomScaleNormal="70" zoomScalePageLayoutView="80" workbookViewId="0">
      <selection activeCell="A3" sqref="A3"/>
    </sheetView>
  </sheetViews>
  <sheetFormatPr defaultRowHeight="12.75" x14ac:dyDescent="0.2"/>
  <cols>
    <col min="1" max="1" width="6.28515625" style="231" customWidth="1"/>
    <col min="2" max="2" width="8.5703125" style="41" customWidth="1"/>
    <col min="3" max="3" width="9.85546875" style="231" customWidth="1"/>
    <col min="4" max="4" width="51.5703125" style="41" customWidth="1"/>
    <col min="5" max="5" width="16.28515625" style="375" customWidth="1"/>
    <col min="6" max="6" width="16.140625" style="375" customWidth="1"/>
    <col min="7" max="7" width="18.42578125" style="375" bestFit="1" customWidth="1"/>
    <col min="8" max="8" width="15.85546875" style="229" bestFit="1" customWidth="1"/>
    <col min="9" max="9" width="16.85546875" style="229" bestFit="1" customWidth="1"/>
    <col min="10" max="10" width="15.7109375" style="375" customWidth="1"/>
    <col min="11" max="11" width="6.5703125" style="331" customWidth="1"/>
    <col min="12" max="12" width="16.42578125" style="317" customWidth="1"/>
    <col min="13" max="13" width="17.140625" style="221" bestFit="1" customWidth="1"/>
    <col min="14" max="14" width="18.42578125" style="375" bestFit="1" customWidth="1"/>
    <col min="15" max="15" width="8.5703125" style="221" customWidth="1"/>
  </cols>
  <sheetData>
    <row r="1" spans="1:15" x14ac:dyDescent="0.2">
      <c r="A1" s="352"/>
      <c r="B1" s="200" t="s">
        <v>624</v>
      </c>
      <c r="C1" s="201" t="s">
        <v>625</v>
      </c>
      <c r="D1" s="200" t="s">
        <v>626</v>
      </c>
      <c r="E1" s="201" t="s">
        <v>627</v>
      </c>
      <c r="F1" s="200" t="s">
        <v>628</v>
      </c>
      <c r="G1" s="201" t="s">
        <v>629</v>
      </c>
      <c r="H1" s="200" t="s">
        <v>630</v>
      </c>
      <c r="I1" s="201" t="s">
        <v>631</v>
      </c>
      <c r="J1" s="200" t="s">
        <v>632</v>
      </c>
      <c r="K1" s="201" t="s">
        <v>633</v>
      </c>
      <c r="L1" s="200" t="s">
        <v>634</v>
      </c>
      <c r="M1" s="201" t="s">
        <v>635</v>
      </c>
      <c r="N1" s="200" t="s">
        <v>636</v>
      </c>
      <c r="O1" s="201" t="s">
        <v>637</v>
      </c>
    </row>
    <row r="2" spans="1:15" x14ac:dyDescent="0.2">
      <c r="A2" s="349"/>
      <c r="B2" s="350"/>
      <c r="C2" s="350"/>
      <c r="D2" s="350"/>
      <c r="E2" s="351"/>
      <c r="F2" s="351"/>
      <c r="G2" s="1228" t="s">
        <v>638</v>
      </c>
      <c r="H2" s="1229"/>
      <c r="I2" s="1230"/>
      <c r="J2" s="1228" t="s">
        <v>639</v>
      </c>
      <c r="K2" s="1229"/>
      <c r="L2" s="1229"/>
      <c r="M2" s="1230"/>
      <c r="N2" s="334" t="s">
        <v>640</v>
      </c>
      <c r="O2" s="349"/>
    </row>
    <row r="3" spans="1:15" ht="25.5" x14ac:dyDescent="0.2">
      <c r="A3" s="202" t="s">
        <v>369</v>
      </c>
      <c r="B3" s="203" t="s">
        <v>641</v>
      </c>
      <c r="C3" s="204" t="s">
        <v>642</v>
      </c>
      <c r="D3" s="203" t="s">
        <v>643</v>
      </c>
      <c r="E3" s="307" t="s">
        <v>644</v>
      </c>
      <c r="F3" s="308" t="s">
        <v>645</v>
      </c>
      <c r="G3" s="308" t="s">
        <v>224</v>
      </c>
      <c r="H3" s="205" t="s">
        <v>487</v>
      </c>
      <c r="I3" s="205" t="s">
        <v>646</v>
      </c>
      <c r="J3" s="307" t="s">
        <v>224</v>
      </c>
      <c r="K3" s="330" t="s">
        <v>647</v>
      </c>
      <c r="L3" s="310" t="s">
        <v>648</v>
      </c>
      <c r="M3" s="206" t="s">
        <v>336</v>
      </c>
      <c r="N3" s="307" t="s">
        <v>224</v>
      </c>
      <c r="O3" s="206" t="s">
        <v>196</v>
      </c>
    </row>
    <row r="4" spans="1:15" x14ac:dyDescent="0.2">
      <c r="A4" s="207" t="s">
        <v>649</v>
      </c>
      <c r="B4" s="208">
        <v>450</v>
      </c>
      <c r="C4" s="208" t="s">
        <v>650</v>
      </c>
      <c r="D4" s="209" t="s">
        <v>1456</v>
      </c>
      <c r="E4" s="1170">
        <v>6172738.1699999999</v>
      </c>
      <c r="F4" s="315" t="str">
        <f>$G$2</f>
        <v>Traditional OOR</v>
      </c>
      <c r="G4" s="315">
        <f>IF(F4=$G$2,E4,0)</f>
        <v>6172738.1699999999</v>
      </c>
      <c r="H4" s="210">
        <v>0</v>
      </c>
      <c r="I4" s="211">
        <f>G4-H4</f>
        <v>6172738.1699999999</v>
      </c>
      <c r="J4" s="315">
        <f>IF(F4=$J$2,E4,0)</f>
        <v>0</v>
      </c>
      <c r="K4" s="309"/>
      <c r="L4" s="319">
        <v>0</v>
      </c>
      <c r="M4" s="212">
        <f>J4-L4</f>
        <v>0</v>
      </c>
      <c r="N4" s="315">
        <f>IF(F4=$N$2,E4,0)</f>
        <v>0</v>
      </c>
      <c r="O4" s="210">
        <v>1</v>
      </c>
    </row>
    <row r="5" spans="1:15" x14ac:dyDescent="0.2">
      <c r="A5" s="213" t="s">
        <v>651</v>
      </c>
      <c r="B5" s="208">
        <v>450</v>
      </c>
      <c r="C5" s="214" t="s">
        <v>652</v>
      </c>
      <c r="D5" s="209" t="s">
        <v>653</v>
      </c>
      <c r="E5" s="1170">
        <v>10078837.859999999</v>
      </c>
      <c r="F5" s="315" t="str">
        <f>$G$2</f>
        <v>Traditional OOR</v>
      </c>
      <c r="G5" s="315">
        <f>IF(F5=$G$2,E5,0)</f>
        <v>10078837.859999999</v>
      </c>
      <c r="H5" s="210">
        <v>0</v>
      </c>
      <c r="I5" s="211">
        <f>G5-H5</f>
        <v>10078837.859999999</v>
      </c>
      <c r="J5" s="315">
        <f>IF(F5=$J$2,E5,0)</f>
        <v>0</v>
      </c>
      <c r="K5" s="309"/>
      <c r="L5" s="319">
        <v>0</v>
      </c>
      <c r="M5" s="212">
        <f>J5-L5</f>
        <v>0</v>
      </c>
      <c r="N5" s="315">
        <f>IF(F5=$N$2,E5,0)</f>
        <v>0</v>
      </c>
      <c r="O5" s="215">
        <v>1</v>
      </c>
    </row>
    <row r="6" spans="1:15" x14ac:dyDescent="0.2">
      <c r="A6" s="213" t="s">
        <v>654</v>
      </c>
      <c r="B6" s="208">
        <v>450</v>
      </c>
      <c r="C6" s="214" t="s">
        <v>655</v>
      </c>
      <c r="D6" s="209" t="s">
        <v>656</v>
      </c>
      <c r="E6" s="1171">
        <v>0</v>
      </c>
      <c r="F6" s="315" t="str">
        <f>$G$2</f>
        <v>Traditional OOR</v>
      </c>
      <c r="G6" s="315">
        <f>IF(F6=$G$2,E6,0)</f>
        <v>0</v>
      </c>
      <c r="H6" s="210">
        <v>0</v>
      </c>
      <c r="I6" s="211">
        <f>G6-H6</f>
        <v>0</v>
      </c>
      <c r="J6" s="315">
        <f>IF(F6=$J$2,E6,0)</f>
        <v>0</v>
      </c>
      <c r="K6" s="309"/>
      <c r="L6" s="319">
        <v>0</v>
      </c>
      <c r="M6" s="212">
        <f>J6-L6</f>
        <v>0</v>
      </c>
      <c r="N6" s="315">
        <f>IF(F6=$N$2,E6,0)</f>
        <v>0</v>
      </c>
      <c r="O6" s="215">
        <v>1</v>
      </c>
    </row>
    <row r="7" spans="1:15" x14ac:dyDescent="0.2">
      <c r="A7" s="348"/>
      <c r="B7" s="344"/>
      <c r="C7" s="343"/>
      <c r="D7" s="345"/>
      <c r="E7" s="324"/>
      <c r="F7" s="324"/>
      <c r="G7" s="319"/>
      <c r="H7" s="320"/>
      <c r="I7" s="321"/>
      <c r="J7" s="319"/>
      <c r="K7" s="323"/>
      <c r="L7" s="319"/>
      <c r="M7" s="321"/>
      <c r="N7" s="319"/>
      <c r="O7" s="320"/>
    </row>
    <row r="8" spans="1:15" x14ac:dyDescent="0.2">
      <c r="A8" s="348"/>
      <c r="B8" s="344"/>
      <c r="C8" s="343"/>
      <c r="D8" s="345"/>
      <c r="E8" s="324"/>
      <c r="F8" s="324"/>
      <c r="G8" s="319"/>
      <c r="H8" s="320"/>
      <c r="I8" s="321"/>
      <c r="J8" s="319"/>
      <c r="K8" s="323"/>
      <c r="L8" s="319"/>
      <c r="M8" s="321"/>
      <c r="N8" s="319"/>
      <c r="O8" s="320"/>
    </row>
    <row r="9" spans="1:15" x14ac:dyDescent="0.2">
      <c r="A9" s="213">
        <v>2</v>
      </c>
      <c r="B9" s="1209" t="s">
        <v>657</v>
      </c>
      <c r="C9" s="1210"/>
      <c r="D9" s="1211"/>
      <c r="E9" s="312">
        <f>SUM(E4:E8)</f>
        <v>16251576.029999999</v>
      </c>
      <c r="F9" s="337"/>
      <c r="G9" s="312">
        <f>SUM(G4:G8)</f>
        <v>16251576.029999999</v>
      </c>
      <c r="H9" s="201">
        <f>SUM(H4:H8)</f>
        <v>0</v>
      </c>
      <c r="I9" s="328">
        <f>SUM(I4:I8)</f>
        <v>16251576.029999999</v>
      </c>
      <c r="J9" s="312">
        <f>SUM(J4:J8)</f>
        <v>0</v>
      </c>
      <c r="K9" s="337"/>
      <c r="L9" s="312">
        <f>SUM(L4:L8)</f>
        <v>0</v>
      </c>
      <c r="M9" s="312">
        <f>SUM(M4:M8)</f>
        <v>0</v>
      </c>
      <c r="N9" s="312">
        <f>SUM(N4:N8)</f>
        <v>0</v>
      </c>
      <c r="O9" s="215"/>
    </row>
    <row r="10" spans="1:15" ht="12.75" customHeight="1" x14ac:dyDescent="0.2">
      <c r="A10" s="213">
        <v>3</v>
      </c>
      <c r="B10" s="1231" t="s">
        <v>1496</v>
      </c>
      <c r="C10" s="1232"/>
      <c r="D10" s="1233"/>
      <c r="E10" s="1172">
        <v>16251576</v>
      </c>
      <c r="F10" s="327"/>
      <c r="G10" s="313"/>
      <c r="H10" s="327"/>
      <c r="I10" s="327"/>
      <c r="J10" s="313"/>
      <c r="K10" s="327"/>
      <c r="L10" s="313"/>
      <c r="M10" s="313"/>
      <c r="N10" s="313"/>
      <c r="O10" s="199"/>
    </row>
    <row r="11" spans="1:15" x14ac:dyDescent="0.2">
      <c r="A11" s="216"/>
      <c r="B11" s="217"/>
      <c r="C11" s="218"/>
      <c r="D11" s="219"/>
      <c r="E11" s="313"/>
      <c r="F11" s="313"/>
      <c r="G11" s="313"/>
      <c r="H11" s="327"/>
      <c r="I11" s="327"/>
      <c r="J11" s="313"/>
      <c r="K11" s="327"/>
      <c r="L11" s="313"/>
      <c r="M11" s="313"/>
      <c r="N11" s="313"/>
      <c r="O11" s="199"/>
    </row>
    <row r="12" spans="1:15" x14ac:dyDescent="0.2">
      <c r="A12" s="213" t="s">
        <v>658</v>
      </c>
      <c r="B12" s="208">
        <v>451</v>
      </c>
      <c r="C12" s="214" t="s">
        <v>659</v>
      </c>
      <c r="D12" s="209" t="s">
        <v>660</v>
      </c>
      <c r="E12" s="1170">
        <v>246254.68</v>
      </c>
      <c r="F12" s="315" t="str">
        <f t="shared" ref="F12:F18" si="0">$G$2</f>
        <v>Traditional OOR</v>
      </c>
      <c r="G12" s="315">
        <f t="shared" ref="G12:G20" si="1">IF(F12=$G$2,E12,0)</f>
        <v>246254.68</v>
      </c>
      <c r="H12" s="210">
        <v>0</v>
      </c>
      <c r="I12" s="211">
        <f t="shared" ref="I12:I20" si="2">G12-H12</f>
        <v>246254.68</v>
      </c>
      <c r="J12" s="315">
        <f t="shared" ref="J12:J20" si="3">IF(F12=$J$2,E12,0)</f>
        <v>0</v>
      </c>
      <c r="K12" s="315"/>
      <c r="L12" s="1109">
        <v>0</v>
      </c>
      <c r="M12" s="212">
        <f t="shared" ref="M12:M18" si="4">J12-L12</f>
        <v>0</v>
      </c>
      <c r="N12" s="315">
        <f t="shared" ref="N12:N20" si="5">IF(F12=$N$2,E12,0)</f>
        <v>0</v>
      </c>
      <c r="O12" s="215">
        <v>1</v>
      </c>
    </row>
    <row r="13" spans="1:15" x14ac:dyDescent="0.2">
      <c r="A13" s="213" t="s">
        <v>661</v>
      </c>
      <c r="B13" s="208">
        <v>451</v>
      </c>
      <c r="C13" s="214" t="s">
        <v>662</v>
      </c>
      <c r="D13" s="209" t="s">
        <v>663</v>
      </c>
      <c r="E13" s="1170">
        <v>1371961.65</v>
      </c>
      <c r="F13" s="315" t="str">
        <f t="shared" si="0"/>
        <v>Traditional OOR</v>
      </c>
      <c r="G13" s="315">
        <f t="shared" si="1"/>
        <v>1371961.65</v>
      </c>
      <c r="H13" s="210">
        <v>0</v>
      </c>
      <c r="I13" s="211">
        <f t="shared" si="2"/>
        <v>1371961.65</v>
      </c>
      <c r="J13" s="315">
        <f t="shared" si="3"/>
        <v>0</v>
      </c>
      <c r="K13" s="315"/>
      <c r="L13" s="1109">
        <v>0</v>
      </c>
      <c r="M13" s="212">
        <f t="shared" si="4"/>
        <v>0</v>
      </c>
      <c r="N13" s="315">
        <f t="shared" si="5"/>
        <v>0</v>
      </c>
      <c r="O13" s="215">
        <v>1</v>
      </c>
    </row>
    <row r="14" spans="1:15" x14ac:dyDescent="0.2">
      <c r="A14" s="213" t="s">
        <v>664</v>
      </c>
      <c r="B14" s="208">
        <v>451</v>
      </c>
      <c r="C14" s="214" t="s">
        <v>665</v>
      </c>
      <c r="D14" s="209" t="s">
        <v>666</v>
      </c>
      <c r="E14" s="1170">
        <v>111992762.33</v>
      </c>
      <c r="F14" s="315" t="str">
        <f t="shared" si="0"/>
        <v>Traditional OOR</v>
      </c>
      <c r="G14" s="315">
        <f t="shared" si="1"/>
        <v>111992762.33</v>
      </c>
      <c r="H14" s="210">
        <v>0</v>
      </c>
      <c r="I14" s="211">
        <f t="shared" si="2"/>
        <v>111992762.33</v>
      </c>
      <c r="J14" s="315">
        <f t="shared" si="3"/>
        <v>0</v>
      </c>
      <c r="K14" s="315"/>
      <c r="L14" s="1109">
        <v>0</v>
      </c>
      <c r="M14" s="212">
        <f t="shared" si="4"/>
        <v>0</v>
      </c>
      <c r="N14" s="315">
        <f t="shared" si="5"/>
        <v>0</v>
      </c>
      <c r="O14" s="215">
        <v>1</v>
      </c>
    </row>
    <row r="15" spans="1:15" x14ac:dyDescent="0.2">
      <c r="A15" s="213" t="s">
        <v>667</v>
      </c>
      <c r="B15" s="208">
        <v>451</v>
      </c>
      <c r="C15" s="214" t="s">
        <v>668</v>
      </c>
      <c r="D15" s="209" t="s">
        <v>669</v>
      </c>
      <c r="E15" s="1170">
        <v>1441759.44</v>
      </c>
      <c r="F15" s="315" t="str">
        <f t="shared" si="0"/>
        <v>Traditional OOR</v>
      </c>
      <c r="G15" s="315">
        <f t="shared" si="1"/>
        <v>1441759.44</v>
      </c>
      <c r="H15" s="210">
        <v>0</v>
      </c>
      <c r="I15" s="211">
        <f t="shared" si="2"/>
        <v>1441759.44</v>
      </c>
      <c r="J15" s="315">
        <f t="shared" si="3"/>
        <v>0</v>
      </c>
      <c r="K15" s="315"/>
      <c r="L15" s="1109">
        <v>0</v>
      </c>
      <c r="M15" s="212">
        <f t="shared" si="4"/>
        <v>0</v>
      </c>
      <c r="N15" s="315">
        <f t="shared" si="5"/>
        <v>0</v>
      </c>
      <c r="O15" s="215">
        <v>1</v>
      </c>
    </row>
    <row r="16" spans="1:15" x14ac:dyDescent="0.2">
      <c r="A16" s="213" t="s">
        <v>670</v>
      </c>
      <c r="B16" s="208">
        <v>451</v>
      </c>
      <c r="C16" s="214" t="s">
        <v>671</v>
      </c>
      <c r="D16" s="209" t="s">
        <v>672</v>
      </c>
      <c r="E16" s="1170">
        <v>6132936.7800000003</v>
      </c>
      <c r="F16" s="315" t="str">
        <f t="shared" si="0"/>
        <v>Traditional OOR</v>
      </c>
      <c r="G16" s="315">
        <f t="shared" si="1"/>
        <v>6132936.7800000003</v>
      </c>
      <c r="H16" s="210">
        <v>0</v>
      </c>
      <c r="I16" s="211">
        <f t="shared" si="2"/>
        <v>6132936.7800000003</v>
      </c>
      <c r="J16" s="315">
        <f t="shared" si="3"/>
        <v>0</v>
      </c>
      <c r="K16" s="315"/>
      <c r="L16" s="1109">
        <v>0</v>
      </c>
      <c r="M16" s="212">
        <f t="shared" si="4"/>
        <v>0</v>
      </c>
      <c r="N16" s="315">
        <f t="shared" si="5"/>
        <v>0</v>
      </c>
      <c r="O16" s="215">
        <v>1</v>
      </c>
    </row>
    <row r="17" spans="1:15" x14ac:dyDescent="0.2">
      <c r="A17" s="213" t="s">
        <v>673</v>
      </c>
      <c r="B17" s="208">
        <v>451</v>
      </c>
      <c r="C17" s="214" t="s">
        <v>674</v>
      </c>
      <c r="D17" s="209" t="s">
        <v>675</v>
      </c>
      <c r="E17" s="1170">
        <v>15837564.58</v>
      </c>
      <c r="F17" s="315" t="str">
        <f t="shared" si="0"/>
        <v>Traditional OOR</v>
      </c>
      <c r="G17" s="315">
        <f t="shared" si="1"/>
        <v>15837564.58</v>
      </c>
      <c r="H17" s="210">
        <v>0</v>
      </c>
      <c r="I17" s="211">
        <f t="shared" si="2"/>
        <v>15837564.58</v>
      </c>
      <c r="J17" s="315">
        <f t="shared" si="3"/>
        <v>0</v>
      </c>
      <c r="K17" s="315"/>
      <c r="L17" s="1109">
        <v>0</v>
      </c>
      <c r="M17" s="212">
        <f t="shared" si="4"/>
        <v>0</v>
      </c>
      <c r="N17" s="315">
        <f t="shared" si="5"/>
        <v>0</v>
      </c>
      <c r="O17" s="215">
        <v>1</v>
      </c>
    </row>
    <row r="18" spans="1:15" x14ac:dyDescent="0.2">
      <c r="A18" s="213" t="s">
        <v>676</v>
      </c>
      <c r="B18" s="208">
        <v>451</v>
      </c>
      <c r="C18" s="214" t="s">
        <v>677</v>
      </c>
      <c r="D18" s="209" t="s">
        <v>678</v>
      </c>
      <c r="E18" s="1170">
        <v>6882259.4500000002</v>
      </c>
      <c r="F18" s="315" t="str">
        <f t="shared" si="0"/>
        <v>Traditional OOR</v>
      </c>
      <c r="G18" s="315">
        <f t="shared" si="1"/>
        <v>6882259.4500000002</v>
      </c>
      <c r="H18" s="210">
        <v>0</v>
      </c>
      <c r="I18" s="211">
        <f t="shared" si="2"/>
        <v>6882259.4500000002</v>
      </c>
      <c r="J18" s="315">
        <f t="shared" si="3"/>
        <v>0</v>
      </c>
      <c r="K18" s="315"/>
      <c r="L18" s="1109">
        <v>0</v>
      </c>
      <c r="M18" s="212">
        <f t="shared" si="4"/>
        <v>0</v>
      </c>
      <c r="N18" s="315">
        <f t="shared" si="5"/>
        <v>0</v>
      </c>
      <c r="O18" s="215">
        <v>1</v>
      </c>
    </row>
    <row r="19" spans="1:15" x14ac:dyDescent="0.2">
      <c r="A19" s="213" t="s">
        <v>679</v>
      </c>
      <c r="B19" s="208">
        <v>451</v>
      </c>
      <c r="C19" s="214" t="s">
        <v>680</v>
      </c>
      <c r="D19" s="209" t="s">
        <v>681</v>
      </c>
      <c r="E19" s="1170">
        <v>6066240.0099999998</v>
      </c>
      <c r="F19" s="315" t="str">
        <f>$J$2</f>
        <v>GRSM</v>
      </c>
      <c r="G19" s="315">
        <f t="shared" si="1"/>
        <v>0</v>
      </c>
      <c r="H19" s="210">
        <v>0</v>
      </c>
      <c r="I19" s="211">
        <f t="shared" si="2"/>
        <v>0</v>
      </c>
      <c r="J19" s="315">
        <f t="shared" si="3"/>
        <v>6066240.0099999998</v>
      </c>
      <c r="K19" s="353" t="s">
        <v>682</v>
      </c>
      <c r="L19" s="1109">
        <v>1041798.05</v>
      </c>
      <c r="M19" s="212">
        <f>J19-L19</f>
        <v>5024441.96</v>
      </c>
      <c r="N19" s="315">
        <f t="shared" si="5"/>
        <v>0</v>
      </c>
      <c r="O19" s="215">
        <v>2</v>
      </c>
    </row>
    <row r="20" spans="1:15" x14ac:dyDescent="0.2">
      <c r="A20" s="213" t="s">
        <v>683</v>
      </c>
      <c r="B20" s="208">
        <v>451</v>
      </c>
      <c r="C20" s="214" t="s">
        <v>684</v>
      </c>
      <c r="D20" s="209" t="s">
        <v>685</v>
      </c>
      <c r="E20" s="1170">
        <v>230138.96</v>
      </c>
      <c r="F20" s="315" t="str">
        <f>$N$2</f>
        <v>Other Ratemaking</v>
      </c>
      <c r="G20" s="315">
        <f t="shared" si="1"/>
        <v>0</v>
      </c>
      <c r="H20" s="210">
        <v>0</v>
      </c>
      <c r="I20" s="211">
        <f t="shared" si="2"/>
        <v>0</v>
      </c>
      <c r="J20" s="315">
        <f t="shared" si="3"/>
        <v>0</v>
      </c>
      <c r="K20" s="315"/>
      <c r="L20" s="1109">
        <v>0</v>
      </c>
      <c r="M20" s="212">
        <f>J20-L20</f>
        <v>0</v>
      </c>
      <c r="N20" s="315">
        <f t="shared" si="5"/>
        <v>230138.96</v>
      </c>
      <c r="O20" s="215">
        <v>6</v>
      </c>
    </row>
    <row r="21" spans="1:15" x14ac:dyDescent="0.2">
      <c r="A21" s="348"/>
      <c r="B21" s="344"/>
      <c r="C21" s="343"/>
      <c r="D21" s="345"/>
      <c r="E21" s="319"/>
      <c r="F21" s="319"/>
      <c r="G21" s="323"/>
      <c r="H21" s="320"/>
      <c r="I21" s="321"/>
      <c r="J21" s="319"/>
      <c r="K21" s="319"/>
      <c r="L21" s="321"/>
      <c r="M21" s="321"/>
      <c r="N21" s="319"/>
      <c r="O21" s="320"/>
    </row>
    <row r="22" spans="1:15" x14ac:dyDescent="0.2">
      <c r="A22" s="348"/>
      <c r="B22" s="344"/>
      <c r="C22" s="343"/>
      <c r="D22" s="345"/>
      <c r="E22" s="319"/>
      <c r="F22" s="319"/>
      <c r="G22" s="323"/>
      <c r="H22" s="320"/>
      <c r="I22" s="321"/>
      <c r="J22" s="319"/>
      <c r="K22" s="319"/>
      <c r="L22" s="321"/>
      <c r="M22" s="321"/>
      <c r="N22" s="319"/>
      <c r="O22" s="320"/>
    </row>
    <row r="23" spans="1:15" x14ac:dyDescent="0.2">
      <c r="A23" s="213">
        <v>5</v>
      </c>
      <c r="B23" s="1209" t="s">
        <v>686</v>
      </c>
      <c r="C23" s="1210"/>
      <c r="D23" s="1211"/>
      <c r="E23" s="312">
        <f>SUM(E12:E22)</f>
        <v>150201877.88</v>
      </c>
      <c r="F23" s="337"/>
      <c r="G23" s="312">
        <f>SUM(G12:G22)</f>
        <v>143905498.91</v>
      </c>
      <c r="H23" s="201">
        <f>SUM(H12:H22)</f>
        <v>0</v>
      </c>
      <c r="I23" s="328">
        <f>SUM(I12:I22)</f>
        <v>143905498.91</v>
      </c>
      <c r="J23" s="312">
        <f>SUM(J12:J22)</f>
        <v>6066240.0099999998</v>
      </c>
      <c r="K23" s="337"/>
      <c r="L23" s="312">
        <f>SUM(L12:L22)</f>
        <v>1041798.05</v>
      </c>
      <c r="M23" s="312">
        <f>SUM(M12:M22)</f>
        <v>5024441.96</v>
      </c>
      <c r="N23" s="312">
        <f>SUM(N12:N22)</f>
        <v>230138.96</v>
      </c>
      <c r="O23" s="215"/>
    </row>
    <row r="24" spans="1:15" ht="25.5" customHeight="1" x14ac:dyDescent="0.2">
      <c r="A24" s="213">
        <v>6</v>
      </c>
      <c r="B24" s="1231" t="s">
        <v>1497</v>
      </c>
      <c r="C24" s="1232"/>
      <c r="D24" s="1233"/>
      <c r="E24" s="1172">
        <v>150201878</v>
      </c>
      <c r="F24" s="327"/>
      <c r="G24" s="313"/>
      <c r="H24" s="220"/>
      <c r="I24" s="220"/>
      <c r="J24" s="313"/>
      <c r="K24" s="327"/>
      <c r="L24" s="313"/>
      <c r="M24" s="313"/>
      <c r="N24" s="313"/>
    </row>
    <row r="25" spans="1:15" x14ac:dyDescent="0.2">
      <c r="A25" s="222"/>
      <c r="B25" s="217"/>
      <c r="C25" s="218"/>
      <c r="D25" s="219"/>
      <c r="E25" s="313"/>
      <c r="F25" s="313"/>
      <c r="G25" s="313"/>
      <c r="H25" s="220"/>
      <c r="I25" s="220"/>
      <c r="J25" s="313"/>
      <c r="K25" s="327"/>
      <c r="L25" s="313"/>
      <c r="M25" s="313"/>
      <c r="N25" s="313"/>
    </row>
    <row r="26" spans="1:15" x14ac:dyDescent="0.2">
      <c r="A26" s="213" t="s">
        <v>687</v>
      </c>
      <c r="B26" s="208">
        <v>453</v>
      </c>
      <c r="C26" s="214" t="s">
        <v>690</v>
      </c>
      <c r="D26" s="209" t="s">
        <v>691</v>
      </c>
      <c r="E26" s="1170">
        <v>147100</v>
      </c>
      <c r="F26" s="315" t="str">
        <f>$G$2</f>
        <v>Traditional OOR</v>
      </c>
      <c r="G26" s="315">
        <f>IF(F26=$G$2,E26,0)</f>
        <v>147100</v>
      </c>
      <c r="H26" s="210">
        <v>0</v>
      </c>
      <c r="I26" s="211">
        <f>G26-H26</f>
        <v>147100</v>
      </c>
      <c r="J26" s="315">
        <f>IF(F26=$J$2,E26,0)</f>
        <v>0</v>
      </c>
      <c r="K26" s="315"/>
      <c r="L26" s="321">
        <v>0</v>
      </c>
      <c r="M26" s="212">
        <f>J26-L26</f>
        <v>0</v>
      </c>
      <c r="N26" s="315">
        <f>IF(F26=$N$2,E26,0)</f>
        <v>0</v>
      </c>
      <c r="O26" s="215">
        <v>3</v>
      </c>
    </row>
    <row r="27" spans="1:15" x14ac:dyDescent="0.2">
      <c r="A27" s="213" t="s">
        <v>688</v>
      </c>
      <c r="B27" s="208">
        <v>453</v>
      </c>
      <c r="C27" s="214" t="s">
        <v>692</v>
      </c>
      <c r="D27" s="209" t="s">
        <v>693</v>
      </c>
      <c r="E27" s="1170">
        <v>126707</v>
      </c>
      <c r="F27" s="315" t="str">
        <f>$G$2</f>
        <v>Traditional OOR</v>
      </c>
      <c r="G27" s="315">
        <f>IF(F27=$G$2,E27,0)</f>
        <v>126707</v>
      </c>
      <c r="H27" s="210">
        <v>0</v>
      </c>
      <c r="I27" s="211">
        <f>G27-H27</f>
        <v>126707</v>
      </c>
      <c r="J27" s="315">
        <f>IF(F27=$J$2,E27,0)</f>
        <v>0</v>
      </c>
      <c r="K27" s="315"/>
      <c r="L27" s="321">
        <v>0</v>
      </c>
      <c r="M27" s="212">
        <f>J27-L27</f>
        <v>0</v>
      </c>
      <c r="N27" s="315">
        <f>IF(F27=$N$2,E27,0)</f>
        <v>0</v>
      </c>
      <c r="O27" s="215">
        <v>3</v>
      </c>
    </row>
    <row r="28" spans="1:15" x14ac:dyDescent="0.2">
      <c r="A28" s="213" t="s">
        <v>689</v>
      </c>
      <c r="B28" s="208">
        <v>453</v>
      </c>
      <c r="C28" s="213" t="s">
        <v>1690</v>
      </c>
      <c r="D28" s="209" t="s">
        <v>1689</v>
      </c>
      <c r="E28" s="1170">
        <v>-20642.310000000001</v>
      </c>
      <c r="F28" s="315" t="str">
        <f>$G$2</f>
        <v>Traditional OOR</v>
      </c>
      <c r="G28" s="315">
        <f>IF(F28=$G$2,E28,0)</f>
        <v>-20642.310000000001</v>
      </c>
      <c r="H28" s="210">
        <v>0</v>
      </c>
      <c r="I28" s="211">
        <f>G28-H28</f>
        <v>-20642.310000000001</v>
      </c>
      <c r="J28" s="315">
        <f>IF(F28=$J$2,E28,0)</f>
        <v>0</v>
      </c>
      <c r="K28" s="315"/>
      <c r="L28" s="321">
        <v>0</v>
      </c>
      <c r="M28" s="212">
        <f>J28-L28</f>
        <v>0</v>
      </c>
      <c r="N28" s="315">
        <f>IF(F28=$N$2,E28,0)</f>
        <v>0</v>
      </c>
      <c r="O28" s="215">
        <v>3</v>
      </c>
    </row>
    <row r="29" spans="1:15" x14ac:dyDescent="0.2">
      <c r="A29" s="348"/>
      <c r="B29" s="344"/>
      <c r="C29" s="343"/>
      <c r="D29" s="345"/>
      <c r="E29" s="319"/>
      <c r="F29" s="319"/>
      <c r="G29" s="323"/>
      <c r="H29" s="320"/>
      <c r="I29" s="321"/>
      <c r="J29" s="319"/>
      <c r="K29" s="319"/>
      <c r="L29" s="321"/>
      <c r="M29" s="321"/>
      <c r="N29" s="319"/>
      <c r="O29" s="320"/>
    </row>
    <row r="30" spans="1:15" x14ac:dyDescent="0.2">
      <c r="A30" s="348"/>
      <c r="B30" s="344"/>
      <c r="C30" s="343"/>
      <c r="D30" s="345"/>
      <c r="E30" s="319"/>
      <c r="F30" s="319"/>
      <c r="G30" s="323"/>
      <c r="H30" s="320"/>
      <c r="I30" s="321"/>
      <c r="J30" s="319"/>
      <c r="K30" s="319"/>
      <c r="L30" s="321"/>
      <c r="M30" s="321"/>
      <c r="N30" s="319"/>
      <c r="O30" s="320"/>
    </row>
    <row r="31" spans="1:15" x14ac:dyDescent="0.2">
      <c r="A31" s="213">
        <v>8</v>
      </c>
      <c r="B31" s="1209" t="s">
        <v>694</v>
      </c>
      <c r="C31" s="1210"/>
      <c r="D31" s="1211"/>
      <c r="E31" s="328">
        <f>SUM(E26:E30)</f>
        <v>253164.69</v>
      </c>
      <c r="F31" s="337"/>
      <c r="G31" s="328">
        <f>SUM(G26:G30)</f>
        <v>253164.69</v>
      </c>
      <c r="H31" s="201">
        <f>SUM(H26:H30)</f>
        <v>0</v>
      </c>
      <c r="I31" s="328">
        <f>SUM(I26:I30)</f>
        <v>253164.69</v>
      </c>
      <c r="J31" s="328">
        <f>SUM(J26:J30)</f>
        <v>0</v>
      </c>
      <c r="K31" s="337"/>
      <c r="L31" s="328">
        <f>SUM(L26:L30)</f>
        <v>0</v>
      </c>
      <c r="M31" s="328">
        <f>SUM(M26:M30)</f>
        <v>0</v>
      </c>
      <c r="N31" s="328">
        <f>SUM(N26:N30)</f>
        <v>0</v>
      </c>
      <c r="O31" s="201"/>
    </row>
    <row r="32" spans="1:15" ht="25.5" customHeight="1" x14ac:dyDescent="0.2">
      <c r="A32" s="213">
        <v>9</v>
      </c>
      <c r="B32" s="1234" t="s">
        <v>1498</v>
      </c>
      <c r="C32" s="1225"/>
      <c r="D32" s="1225"/>
      <c r="E32" s="1173">
        <v>253165</v>
      </c>
      <c r="F32" s="327"/>
      <c r="G32" s="313"/>
      <c r="H32" s="220"/>
      <c r="I32" s="224"/>
      <c r="J32" s="313"/>
      <c r="K32" s="327"/>
      <c r="L32" s="313"/>
      <c r="M32" s="313"/>
      <c r="N32" s="313"/>
      <c r="O32" s="199"/>
    </row>
    <row r="33" spans="1:15" x14ac:dyDescent="0.2">
      <c r="A33" s="216"/>
      <c r="B33" s="217"/>
      <c r="C33" s="218"/>
      <c r="D33" s="219"/>
      <c r="E33" s="313"/>
      <c r="F33" s="313"/>
      <c r="G33" s="313"/>
      <c r="H33" s="220"/>
      <c r="I33" s="224"/>
      <c r="J33" s="313"/>
      <c r="K33" s="327"/>
      <c r="L33" s="313"/>
      <c r="M33" s="313"/>
      <c r="N33" s="313"/>
      <c r="O33" s="199"/>
    </row>
    <row r="34" spans="1:15" x14ac:dyDescent="0.2">
      <c r="A34" s="213" t="s">
        <v>695</v>
      </c>
      <c r="B34" s="208">
        <v>454</v>
      </c>
      <c r="C34" s="209" t="s">
        <v>699</v>
      </c>
      <c r="D34" s="209" t="s">
        <v>700</v>
      </c>
      <c r="E34" s="1170">
        <v>507136.18</v>
      </c>
      <c r="F34" s="315" t="str">
        <f t="shared" ref="F34:F39" si="6">$G$2</f>
        <v>Traditional OOR</v>
      </c>
      <c r="G34" s="315">
        <f>IF(F34=$G$2,E34,0)</f>
        <v>507136.18</v>
      </c>
      <c r="H34" s="211">
        <v>0</v>
      </c>
      <c r="I34" s="211">
        <f t="shared" ref="I34:I44" si="7">G34-H34</f>
        <v>507136.18</v>
      </c>
      <c r="J34" s="315">
        <f t="shared" ref="J34:J56" si="8">IF(F34=$J$2,E34,0)</f>
        <v>0</v>
      </c>
      <c r="K34" s="315"/>
      <c r="L34" s="1109"/>
      <c r="M34" s="211">
        <f t="shared" ref="M34:M39" si="9">J34-L34</f>
        <v>0</v>
      </c>
      <c r="N34" s="315">
        <f t="shared" ref="N34:N56" si="10">IF(F34=$N$2,E34,0)</f>
        <v>0</v>
      </c>
      <c r="O34" s="210">
        <v>4</v>
      </c>
    </row>
    <row r="35" spans="1:15" x14ac:dyDescent="0.2">
      <c r="A35" s="213" t="s">
        <v>696</v>
      </c>
      <c r="B35" s="208">
        <v>454</v>
      </c>
      <c r="C35" s="214" t="s">
        <v>702</v>
      </c>
      <c r="D35" s="209" t="s">
        <v>703</v>
      </c>
      <c r="E35" s="1170">
        <v>2491092.58</v>
      </c>
      <c r="F35" s="315" t="str">
        <f t="shared" si="6"/>
        <v>Traditional OOR</v>
      </c>
      <c r="G35" s="315">
        <f t="shared" ref="G35:G56" si="11">IF(F35=$G$2,E35,0)</f>
        <v>2491092.58</v>
      </c>
      <c r="H35" s="211">
        <v>0</v>
      </c>
      <c r="I35" s="211">
        <f t="shared" si="7"/>
        <v>2491092.58</v>
      </c>
      <c r="J35" s="315">
        <f t="shared" si="8"/>
        <v>0</v>
      </c>
      <c r="K35" s="315"/>
      <c r="L35" s="1109"/>
      <c r="M35" s="212">
        <f t="shared" si="9"/>
        <v>0</v>
      </c>
      <c r="N35" s="315">
        <f t="shared" si="10"/>
        <v>0</v>
      </c>
      <c r="O35" s="215">
        <v>4</v>
      </c>
    </row>
    <row r="36" spans="1:15" x14ac:dyDescent="0.2">
      <c r="A36" s="213" t="s">
        <v>697</v>
      </c>
      <c r="B36" s="208">
        <v>454</v>
      </c>
      <c r="C36" s="214" t="s">
        <v>705</v>
      </c>
      <c r="D36" s="209" t="s">
        <v>706</v>
      </c>
      <c r="E36" s="1170">
        <v>682960</v>
      </c>
      <c r="F36" s="315" t="str">
        <f t="shared" si="6"/>
        <v>Traditional OOR</v>
      </c>
      <c r="G36" s="315">
        <f t="shared" si="11"/>
        <v>682960</v>
      </c>
      <c r="H36" s="211">
        <v>0</v>
      </c>
      <c r="I36" s="211">
        <f t="shared" si="7"/>
        <v>682960</v>
      </c>
      <c r="J36" s="315">
        <f t="shared" si="8"/>
        <v>0</v>
      </c>
      <c r="K36" s="315"/>
      <c r="L36" s="1109"/>
      <c r="M36" s="212">
        <f t="shared" si="9"/>
        <v>0</v>
      </c>
      <c r="N36" s="315">
        <f t="shared" si="10"/>
        <v>0</v>
      </c>
      <c r="O36" s="215">
        <v>4</v>
      </c>
    </row>
    <row r="37" spans="1:15" x14ac:dyDescent="0.2">
      <c r="A37" s="213" t="s">
        <v>698</v>
      </c>
      <c r="B37" s="208">
        <v>454</v>
      </c>
      <c r="C37" s="214" t="s">
        <v>708</v>
      </c>
      <c r="D37" s="209" t="s">
        <v>709</v>
      </c>
      <c r="E37" s="1170">
        <v>0</v>
      </c>
      <c r="F37" s="315" t="str">
        <f t="shared" si="6"/>
        <v>Traditional OOR</v>
      </c>
      <c r="G37" s="315">
        <f t="shared" si="11"/>
        <v>0</v>
      </c>
      <c r="H37" s="211">
        <v>0</v>
      </c>
      <c r="I37" s="211">
        <f t="shared" si="7"/>
        <v>0</v>
      </c>
      <c r="J37" s="315">
        <f t="shared" si="8"/>
        <v>0</v>
      </c>
      <c r="K37" s="315"/>
      <c r="L37" s="1109"/>
      <c r="M37" s="212">
        <f t="shared" si="9"/>
        <v>0</v>
      </c>
      <c r="N37" s="315">
        <f t="shared" si="10"/>
        <v>0</v>
      </c>
      <c r="O37" s="215">
        <v>4</v>
      </c>
    </row>
    <row r="38" spans="1:15" x14ac:dyDescent="0.2">
      <c r="A38" s="213" t="s">
        <v>701</v>
      </c>
      <c r="B38" s="208">
        <v>454</v>
      </c>
      <c r="C38" s="214" t="s">
        <v>711</v>
      </c>
      <c r="D38" s="209" t="s">
        <v>712</v>
      </c>
      <c r="E38" s="1170">
        <v>6657</v>
      </c>
      <c r="F38" s="315" t="str">
        <f t="shared" si="6"/>
        <v>Traditional OOR</v>
      </c>
      <c r="G38" s="315">
        <f t="shared" si="11"/>
        <v>6657</v>
      </c>
      <c r="H38" s="211">
        <v>0</v>
      </c>
      <c r="I38" s="211">
        <f t="shared" si="7"/>
        <v>6657</v>
      </c>
      <c r="J38" s="315">
        <f t="shared" si="8"/>
        <v>0</v>
      </c>
      <c r="K38" s="315"/>
      <c r="L38" s="1109"/>
      <c r="M38" s="212">
        <f t="shared" si="9"/>
        <v>0</v>
      </c>
      <c r="N38" s="315">
        <f t="shared" si="10"/>
        <v>0</v>
      </c>
      <c r="O38" s="215">
        <v>4</v>
      </c>
    </row>
    <row r="39" spans="1:15" x14ac:dyDescent="0.2">
      <c r="A39" s="213" t="s">
        <v>704</v>
      </c>
      <c r="B39" s="208">
        <v>454</v>
      </c>
      <c r="C39" s="225">
        <v>4184120</v>
      </c>
      <c r="D39" s="209" t="s">
        <v>1687</v>
      </c>
      <c r="E39" s="1170">
        <v>0</v>
      </c>
      <c r="F39" s="315" t="str">
        <f t="shared" si="6"/>
        <v>Traditional OOR</v>
      </c>
      <c r="G39" s="315">
        <f>IF(F39=$G$2,E39,0)</f>
        <v>0</v>
      </c>
      <c r="H39" s="211">
        <v>0</v>
      </c>
      <c r="I39" s="211">
        <f>G39-H39</f>
        <v>0</v>
      </c>
      <c r="J39" s="315">
        <f t="shared" si="8"/>
        <v>0</v>
      </c>
      <c r="K39" s="315"/>
      <c r="L39" s="1109"/>
      <c r="M39" s="212">
        <f t="shared" si="9"/>
        <v>0</v>
      </c>
      <c r="N39" s="315">
        <f t="shared" si="10"/>
        <v>0</v>
      </c>
      <c r="O39" s="215">
        <v>4</v>
      </c>
    </row>
    <row r="40" spans="1:15" x14ac:dyDescent="0.2">
      <c r="A40" s="213" t="s">
        <v>707</v>
      </c>
      <c r="B40" s="208">
        <v>454</v>
      </c>
      <c r="C40" s="214" t="s">
        <v>714</v>
      </c>
      <c r="D40" s="209" t="s">
        <v>715</v>
      </c>
      <c r="E40" s="1170">
        <v>110333.1</v>
      </c>
      <c r="F40" s="315" t="str">
        <f>$J$2</f>
        <v>GRSM</v>
      </c>
      <c r="G40" s="315">
        <f t="shared" si="11"/>
        <v>0</v>
      </c>
      <c r="H40" s="211">
        <v>0</v>
      </c>
      <c r="I40" s="211">
        <f t="shared" si="7"/>
        <v>0</v>
      </c>
      <c r="J40" s="315">
        <f t="shared" si="8"/>
        <v>110333.1</v>
      </c>
      <c r="K40" s="353" t="s">
        <v>682</v>
      </c>
      <c r="L40" s="1175">
        <v>20760.91</v>
      </c>
      <c r="M40" s="212">
        <f>J40-L40</f>
        <v>89572.19</v>
      </c>
      <c r="N40" s="315">
        <f t="shared" si="10"/>
        <v>0</v>
      </c>
      <c r="O40" s="215">
        <v>2</v>
      </c>
    </row>
    <row r="41" spans="1:15" x14ac:dyDescent="0.2">
      <c r="A41" s="213" t="s">
        <v>710</v>
      </c>
      <c r="B41" s="208">
        <v>454</v>
      </c>
      <c r="C41" s="214" t="s">
        <v>717</v>
      </c>
      <c r="D41" s="209" t="s">
        <v>718</v>
      </c>
      <c r="E41" s="1170">
        <v>320</v>
      </c>
      <c r="F41" s="315" t="str">
        <f>$J$2</f>
        <v>GRSM</v>
      </c>
      <c r="G41" s="315">
        <f t="shared" si="11"/>
        <v>0</v>
      </c>
      <c r="H41" s="211">
        <v>0</v>
      </c>
      <c r="I41" s="211">
        <f t="shared" si="7"/>
        <v>0</v>
      </c>
      <c r="J41" s="315">
        <f t="shared" si="8"/>
        <v>320</v>
      </c>
      <c r="K41" s="353" t="s">
        <v>682</v>
      </c>
      <c r="L41" s="1175">
        <v>0</v>
      </c>
      <c r="M41" s="212">
        <f t="shared" ref="M41:M56" si="12">J41-L41</f>
        <v>320</v>
      </c>
      <c r="N41" s="315">
        <f t="shared" si="10"/>
        <v>0</v>
      </c>
      <c r="O41" s="215">
        <v>2</v>
      </c>
    </row>
    <row r="42" spans="1:15" x14ac:dyDescent="0.2">
      <c r="A42" s="213" t="s">
        <v>713</v>
      </c>
      <c r="B42" s="208">
        <v>454</v>
      </c>
      <c r="C42" s="214" t="s">
        <v>720</v>
      </c>
      <c r="D42" s="209" t="s">
        <v>721</v>
      </c>
      <c r="E42" s="1170">
        <v>2199</v>
      </c>
      <c r="F42" s="315" t="str">
        <f>$J$2</f>
        <v>GRSM</v>
      </c>
      <c r="G42" s="315">
        <f t="shared" si="11"/>
        <v>0</v>
      </c>
      <c r="H42" s="211">
        <v>0</v>
      </c>
      <c r="I42" s="211">
        <f t="shared" si="7"/>
        <v>0</v>
      </c>
      <c r="J42" s="315">
        <f t="shared" si="8"/>
        <v>2199</v>
      </c>
      <c r="K42" s="353" t="s">
        <v>682</v>
      </c>
      <c r="L42" s="1175">
        <v>267.62</v>
      </c>
      <c r="M42" s="212">
        <f t="shared" si="12"/>
        <v>1931.38</v>
      </c>
      <c r="N42" s="315">
        <f t="shared" si="10"/>
        <v>0</v>
      </c>
      <c r="O42" s="215">
        <v>2</v>
      </c>
    </row>
    <row r="43" spans="1:15" x14ac:dyDescent="0.2">
      <c r="A43" s="213" t="s">
        <v>716</v>
      </c>
      <c r="B43" s="208">
        <v>454</v>
      </c>
      <c r="C43" s="225" t="s">
        <v>723</v>
      </c>
      <c r="D43" s="209" t="s">
        <v>724</v>
      </c>
      <c r="E43" s="1170">
        <v>48101.96</v>
      </c>
      <c r="F43" s="315" t="str">
        <f>$J$2</f>
        <v>GRSM</v>
      </c>
      <c r="G43" s="315">
        <f t="shared" si="11"/>
        <v>0</v>
      </c>
      <c r="H43" s="211">
        <v>0</v>
      </c>
      <c r="I43" s="211">
        <f t="shared" si="7"/>
        <v>0</v>
      </c>
      <c r="J43" s="315">
        <f t="shared" si="8"/>
        <v>48101.96</v>
      </c>
      <c r="K43" s="353" t="s">
        <v>682</v>
      </c>
      <c r="L43" s="1175">
        <v>11749.34</v>
      </c>
      <c r="M43" s="212">
        <f t="shared" si="12"/>
        <v>36352.619999999995</v>
      </c>
      <c r="N43" s="315">
        <f t="shared" si="10"/>
        <v>0</v>
      </c>
      <c r="O43" s="210">
        <v>2</v>
      </c>
    </row>
    <row r="44" spans="1:15" x14ac:dyDescent="0.2">
      <c r="A44" s="213" t="s">
        <v>719</v>
      </c>
      <c r="B44" s="208">
        <v>454</v>
      </c>
      <c r="C44" s="209" t="s">
        <v>726</v>
      </c>
      <c r="D44" s="209" t="s">
        <v>1494</v>
      </c>
      <c r="E44" s="1170">
        <v>-756869.41</v>
      </c>
      <c r="F44" s="315" t="str">
        <f>$G$2</f>
        <v>Traditional OOR</v>
      </c>
      <c r="G44" s="315">
        <f t="shared" si="11"/>
        <v>-756869.41</v>
      </c>
      <c r="H44" s="211">
        <v>0</v>
      </c>
      <c r="I44" s="211">
        <f t="shared" si="7"/>
        <v>-756869.41</v>
      </c>
      <c r="J44" s="315">
        <f t="shared" si="8"/>
        <v>0</v>
      </c>
      <c r="K44" s="315"/>
      <c r="L44" s="1109"/>
      <c r="M44" s="212">
        <f t="shared" si="12"/>
        <v>0</v>
      </c>
      <c r="N44" s="315">
        <f t="shared" si="10"/>
        <v>0</v>
      </c>
      <c r="O44" s="210">
        <v>4</v>
      </c>
    </row>
    <row r="45" spans="1:15" x14ac:dyDescent="0.2">
      <c r="A45" s="213" t="s">
        <v>722</v>
      </c>
      <c r="B45" s="208">
        <v>454</v>
      </c>
      <c r="C45" s="214" t="s">
        <v>728</v>
      </c>
      <c r="D45" s="209" t="s">
        <v>729</v>
      </c>
      <c r="E45" s="1170">
        <v>1797454.05</v>
      </c>
      <c r="F45" s="315" t="str">
        <f>$N$2</f>
        <v>Other Ratemaking</v>
      </c>
      <c r="G45" s="315">
        <f>I45+H45</f>
        <v>82844.657164500008</v>
      </c>
      <c r="H45" s="211">
        <f>E45*$D$225</f>
        <v>82844.657164500008</v>
      </c>
      <c r="I45" s="211">
        <v>0</v>
      </c>
      <c r="J45" s="315">
        <f t="shared" si="8"/>
        <v>0</v>
      </c>
      <c r="K45" s="315"/>
      <c r="L45" s="1109"/>
      <c r="M45" s="212">
        <f t="shared" si="12"/>
        <v>0</v>
      </c>
      <c r="N45" s="315">
        <f>IF(F45=$N$2,E45-H45,0)</f>
        <v>1714609.3928355</v>
      </c>
      <c r="O45" s="215" t="s">
        <v>730</v>
      </c>
    </row>
    <row r="46" spans="1:15" x14ac:dyDescent="0.2">
      <c r="A46" s="213" t="s">
        <v>725</v>
      </c>
      <c r="B46" s="208">
        <v>454</v>
      </c>
      <c r="C46" s="214" t="s">
        <v>732</v>
      </c>
      <c r="D46" s="209" t="s">
        <v>733</v>
      </c>
      <c r="E46" s="1170">
        <v>3195.66</v>
      </c>
      <c r="F46" s="315" t="str">
        <f>$G$2</f>
        <v>Traditional OOR</v>
      </c>
      <c r="G46" s="315">
        <f t="shared" si="11"/>
        <v>3195.66</v>
      </c>
      <c r="H46" s="211">
        <f>E46*$D$225</f>
        <v>147.28796939999998</v>
      </c>
      <c r="I46" s="211">
        <f>G46-H46</f>
        <v>3048.3720306</v>
      </c>
      <c r="J46" s="315">
        <f t="shared" si="8"/>
        <v>0</v>
      </c>
      <c r="K46" s="315"/>
      <c r="L46" s="1109"/>
      <c r="M46" s="212">
        <f t="shared" si="12"/>
        <v>0</v>
      </c>
      <c r="N46" s="315">
        <f t="shared" si="10"/>
        <v>0</v>
      </c>
      <c r="O46" s="215">
        <v>7</v>
      </c>
    </row>
    <row r="47" spans="1:15" x14ac:dyDescent="0.2">
      <c r="A47" s="213" t="s">
        <v>727</v>
      </c>
      <c r="B47" s="208">
        <v>454</v>
      </c>
      <c r="C47" s="209" t="s">
        <v>735</v>
      </c>
      <c r="D47" s="209" t="s">
        <v>736</v>
      </c>
      <c r="E47" s="1170">
        <v>1173958.94</v>
      </c>
      <c r="F47" s="315" t="str">
        <f>$N$2</f>
        <v>Other Ratemaking</v>
      </c>
      <c r="G47" s="315">
        <f>I47+H47</f>
        <v>54107.767544599999</v>
      </c>
      <c r="H47" s="211">
        <f>E47*$D$225</f>
        <v>54107.767544599999</v>
      </c>
      <c r="I47" s="211">
        <v>0</v>
      </c>
      <c r="J47" s="315">
        <f t="shared" si="8"/>
        <v>0</v>
      </c>
      <c r="K47" s="315"/>
      <c r="L47" s="1109"/>
      <c r="M47" s="211">
        <f t="shared" si="12"/>
        <v>0</v>
      </c>
      <c r="N47" s="315">
        <f>IF(F47=$N$2,E47-H47,0)</f>
        <v>1119851.1724554</v>
      </c>
      <c r="O47" s="210" t="s">
        <v>730</v>
      </c>
    </row>
    <row r="48" spans="1:15" x14ac:dyDescent="0.2">
      <c r="A48" s="213" t="s">
        <v>731</v>
      </c>
      <c r="B48" s="208">
        <v>454</v>
      </c>
      <c r="C48" s="214" t="s">
        <v>738</v>
      </c>
      <c r="D48" s="209" t="s">
        <v>739</v>
      </c>
      <c r="E48" s="1170">
        <v>1463.62</v>
      </c>
      <c r="F48" s="315" t="str">
        <f t="shared" ref="F48:F53" si="13">$G$2</f>
        <v>Traditional OOR</v>
      </c>
      <c r="G48" s="315">
        <f t="shared" si="11"/>
        <v>1463.62</v>
      </c>
      <c r="H48" s="211">
        <f>E48*$D$219</f>
        <v>67.4582458</v>
      </c>
      <c r="I48" s="211">
        <f t="shared" ref="I48:I56" si="14">G48-H48</f>
        <v>1396.1617541999999</v>
      </c>
      <c r="J48" s="315">
        <f t="shared" si="8"/>
        <v>0</v>
      </c>
      <c r="K48" s="315"/>
      <c r="L48" s="1109"/>
      <c r="M48" s="212">
        <f t="shared" si="12"/>
        <v>0</v>
      </c>
      <c r="N48" s="315">
        <f t="shared" si="10"/>
        <v>0</v>
      </c>
      <c r="O48" s="215">
        <v>7</v>
      </c>
    </row>
    <row r="49" spans="1:15" x14ac:dyDescent="0.2">
      <c r="A49" s="213" t="s">
        <v>734</v>
      </c>
      <c r="B49" s="208">
        <v>454</v>
      </c>
      <c r="C49" s="214" t="s">
        <v>741</v>
      </c>
      <c r="D49" s="209" t="s">
        <v>742</v>
      </c>
      <c r="E49" s="1170">
        <v>476</v>
      </c>
      <c r="F49" s="315" t="str">
        <f t="shared" si="13"/>
        <v>Traditional OOR</v>
      </c>
      <c r="G49" s="315">
        <f t="shared" si="11"/>
        <v>476</v>
      </c>
      <c r="H49" s="211">
        <v>0</v>
      </c>
      <c r="I49" s="211">
        <f t="shared" si="14"/>
        <v>476</v>
      </c>
      <c r="J49" s="315">
        <f t="shared" si="8"/>
        <v>0</v>
      </c>
      <c r="K49" s="315"/>
      <c r="L49" s="1109"/>
      <c r="M49" s="212">
        <f t="shared" si="12"/>
        <v>0</v>
      </c>
      <c r="N49" s="315">
        <f t="shared" si="10"/>
        <v>0</v>
      </c>
      <c r="O49" s="215">
        <v>1</v>
      </c>
    </row>
    <row r="50" spans="1:15" x14ac:dyDescent="0.2">
      <c r="A50" s="213" t="s">
        <v>737</v>
      </c>
      <c r="B50" s="208">
        <v>454</v>
      </c>
      <c r="C50" s="214" t="s">
        <v>744</v>
      </c>
      <c r="D50" s="209" t="s">
        <v>745</v>
      </c>
      <c r="E50" s="1170">
        <v>10188975.43</v>
      </c>
      <c r="F50" s="315" t="str">
        <f t="shared" si="13"/>
        <v>Traditional OOR</v>
      </c>
      <c r="G50" s="315">
        <f t="shared" si="11"/>
        <v>10188975.43</v>
      </c>
      <c r="H50" s="211">
        <v>0</v>
      </c>
      <c r="I50" s="211">
        <f t="shared" si="14"/>
        <v>10188975.43</v>
      </c>
      <c r="J50" s="315">
        <f t="shared" si="8"/>
        <v>0</v>
      </c>
      <c r="K50" s="315"/>
      <c r="L50" s="1109"/>
      <c r="M50" s="212">
        <f t="shared" si="12"/>
        <v>0</v>
      </c>
      <c r="N50" s="315">
        <f t="shared" si="10"/>
        <v>0</v>
      </c>
      <c r="O50" s="215">
        <v>4</v>
      </c>
    </row>
    <row r="51" spans="1:15" x14ac:dyDescent="0.2">
      <c r="A51" s="213" t="s">
        <v>740</v>
      </c>
      <c r="B51" s="208">
        <v>454</v>
      </c>
      <c r="C51" s="214" t="s">
        <v>747</v>
      </c>
      <c r="D51" s="209" t="s">
        <v>748</v>
      </c>
      <c r="E51" s="1170">
        <v>758244.99</v>
      </c>
      <c r="F51" s="315" t="str">
        <f t="shared" si="13"/>
        <v>Traditional OOR</v>
      </c>
      <c r="G51" s="315">
        <f t="shared" si="11"/>
        <v>758244.99</v>
      </c>
      <c r="H51" s="211">
        <v>0</v>
      </c>
      <c r="I51" s="211">
        <f>G51-H51</f>
        <v>758244.99</v>
      </c>
      <c r="J51" s="315">
        <f t="shared" si="8"/>
        <v>0</v>
      </c>
      <c r="K51" s="315"/>
      <c r="L51" s="1109"/>
      <c r="M51" s="212">
        <f t="shared" si="12"/>
        <v>0</v>
      </c>
      <c r="N51" s="315">
        <f t="shared" si="10"/>
        <v>0</v>
      </c>
      <c r="O51" s="215">
        <v>4</v>
      </c>
    </row>
    <row r="52" spans="1:15" x14ac:dyDescent="0.2">
      <c r="A52" s="213" t="s">
        <v>743</v>
      </c>
      <c r="B52" s="208">
        <v>454</v>
      </c>
      <c r="C52" s="214" t="s">
        <v>750</v>
      </c>
      <c r="D52" s="209" t="s">
        <v>751</v>
      </c>
      <c r="E52" s="1170">
        <v>25111552.48</v>
      </c>
      <c r="F52" s="315" t="str">
        <f t="shared" si="13"/>
        <v>Traditional OOR</v>
      </c>
      <c r="G52" s="315">
        <f t="shared" si="11"/>
        <v>25111552.48</v>
      </c>
      <c r="H52" s="211">
        <v>0</v>
      </c>
      <c r="I52" s="211">
        <f t="shared" si="14"/>
        <v>25111552.48</v>
      </c>
      <c r="J52" s="315">
        <f t="shared" si="8"/>
        <v>0</v>
      </c>
      <c r="K52" s="315"/>
      <c r="L52" s="1109"/>
      <c r="M52" s="212">
        <f t="shared" si="12"/>
        <v>0</v>
      </c>
      <c r="N52" s="315">
        <f t="shared" si="10"/>
        <v>0</v>
      </c>
      <c r="O52" s="215">
        <v>4</v>
      </c>
    </row>
    <row r="53" spans="1:15" x14ac:dyDescent="0.2">
      <c r="A53" s="213" t="s">
        <v>746</v>
      </c>
      <c r="B53" s="208">
        <v>454</v>
      </c>
      <c r="C53" s="214" t="s">
        <v>753</v>
      </c>
      <c r="D53" s="209" t="s">
        <v>754</v>
      </c>
      <c r="E53" s="1170">
        <v>14287761.85</v>
      </c>
      <c r="F53" s="315" t="str">
        <f t="shared" si="13"/>
        <v>Traditional OOR</v>
      </c>
      <c r="G53" s="315">
        <f t="shared" si="11"/>
        <v>14287761.85</v>
      </c>
      <c r="H53" s="1109">
        <v>2118386</v>
      </c>
      <c r="I53" s="211">
        <f>G53-H53</f>
        <v>12169375.85</v>
      </c>
      <c r="J53" s="315">
        <f t="shared" si="8"/>
        <v>0</v>
      </c>
      <c r="K53" s="315"/>
      <c r="L53" s="1109"/>
      <c r="M53" s="212">
        <f t="shared" si="12"/>
        <v>0</v>
      </c>
      <c r="N53" s="315">
        <f t="shared" si="10"/>
        <v>0</v>
      </c>
      <c r="O53" s="215">
        <v>8</v>
      </c>
    </row>
    <row r="54" spans="1:15" x14ac:dyDescent="0.2">
      <c r="A54" s="213" t="s">
        <v>749</v>
      </c>
      <c r="B54" s="208">
        <v>454</v>
      </c>
      <c r="C54" s="209" t="s">
        <v>756</v>
      </c>
      <c r="D54" s="209" t="s">
        <v>757</v>
      </c>
      <c r="E54" s="1170">
        <v>17748784.050000001</v>
      </c>
      <c r="F54" s="315" t="str">
        <f>$J$2</f>
        <v>GRSM</v>
      </c>
      <c r="G54" s="315">
        <f t="shared" si="11"/>
        <v>0</v>
      </c>
      <c r="H54" s="211">
        <v>0</v>
      </c>
      <c r="I54" s="211">
        <f t="shared" si="14"/>
        <v>0</v>
      </c>
      <c r="J54" s="315">
        <f t="shared" si="8"/>
        <v>17748784.050000001</v>
      </c>
      <c r="K54" s="353" t="s">
        <v>682</v>
      </c>
      <c r="L54" s="1175">
        <v>3336674.93</v>
      </c>
      <c r="M54" s="212">
        <f t="shared" si="12"/>
        <v>14412109.120000001</v>
      </c>
      <c r="N54" s="315">
        <f t="shared" si="10"/>
        <v>0</v>
      </c>
      <c r="O54" s="210">
        <v>2</v>
      </c>
    </row>
    <row r="55" spans="1:15" x14ac:dyDescent="0.2">
      <c r="A55" s="213" t="s">
        <v>752</v>
      </c>
      <c r="B55" s="208">
        <v>454</v>
      </c>
      <c r="C55" s="214" t="s">
        <v>758</v>
      </c>
      <c r="D55" s="209" t="s">
        <v>759</v>
      </c>
      <c r="E55" s="1170">
        <v>800564.01</v>
      </c>
      <c r="F55" s="315" t="str">
        <f>$G$2</f>
        <v>Traditional OOR</v>
      </c>
      <c r="G55" s="315">
        <f t="shared" si="11"/>
        <v>800564.01</v>
      </c>
      <c r="H55" s="211">
        <v>0</v>
      </c>
      <c r="I55" s="211">
        <f t="shared" si="14"/>
        <v>800564.01</v>
      </c>
      <c r="J55" s="315">
        <f t="shared" si="8"/>
        <v>0</v>
      </c>
      <c r="K55" s="315"/>
      <c r="L55" s="1109"/>
      <c r="M55" s="212">
        <f t="shared" si="12"/>
        <v>0</v>
      </c>
      <c r="N55" s="315">
        <f t="shared" si="10"/>
        <v>0</v>
      </c>
      <c r="O55" s="210">
        <v>4</v>
      </c>
    </row>
    <row r="56" spans="1:15" x14ac:dyDescent="0.2">
      <c r="A56" s="213" t="s">
        <v>755</v>
      </c>
      <c r="B56" s="208">
        <v>454</v>
      </c>
      <c r="C56" s="207" t="s">
        <v>1690</v>
      </c>
      <c r="D56" s="209" t="s">
        <v>1689</v>
      </c>
      <c r="E56" s="1170">
        <v>-9146.24</v>
      </c>
      <c r="F56" s="315" t="str">
        <f>$G$2</f>
        <v>Traditional OOR</v>
      </c>
      <c r="G56" s="315">
        <f t="shared" si="11"/>
        <v>-9146.24</v>
      </c>
      <c r="H56" s="211">
        <v>0</v>
      </c>
      <c r="I56" s="211">
        <f t="shared" si="14"/>
        <v>-9146.24</v>
      </c>
      <c r="J56" s="315">
        <f t="shared" si="8"/>
        <v>0</v>
      </c>
      <c r="K56" s="315"/>
      <c r="L56" s="321"/>
      <c r="M56" s="212">
        <f t="shared" si="12"/>
        <v>0</v>
      </c>
      <c r="N56" s="315">
        <f t="shared" si="10"/>
        <v>0</v>
      </c>
      <c r="O56" s="210">
        <v>1</v>
      </c>
    </row>
    <row r="57" spans="1:15" x14ac:dyDescent="0.2">
      <c r="A57" s="1176" t="s">
        <v>3206</v>
      </c>
      <c r="B57" s="344">
        <v>454</v>
      </c>
      <c r="C57" s="343">
        <v>4206515</v>
      </c>
      <c r="D57" s="1178" t="s">
        <v>3207</v>
      </c>
      <c r="E57" s="1170">
        <v>723026.1</v>
      </c>
      <c r="F57" s="1170" t="s">
        <v>639</v>
      </c>
      <c r="G57" s="1174">
        <v>0</v>
      </c>
      <c r="H57" s="1109">
        <v>0</v>
      </c>
      <c r="I57" s="1109">
        <v>0</v>
      </c>
      <c r="J57" s="1170">
        <v>723026.1</v>
      </c>
      <c r="K57" s="1170" t="s">
        <v>682</v>
      </c>
      <c r="L57" s="1109">
        <v>0</v>
      </c>
      <c r="M57" s="1109">
        <v>723026.1</v>
      </c>
      <c r="N57" s="319">
        <v>0</v>
      </c>
      <c r="O57" s="320">
        <v>2</v>
      </c>
    </row>
    <row r="58" spans="1:15" x14ac:dyDescent="0.2">
      <c r="A58" s="1176"/>
      <c r="B58" s="344"/>
      <c r="C58" s="343"/>
      <c r="D58" s="1178"/>
      <c r="E58" s="1170"/>
      <c r="F58" s="1170"/>
      <c r="G58" s="1174"/>
      <c r="H58" s="1109"/>
      <c r="I58" s="1109"/>
      <c r="J58" s="1170"/>
      <c r="K58" s="1170"/>
      <c r="L58" s="1109"/>
      <c r="M58" s="1109"/>
      <c r="N58" s="319"/>
      <c r="O58" s="320"/>
    </row>
    <row r="59" spans="1:15" x14ac:dyDescent="0.2">
      <c r="A59" s="348"/>
      <c r="B59" s="344"/>
      <c r="C59" s="343"/>
      <c r="D59" s="345"/>
      <c r="E59" s="319"/>
      <c r="F59" s="319"/>
      <c r="G59" s="323"/>
      <c r="H59" s="321"/>
      <c r="I59" s="321"/>
      <c r="J59" s="319"/>
      <c r="K59" s="319"/>
      <c r="L59" s="321"/>
      <c r="M59" s="321"/>
      <c r="N59" s="319"/>
      <c r="O59" s="320"/>
    </row>
    <row r="60" spans="1:15" x14ac:dyDescent="0.2">
      <c r="A60" s="213">
        <v>11</v>
      </c>
      <c r="B60" s="1209" t="s">
        <v>760</v>
      </c>
      <c r="C60" s="1210"/>
      <c r="D60" s="1211"/>
      <c r="E60" s="312">
        <f>SUM(E34:E59)</f>
        <v>75678241.350000009</v>
      </c>
      <c r="F60" s="337"/>
      <c r="G60" s="312">
        <f>SUM(G34:G59)</f>
        <v>54211016.574709095</v>
      </c>
      <c r="H60" s="328">
        <f>SUM(H34:H59)</f>
        <v>2255553.1709242999</v>
      </c>
      <c r="I60" s="328">
        <f>SUM(I34:I59)</f>
        <v>51955463.403784797</v>
      </c>
      <c r="J60" s="312">
        <f>SUM(J34:J59)</f>
        <v>18632764.210000001</v>
      </c>
      <c r="K60" s="337"/>
      <c r="L60" s="312">
        <f>SUM(L34:L59)</f>
        <v>3369452.8000000003</v>
      </c>
      <c r="M60" s="312">
        <f>SUM(M34:M59)</f>
        <v>15263311.41</v>
      </c>
      <c r="N60" s="312">
        <f>SUM(N34:N59)</f>
        <v>2834460.5652908999</v>
      </c>
      <c r="O60" s="200"/>
    </row>
    <row r="61" spans="1:15" ht="24.75" customHeight="1" x14ac:dyDescent="0.2">
      <c r="A61" s="213">
        <v>12</v>
      </c>
      <c r="B61" s="1231" t="s">
        <v>1499</v>
      </c>
      <c r="C61" s="1232"/>
      <c r="D61" s="1233"/>
      <c r="E61" s="1172">
        <v>75678241</v>
      </c>
      <c r="F61" s="327"/>
      <c r="G61" s="342"/>
      <c r="H61" s="327"/>
      <c r="I61" s="327"/>
      <c r="J61" s="313"/>
      <c r="K61" s="327"/>
      <c r="L61" s="313"/>
      <c r="M61" s="313"/>
      <c r="N61" s="313"/>
      <c r="O61" s="199"/>
    </row>
    <row r="62" spans="1:15" x14ac:dyDescent="0.2">
      <c r="A62" s="216"/>
      <c r="B62" s="217"/>
      <c r="C62" s="218"/>
      <c r="D62" s="219"/>
      <c r="E62" s="313"/>
      <c r="F62" s="313"/>
      <c r="G62" s="313"/>
      <c r="H62" s="327"/>
      <c r="I62" s="327"/>
      <c r="J62" s="313"/>
      <c r="K62" s="327"/>
      <c r="L62" s="313"/>
      <c r="M62" s="313"/>
      <c r="N62" s="313"/>
      <c r="O62" s="199"/>
    </row>
    <row r="63" spans="1:15" x14ac:dyDescent="0.2">
      <c r="A63" s="213" t="s">
        <v>761</v>
      </c>
      <c r="B63" s="208">
        <v>456</v>
      </c>
      <c r="C63" s="214" t="s">
        <v>765</v>
      </c>
      <c r="D63" s="209" t="s">
        <v>766</v>
      </c>
      <c r="E63" s="1170">
        <v>4073087.05</v>
      </c>
      <c r="F63" s="315" t="str">
        <f t="shared" ref="F63:F71" si="15">$G$2</f>
        <v>Traditional OOR</v>
      </c>
      <c r="G63" s="315">
        <f t="shared" ref="G63:G116" si="16">IF(F63=$G$2,E63,0)</f>
        <v>4073087.05</v>
      </c>
      <c r="H63" s="211">
        <v>0</v>
      </c>
      <c r="I63" s="211">
        <f t="shared" ref="I63:I116" si="17">G63-H63</f>
        <v>4073087.05</v>
      </c>
      <c r="J63" s="315">
        <f t="shared" ref="J63:J116" si="18">IF(F63=$J$2,E63,0)</f>
        <v>0</v>
      </c>
      <c r="K63" s="315"/>
      <c r="L63" s="1109"/>
      <c r="M63" s="212">
        <f t="shared" ref="M63:M114" si="19">J63-L63</f>
        <v>0</v>
      </c>
      <c r="N63" s="315">
        <f t="shared" ref="N63:N116" si="20">IF(F63=$N$2,E63,0)</f>
        <v>0</v>
      </c>
      <c r="O63" s="215">
        <v>1</v>
      </c>
    </row>
    <row r="64" spans="1:15" x14ac:dyDescent="0.2">
      <c r="A64" s="213" t="s">
        <v>762</v>
      </c>
      <c r="B64" s="208">
        <v>456</v>
      </c>
      <c r="C64" s="214" t="s">
        <v>767</v>
      </c>
      <c r="D64" s="209" t="s">
        <v>768</v>
      </c>
      <c r="E64" s="1170">
        <v>2993479.19</v>
      </c>
      <c r="F64" s="315" t="str">
        <f t="shared" si="15"/>
        <v>Traditional OOR</v>
      </c>
      <c r="G64" s="315">
        <f t="shared" si="16"/>
        <v>2993479.19</v>
      </c>
      <c r="H64" s="211">
        <v>0</v>
      </c>
      <c r="I64" s="211">
        <f t="shared" si="17"/>
        <v>2993479.19</v>
      </c>
      <c r="J64" s="315">
        <f t="shared" si="18"/>
        <v>0</v>
      </c>
      <c r="K64" s="315"/>
      <c r="L64" s="1109"/>
      <c r="M64" s="212">
        <f t="shared" si="19"/>
        <v>0</v>
      </c>
      <c r="N64" s="315">
        <f t="shared" si="20"/>
        <v>0</v>
      </c>
      <c r="O64" s="215">
        <v>4</v>
      </c>
    </row>
    <row r="65" spans="1:15" x14ac:dyDescent="0.2">
      <c r="A65" s="213" t="s">
        <v>763</v>
      </c>
      <c r="B65" s="208">
        <v>456</v>
      </c>
      <c r="C65" s="214" t="s">
        <v>769</v>
      </c>
      <c r="D65" s="209" t="s">
        <v>770</v>
      </c>
      <c r="E65" s="1170">
        <v>481417.94</v>
      </c>
      <c r="F65" s="315" t="str">
        <f t="shared" si="15"/>
        <v>Traditional OOR</v>
      </c>
      <c r="G65" s="315">
        <f t="shared" si="16"/>
        <v>481417.94</v>
      </c>
      <c r="H65" s="211">
        <v>0</v>
      </c>
      <c r="I65" s="211">
        <f t="shared" si="17"/>
        <v>481417.94</v>
      </c>
      <c r="J65" s="315">
        <f t="shared" si="18"/>
        <v>0</v>
      </c>
      <c r="K65" s="315"/>
      <c r="L65" s="1109"/>
      <c r="M65" s="212">
        <f t="shared" si="19"/>
        <v>0</v>
      </c>
      <c r="N65" s="315">
        <f t="shared" si="20"/>
        <v>0</v>
      </c>
      <c r="O65" s="215">
        <v>4</v>
      </c>
    </row>
    <row r="66" spans="1:15" x14ac:dyDescent="0.2">
      <c r="A66" s="213" t="s">
        <v>764</v>
      </c>
      <c r="B66" s="208">
        <v>456</v>
      </c>
      <c r="C66" s="214" t="s">
        <v>772</v>
      </c>
      <c r="D66" s="209" t="s">
        <v>773</v>
      </c>
      <c r="E66" s="1170">
        <v>12146.8</v>
      </c>
      <c r="F66" s="315" t="str">
        <f t="shared" si="15"/>
        <v>Traditional OOR</v>
      </c>
      <c r="G66" s="315">
        <f t="shared" si="16"/>
        <v>12146.8</v>
      </c>
      <c r="H66" s="211">
        <v>0</v>
      </c>
      <c r="I66" s="211">
        <f t="shared" si="17"/>
        <v>12146.8</v>
      </c>
      <c r="J66" s="315">
        <f t="shared" si="18"/>
        <v>0</v>
      </c>
      <c r="K66" s="315"/>
      <c r="L66" s="1109"/>
      <c r="M66" s="212">
        <f t="shared" si="19"/>
        <v>0</v>
      </c>
      <c r="N66" s="315">
        <f t="shared" si="20"/>
        <v>0</v>
      </c>
      <c r="O66" s="215">
        <v>3</v>
      </c>
    </row>
    <row r="67" spans="1:15" x14ac:dyDescent="0.2">
      <c r="A67" s="207" t="s">
        <v>771</v>
      </c>
      <c r="B67" s="208">
        <v>456</v>
      </c>
      <c r="C67" s="209" t="s">
        <v>775</v>
      </c>
      <c r="D67" s="209" t="s">
        <v>776</v>
      </c>
      <c r="E67" s="1170">
        <v>960</v>
      </c>
      <c r="F67" s="315" t="str">
        <f t="shared" si="15"/>
        <v>Traditional OOR</v>
      </c>
      <c r="G67" s="315">
        <f t="shared" si="16"/>
        <v>960</v>
      </c>
      <c r="H67" s="211">
        <v>0</v>
      </c>
      <c r="I67" s="211">
        <f t="shared" si="17"/>
        <v>960</v>
      </c>
      <c r="J67" s="315">
        <f t="shared" si="18"/>
        <v>0</v>
      </c>
      <c r="K67" s="315"/>
      <c r="L67" s="1109"/>
      <c r="M67" s="212">
        <f t="shared" si="19"/>
        <v>0</v>
      </c>
      <c r="N67" s="315">
        <f t="shared" si="20"/>
        <v>0</v>
      </c>
      <c r="O67" s="215">
        <v>1</v>
      </c>
    </row>
    <row r="68" spans="1:15" x14ac:dyDescent="0.2">
      <c r="A68" s="207" t="s">
        <v>774</v>
      </c>
      <c r="B68" s="208">
        <v>456</v>
      </c>
      <c r="C68" s="209" t="s">
        <v>778</v>
      </c>
      <c r="D68" s="209" t="s">
        <v>779</v>
      </c>
      <c r="E68" s="1170">
        <v>1782679.53</v>
      </c>
      <c r="F68" s="315" t="str">
        <f t="shared" si="15"/>
        <v>Traditional OOR</v>
      </c>
      <c r="G68" s="315">
        <f t="shared" si="16"/>
        <v>1782679.53</v>
      </c>
      <c r="H68" s="211">
        <v>0</v>
      </c>
      <c r="I68" s="211">
        <f t="shared" si="17"/>
        <v>1782679.53</v>
      </c>
      <c r="J68" s="315">
        <f t="shared" si="18"/>
        <v>0</v>
      </c>
      <c r="K68" s="315"/>
      <c r="L68" s="1109"/>
      <c r="M68" s="212">
        <f t="shared" si="19"/>
        <v>0</v>
      </c>
      <c r="N68" s="315">
        <f t="shared" si="20"/>
        <v>0</v>
      </c>
      <c r="O68" s="215">
        <v>1</v>
      </c>
    </row>
    <row r="69" spans="1:15" x14ac:dyDescent="0.2">
      <c r="A69" s="207" t="s">
        <v>777</v>
      </c>
      <c r="B69" s="208">
        <v>456</v>
      </c>
      <c r="C69" s="209" t="s">
        <v>781</v>
      </c>
      <c r="D69" s="209" t="s">
        <v>782</v>
      </c>
      <c r="E69" s="1170">
        <v>300</v>
      </c>
      <c r="F69" s="315" t="str">
        <f t="shared" si="15"/>
        <v>Traditional OOR</v>
      </c>
      <c r="G69" s="315">
        <f t="shared" si="16"/>
        <v>300</v>
      </c>
      <c r="H69" s="211">
        <v>0</v>
      </c>
      <c r="I69" s="211">
        <f t="shared" si="17"/>
        <v>300</v>
      </c>
      <c r="J69" s="315">
        <f t="shared" si="18"/>
        <v>0</v>
      </c>
      <c r="K69" s="315"/>
      <c r="L69" s="1109"/>
      <c r="M69" s="212">
        <f t="shared" si="19"/>
        <v>0</v>
      </c>
      <c r="N69" s="315">
        <f t="shared" si="20"/>
        <v>0</v>
      </c>
      <c r="O69" s="215">
        <v>3</v>
      </c>
    </row>
    <row r="70" spans="1:15" x14ac:dyDescent="0.2">
      <c r="A70" s="207" t="s">
        <v>780</v>
      </c>
      <c r="B70" s="208">
        <v>456</v>
      </c>
      <c r="C70" s="208">
        <v>4186142</v>
      </c>
      <c r="D70" s="209" t="s">
        <v>1688</v>
      </c>
      <c r="E70" s="1170">
        <v>3436.64</v>
      </c>
      <c r="F70" s="315" t="str">
        <f t="shared" si="15"/>
        <v>Traditional OOR</v>
      </c>
      <c r="G70" s="315">
        <f>IF(F70=$G$2,E70,0)</f>
        <v>3436.64</v>
      </c>
      <c r="H70" s="211">
        <v>0</v>
      </c>
      <c r="I70" s="211">
        <f>G70-H70</f>
        <v>3436.64</v>
      </c>
      <c r="J70" s="315">
        <f t="shared" si="18"/>
        <v>0</v>
      </c>
      <c r="K70" s="315"/>
      <c r="L70" s="1109"/>
      <c r="M70" s="212">
        <f t="shared" si="19"/>
        <v>0</v>
      </c>
      <c r="N70" s="315">
        <f t="shared" si="20"/>
        <v>0</v>
      </c>
      <c r="O70" s="215">
        <v>4</v>
      </c>
    </row>
    <row r="71" spans="1:15" x14ac:dyDescent="0.2">
      <c r="A71" s="207" t="s">
        <v>783</v>
      </c>
      <c r="B71" s="208">
        <v>456</v>
      </c>
      <c r="C71" s="209" t="s">
        <v>784</v>
      </c>
      <c r="D71" s="209" t="s">
        <v>785</v>
      </c>
      <c r="E71" s="1170">
        <v>603.84</v>
      </c>
      <c r="F71" s="315" t="str">
        <f t="shared" si="15"/>
        <v>Traditional OOR</v>
      </c>
      <c r="G71" s="315">
        <f t="shared" si="16"/>
        <v>603.84</v>
      </c>
      <c r="H71" s="211">
        <f>E71*$D$219</f>
        <v>27.830985600000002</v>
      </c>
      <c r="I71" s="211">
        <f t="shared" si="17"/>
        <v>576.00901440000007</v>
      </c>
      <c r="J71" s="315">
        <f t="shared" si="18"/>
        <v>0</v>
      </c>
      <c r="K71" s="315"/>
      <c r="L71" s="1109"/>
      <c r="M71" s="212">
        <f t="shared" si="19"/>
        <v>0</v>
      </c>
      <c r="N71" s="315">
        <f t="shared" si="20"/>
        <v>0</v>
      </c>
      <c r="O71" s="215">
        <v>7</v>
      </c>
    </row>
    <row r="72" spans="1:15" x14ac:dyDescent="0.2">
      <c r="A72" s="207" t="s">
        <v>786</v>
      </c>
      <c r="B72" s="208">
        <v>456</v>
      </c>
      <c r="C72" s="209" t="s">
        <v>787</v>
      </c>
      <c r="D72" s="209" t="s">
        <v>788</v>
      </c>
      <c r="E72" s="1170">
        <v>329183.77</v>
      </c>
      <c r="F72" s="315" t="str">
        <f>$N$2</f>
        <v>Other Ratemaking</v>
      </c>
      <c r="G72" s="315">
        <f>I72+H72</f>
        <v>15172.079959300001</v>
      </c>
      <c r="H72" s="211">
        <f>E72*$D$225</f>
        <v>15172.079959300001</v>
      </c>
      <c r="I72" s="211">
        <v>0</v>
      </c>
      <c r="J72" s="315">
        <f t="shared" si="18"/>
        <v>0</v>
      </c>
      <c r="K72" s="315"/>
      <c r="L72" s="1109"/>
      <c r="M72" s="212">
        <f t="shared" si="19"/>
        <v>0</v>
      </c>
      <c r="N72" s="315">
        <f>IF(F72=$N$2,E72-H72,0)</f>
        <v>314011.69004070002</v>
      </c>
      <c r="O72" s="215" t="s">
        <v>730</v>
      </c>
    </row>
    <row r="73" spans="1:15" x14ac:dyDescent="0.2">
      <c r="A73" s="207" t="s">
        <v>789</v>
      </c>
      <c r="B73" s="208">
        <v>456</v>
      </c>
      <c r="C73" s="209" t="s">
        <v>790</v>
      </c>
      <c r="D73" s="209" t="s">
        <v>791</v>
      </c>
      <c r="E73" s="1170">
        <v>1446.92</v>
      </c>
      <c r="F73" s="315" t="str">
        <f t="shared" ref="F73:F78" si="21">$G$2</f>
        <v>Traditional OOR</v>
      </c>
      <c r="G73" s="315">
        <f t="shared" si="16"/>
        <v>1446.92</v>
      </c>
      <c r="H73" s="211">
        <v>0</v>
      </c>
      <c r="I73" s="211">
        <f t="shared" si="17"/>
        <v>1446.92</v>
      </c>
      <c r="J73" s="315">
        <f t="shared" si="18"/>
        <v>0</v>
      </c>
      <c r="K73" s="315"/>
      <c r="L73" s="1109"/>
      <c r="M73" s="212">
        <f t="shared" si="19"/>
        <v>0</v>
      </c>
      <c r="N73" s="315">
        <f t="shared" si="20"/>
        <v>0</v>
      </c>
      <c r="O73" s="215">
        <v>4</v>
      </c>
    </row>
    <row r="74" spans="1:15" x14ac:dyDescent="0.2">
      <c r="A74" s="207" t="s">
        <v>792</v>
      </c>
      <c r="B74" s="208">
        <v>456</v>
      </c>
      <c r="C74" s="209" t="s">
        <v>793</v>
      </c>
      <c r="D74" s="209" t="s">
        <v>794</v>
      </c>
      <c r="E74" s="1170">
        <v>14522</v>
      </c>
      <c r="F74" s="315" t="str">
        <f t="shared" si="21"/>
        <v>Traditional OOR</v>
      </c>
      <c r="G74" s="315">
        <f t="shared" si="16"/>
        <v>14522</v>
      </c>
      <c r="H74" s="211">
        <v>0</v>
      </c>
      <c r="I74" s="211">
        <f t="shared" si="17"/>
        <v>14522</v>
      </c>
      <c r="J74" s="315">
        <f t="shared" si="18"/>
        <v>0</v>
      </c>
      <c r="K74" s="315"/>
      <c r="L74" s="1109"/>
      <c r="M74" s="212">
        <f t="shared" si="19"/>
        <v>0</v>
      </c>
      <c r="N74" s="315">
        <f t="shared" si="20"/>
        <v>0</v>
      </c>
      <c r="O74" s="215">
        <v>4</v>
      </c>
    </row>
    <row r="75" spans="1:15" x14ac:dyDescent="0.2">
      <c r="A75" s="207" t="s">
        <v>795</v>
      </c>
      <c r="B75" s="208">
        <v>456</v>
      </c>
      <c r="C75" s="209" t="s">
        <v>796</v>
      </c>
      <c r="D75" s="209" t="s">
        <v>797</v>
      </c>
      <c r="E75" s="1170">
        <v>4388</v>
      </c>
      <c r="F75" s="315" t="str">
        <f t="shared" si="21"/>
        <v>Traditional OOR</v>
      </c>
      <c r="G75" s="315">
        <f t="shared" si="16"/>
        <v>4388</v>
      </c>
      <c r="H75" s="211">
        <v>0</v>
      </c>
      <c r="I75" s="211">
        <f t="shared" si="17"/>
        <v>4388</v>
      </c>
      <c r="J75" s="315">
        <f t="shared" si="18"/>
        <v>0</v>
      </c>
      <c r="K75" s="315"/>
      <c r="L75" s="1109"/>
      <c r="M75" s="212">
        <f t="shared" si="19"/>
        <v>0</v>
      </c>
      <c r="N75" s="315">
        <f t="shared" si="20"/>
        <v>0</v>
      </c>
      <c r="O75" s="215">
        <v>4</v>
      </c>
    </row>
    <row r="76" spans="1:15" x14ac:dyDescent="0.2">
      <c r="A76" s="207" t="s">
        <v>798</v>
      </c>
      <c r="B76" s="208">
        <v>456</v>
      </c>
      <c r="C76" s="209" t="s">
        <v>799</v>
      </c>
      <c r="D76" s="209" t="s">
        <v>800</v>
      </c>
      <c r="E76" s="1170">
        <v>993.08</v>
      </c>
      <c r="F76" s="315" t="str">
        <f t="shared" si="21"/>
        <v>Traditional OOR</v>
      </c>
      <c r="G76" s="315">
        <f t="shared" si="16"/>
        <v>993.08</v>
      </c>
      <c r="H76" s="211">
        <v>0</v>
      </c>
      <c r="I76" s="211">
        <f t="shared" si="17"/>
        <v>993.08</v>
      </c>
      <c r="J76" s="315">
        <f t="shared" si="18"/>
        <v>0</v>
      </c>
      <c r="K76" s="315"/>
      <c r="L76" s="1109"/>
      <c r="M76" s="212">
        <f t="shared" si="19"/>
        <v>0</v>
      </c>
      <c r="N76" s="315">
        <f t="shared" si="20"/>
        <v>0</v>
      </c>
      <c r="O76" s="215">
        <v>4</v>
      </c>
    </row>
    <row r="77" spans="1:15" x14ac:dyDescent="0.2">
      <c r="A77" s="207" t="s">
        <v>801</v>
      </c>
      <c r="B77" s="208">
        <v>456</v>
      </c>
      <c r="C77" s="209" t="s">
        <v>802</v>
      </c>
      <c r="D77" s="209" t="s">
        <v>803</v>
      </c>
      <c r="E77" s="1170">
        <v>845</v>
      </c>
      <c r="F77" s="315" t="str">
        <f t="shared" si="21"/>
        <v>Traditional OOR</v>
      </c>
      <c r="G77" s="315">
        <f t="shared" si="16"/>
        <v>845</v>
      </c>
      <c r="H77" s="211">
        <v>0</v>
      </c>
      <c r="I77" s="211">
        <f t="shared" si="17"/>
        <v>845</v>
      </c>
      <c r="J77" s="315">
        <f t="shared" si="18"/>
        <v>0</v>
      </c>
      <c r="K77" s="315"/>
      <c r="L77" s="1109"/>
      <c r="M77" s="212">
        <f t="shared" si="19"/>
        <v>0</v>
      </c>
      <c r="N77" s="315">
        <f t="shared" si="20"/>
        <v>0</v>
      </c>
      <c r="O77" s="215">
        <v>4</v>
      </c>
    </row>
    <row r="78" spans="1:15" x14ac:dyDescent="0.2">
      <c r="A78" s="207" t="s">
        <v>804</v>
      </c>
      <c r="B78" s="208">
        <v>456</v>
      </c>
      <c r="C78" s="209" t="s">
        <v>805</v>
      </c>
      <c r="D78" s="209" t="s">
        <v>806</v>
      </c>
      <c r="E78" s="1170">
        <v>208656</v>
      </c>
      <c r="F78" s="315" t="str">
        <f t="shared" si="21"/>
        <v>Traditional OOR</v>
      </c>
      <c r="G78" s="315">
        <f t="shared" si="16"/>
        <v>208656</v>
      </c>
      <c r="H78" s="211">
        <v>0</v>
      </c>
      <c r="I78" s="211">
        <f t="shared" si="17"/>
        <v>208656</v>
      </c>
      <c r="J78" s="315">
        <f t="shared" si="18"/>
        <v>0</v>
      </c>
      <c r="K78" s="315"/>
      <c r="L78" s="1109"/>
      <c r="M78" s="212">
        <f t="shared" si="19"/>
        <v>0</v>
      </c>
      <c r="N78" s="315">
        <f t="shared" si="20"/>
        <v>0</v>
      </c>
      <c r="O78" s="215">
        <v>4</v>
      </c>
    </row>
    <row r="79" spans="1:15" x14ac:dyDescent="0.2">
      <c r="A79" s="207" t="s">
        <v>807</v>
      </c>
      <c r="B79" s="208">
        <v>456</v>
      </c>
      <c r="C79" s="209" t="s">
        <v>808</v>
      </c>
      <c r="D79" s="209" t="s">
        <v>809</v>
      </c>
      <c r="E79" s="1170">
        <v>1400773.25</v>
      </c>
      <c r="F79" s="315" t="str">
        <f t="shared" ref="F79:F92" si="22">$J$2</f>
        <v>GRSM</v>
      </c>
      <c r="G79" s="315">
        <f t="shared" si="16"/>
        <v>0</v>
      </c>
      <c r="H79" s="211">
        <v>0</v>
      </c>
      <c r="I79" s="211">
        <f t="shared" si="17"/>
        <v>0</v>
      </c>
      <c r="J79" s="315">
        <f t="shared" si="18"/>
        <v>1400773.25</v>
      </c>
      <c r="K79" s="353" t="s">
        <v>682</v>
      </c>
      <c r="L79" s="1175">
        <v>160576.51</v>
      </c>
      <c r="M79" s="212">
        <f t="shared" si="19"/>
        <v>1240196.74</v>
      </c>
      <c r="N79" s="315">
        <f t="shared" si="20"/>
        <v>0</v>
      </c>
      <c r="O79" s="215">
        <v>2</v>
      </c>
    </row>
    <row r="80" spans="1:15" x14ac:dyDescent="0.2">
      <c r="A80" s="207" t="s">
        <v>810</v>
      </c>
      <c r="B80" s="208">
        <v>456</v>
      </c>
      <c r="C80" s="209" t="s">
        <v>811</v>
      </c>
      <c r="D80" s="209" t="s">
        <v>812</v>
      </c>
      <c r="E80" s="1170">
        <v>123500.98</v>
      </c>
      <c r="F80" s="315" t="str">
        <f t="shared" si="22"/>
        <v>GRSM</v>
      </c>
      <c r="G80" s="315">
        <f t="shared" si="16"/>
        <v>0</v>
      </c>
      <c r="H80" s="211">
        <v>0</v>
      </c>
      <c r="I80" s="211">
        <f t="shared" si="17"/>
        <v>0</v>
      </c>
      <c r="J80" s="315">
        <f t="shared" si="18"/>
        <v>123500.98</v>
      </c>
      <c r="K80" s="353" t="s">
        <v>682</v>
      </c>
      <c r="L80" s="1175">
        <v>18023.91</v>
      </c>
      <c r="M80" s="212">
        <f t="shared" si="19"/>
        <v>105477.06999999999</v>
      </c>
      <c r="N80" s="315">
        <f t="shared" si="20"/>
        <v>0</v>
      </c>
      <c r="O80" s="215">
        <v>2</v>
      </c>
    </row>
    <row r="81" spans="1:15" x14ac:dyDescent="0.2">
      <c r="A81" s="207" t="s">
        <v>813</v>
      </c>
      <c r="B81" s="208">
        <v>456</v>
      </c>
      <c r="C81" s="209" t="s">
        <v>814</v>
      </c>
      <c r="D81" s="209" t="s">
        <v>815</v>
      </c>
      <c r="E81" s="1170">
        <v>58430</v>
      </c>
      <c r="F81" s="315" t="str">
        <f t="shared" si="22"/>
        <v>GRSM</v>
      </c>
      <c r="G81" s="315">
        <f t="shared" si="16"/>
        <v>0</v>
      </c>
      <c r="H81" s="211">
        <v>0</v>
      </c>
      <c r="I81" s="211">
        <f t="shared" si="17"/>
        <v>0</v>
      </c>
      <c r="J81" s="315">
        <f t="shared" si="18"/>
        <v>58430</v>
      </c>
      <c r="K81" s="353" t="s">
        <v>682</v>
      </c>
      <c r="L81" s="1109">
        <v>6379.81</v>
      </c>
      <c r="M81" s="212">
        <f t="shared" si="19"/>
        <v>52050.19</v>
      </c>
      <c r="N81" s="315">
        <f t="shared" si="20"/>
        <v>0</v>
      </c>
      <c r="O81" s="215">
        <v>2</v>
      </c>
    </row>
    <row r="82" spans="1:15" x14ac:dyDescent="0.2">
      <c r="A82" s="207" t="s">
        <v>816</v>
      </c>
      <c r="B82" s="208">
        <v>456</v>
      </c>
      <c r="C82" s="209" t="s">
        <v>817</v>
      </c>
      <c r="D82" s="209" t="s">
        <v>818</v>
      </c>
      <c r="E82" s="1170">
        <v>0</v>
      </c>
      <c r="F82" s="315" t="str">
        <f t="shared" si="22"/>
        <v>GRSM</v>
      </c>
      <c r="G82" s="315">
        <f t="shared" si="16"/>
        <v>0</v>
      </c>
      <c r="H82" s="211">
        <v>0</v>
      </c>
      <c r="I82" s="211">
        <f t="shared" si="17"/>
        <v>0</v>
      </c>
      <c r="J82" s="315">
        <f t="shared" si="18"/>
        <v>0</v>
      </c>
      <c r="K82" s="353" t="s">
        <v>682</v>
      </c>
      <c r="L82" s="1109">
        <v>0</v>
      </c>
      <c r="M82" s="212">
        <f t="shared" si="19"/>
        <v>0</v>
      </c>
      <c r="N82" s="315">
        <f t="shared" si="20"/>
        <v>0</v>
      </c>
      <c r="O82" s="210">
        <v>2</v>
      </c>
    </row>
    <row r="83" spans="1:15" x14ac:dyDescent="0.2">
      <c r="A83" s="207" t="s">
        <v>819</v>
      </c>
      <c r="B83" s="208">
        <v>456</v>
      </c>
      <c r="C83" s="209" t="s">
        <v>820</v>
      </c>
      <c r="D83" s="209" t="s">
        <v>821</v>
      </c>
      <c r="E83" s="1170">
        <v>15092.66</v>
      </c>
      <c r="F83" s="315" t="str">
        <f t="shared" si="22"/>
        <v>GRSM</v>
      </c>
      <c r="G83" s="315">
        <f t="shared" si="16"/>
        <v>0</v>
      </c>
      <c r="H83" s="211">
        <v>0</v>
      </c>
      <c r="I83" s="211">
        <f t="shared" si="17"/>
        <v>0</v>
      </c>
      <c r="J83" s="315">
        <f t="shared" si="18"/>
        <v>15092.66</v>
      </c>
      <c r="K83" s="353" t="s">
        <v>682</v>
      </c>
      <c r="L83" s="1109">
        <v>4728.59</v>
      </c>
      <c r="M83" s="212">
        <f t="shared" si="19"/>
        <v>10364.07</v>
      </c>
      <c r="N83" s="315">
        <f t="shared" si="20"/>
        <v>0</v>
      </c>
      <c r="O83" s="215">
        <v>2</v>
      </c>
    </row>
    <row r="84" spans="1:15" x14ac:dyDescent="0.2">
      <c r="A84" s="207" t="s">
        <v>822</v>
      </c>
      <c r="B84" s="208">
        <v>456</v>
      </c>
      <c r="C84" s="209" t="s">
        <v>823</v>
      </c>
      <c r="D84" s="209" t="s">
        <v>824</v>
      </c>
      <c r="E84" s="1170">
        <v>-1150</v>
      </c>
      <c r="F84" s="315" t="str">
        <f t="shared" si="22"/>
        <v>GRSM</v>
      </c>
      <c r="G84" s="315">
        <f t="shared" si="16"/>
        <v>0</v>
      </c>
      <c r="H84" s="211">
        <v>0</v>
      </c>
      <c r="I84" s="211">
        <f t="shared" si="17"/>
        <v>0</v>
      </c>
      <c r="J84" s="315">
        <f t="shared" si="18"/>
        <v>-1150</v>
      </c>
      <c r="K84" s="353" t="s">
        <v>682</v>
      </c>
      <c r="L84" s="1109">
        <v>0</v>
      </c>
      <c r="M84" s="212">
        <f t="shared" si="19"/>
        <v>-1150</v>
      </c>
      <c r="N84" s="315">
        <f t="shared" si="20"/>
        <v>0</v>
      </c>
      <c r="O84" s="215">
        <v>2</v>
      </c>
    </row>
    <row r="85" spans="1:15" x14ac:dyDescent="0.2">
      <c r="A85" s="207" t="s">
        <v>825</v>
      </c>
      <c r="B85" s="208">
        <v>456</v>
      </c>
      <c r="C85" s="209" t="s">
        <v>826</v>
      </c>
      <c r="D85" s="209" t="s">
        <v>827</v>
      </c>
      <c r="E85" s="1170">
        <v>4234.67</v>
      </c>
      <c r="F85" s="315" t="str">
        <f t="shared" si="22"/>
        <v>GRSM</v>
      </c>
      <c r="G85" s="315">
        <f t="shared" si="16"/>
        <v>0</v>
      </c>
      <c r="H85" s="211">
        <v>0</v>
      </c>
      <c r="I85" s="211">
        <f t="shared" si="17"/>
        <v>0</v>
      </c>
      <c r="J85" s="315">
        <f t="shared" si="18"/>
        <v>4234.67</v>
      </c>
      <c r="K85" s="353" t="s">
        <v>682</v>
      </c>
      <c r="L85" s="1109">
        <v>2472.19</v>
      </c>
      <c r="M85" s="212">
        <f t="shared" si="19"/>
        <v>1762.48</v>
      </c>
      <c r="N85" s="315">
        <f t="shared" si="20"/>
        <v>0</v>
      </c>
      <c r="O85" s="210">
        <v>2</v>
      </c>
    </row>
    <row r="86" spans="1:15" x14ac:dyDescent="0.2">
      <c r="A86" s="207" t="s">
        <v>828</v>
      </c>
      <c r="B86" s="208">
        <v>456</v>
      </c>
      <c r="C86" s="208">
        <v>4186536</v>
      </c>
      <c r="D86" s="226" t="s">
        <v>829</v>
      </c>
      <c r="E86" s="1170">
        <v>0</v>
      </c>
      <c r="F86" s="315" t="str">
        <f t="shared" si="22"/>
        <v>GRSM</v>
      </c>
      <c r="G86" s="315">
        <f t="shared" si="16"/>
        <v>0</v>
      </c>
      <c r="H86" s="211">
        <v>0</v>
      </c>
      <c r="I86" s="211">
        <f t="shared" si="17"/>
        <v>0</v>
      </c>
      <c r="J86" s="315">
        <f t="shared" si="18"/>
        <v>0</v>
      </c>
      <c r="K86" s="353" t="s">
        <v>682</v>
      </c>
      <c r="L86" s="1109">
        <v>0</v>
      </c>
      <c r="M86" s="212">
        <f t="shared" si="19"/>
        <v>0</v>
      </c>
      <c r="N86" s="315">
        <f t="shared" si="20"/>
        <v>0</v>
      </c>
      <c r="O86" s="210">
        <v>2</v>
      </c>
    </row>
    <row r="87" spans="1:15" x14ac:dyDescent="0.2">
      <c r="A87" s="207" t="s">
        <v>830</v>
      </c>
      <c r="B87" s="208">
        <v>456</v>
      </c>
      <c r="C87" s="208">
        <v>4186538</v>
      </c>
      <c r="D87" s="226" t="s">
        <v>831</v>
      </c>
      <c r="E87" s="1170">
        <v>0</v>
      </c>
      <c r="F87" s="315" t="str">
        <f t="shared" si="22"/>
        <v>GRSM</v>
      </c>
      <c r="G87" s="315">
        <f t="shared" si="16"/>
        <v>0</v>
      </c>
      <c r="H87" s="211">
        <v>0</v>
      </c>
      <c r="I87" s="211">
        <f t="shared" si="17"/>
        <v>0</v>
      </c>
      <c r="J87" s="315">
        <f t="shared" si="18"/>
        <v>0</v>
      </c>
      <c r="K87" s="353" t="s">
        <v>682</v>
      </c>
      <c r="L87" s="1109">
        <v>0</v>
      </c>
      <c r="M87" s="212">
        <f t="shared" si="19"/>
        <v>0</v>
      </c>
      <c r="N87" s="315">
        <f t="shared" si="20"/>
        <v>0</v>
      </c>
      <c r="O87" s="210">
        <v>2</v>
      </c>
    </row>
    <row r="88" spans="1:15" x14ac:dyDescent="0.2">
      <c r="A88" s="207" t="s">
        <v>832</v>
      </c>
      <c r="B88" s="208">
        <v>456</v>
      </c>
      <c r="C88" s="209" t="s">
        <v>833</v>
      </c>
      <c r="D88" s="209" t="s">
        <v>834</v>
      </c>
      <c r="E88" s="1170">
        <v>0</v>
      </c>
      <c r="F88" s="315" t="str">
        <f t="shared" si="22"/>
        <v>GRSM</v>
      </c>
      <c r="G88" s="315">
        <f t="shared" si="16"/>
        <v>0</v>
      </c>
      <c r="H88" s="211">
        <v>0</v>
      </c>
      <c r="I88" s="211">
        <f t="shared" si="17"/>
        <v>0</v>
      </c>
      <c r="J88" s="315">
        <f t="shared" si="18"/>
        <v>0</v>
      </c>
      <c r="K88" s="353" t="s">
        <v>624</v>
      </c>
      <c r="L88" s="1109">
        <v>0</v>
      </c>
      <c r="M88" s="212">
        <f t="shared" si="19"/>
        <v>0</v>
      </c>
      <c r="N88" s="315">
        <f t="shared" si="20"/>
        <v>0</v>
      </c>
      <c r="O88" s="210">
        <v>2</v>
      </c>
    </row>
    <row r="89" spans="1:15" x14ac:dyDescent="0.2">
      <c r="A89" s="207" t="s">
        <v>835</v>
      </c>
      <c r="B89" s="208">
        <v>456</v>
      </c>
      <c r="C89" s="209" t="s">
        <v>836</v>
      </c>
      <c r="D89" s="209" t="s">
        <v>837</v>
      </c>
      <c r="E89" s="1170">
        <v>0</v>
      </c>
      <c r="F89" s="315" t="str">
        <f t="shared" si="22"/>
        <v>GRSM</v>
      </c>
      <c r="G89" s="315">
        <f t="shared" si="16"/>
        <v>0</v>
      </c>
      <c r="H89" s="211">
        <v>0</v>
      </c>
      <c r="I89" s="211">
        <f t="shared" si="17"/>
        <v>0</v>
      </c>
      <c r="J89" s="315">
        <f t="shared" si="18"/>
        <v>0</v>
      </c>
      <c r="K89" s="353" t="s">
        <v>624</v>
      </c>
      <c r="L89" s="1109">
        <v>0</v>
      </c>
      <c r="M89" s="212">
        <f t="shared" si="19"/>
        <v>0</v>
      </c>
      <c r="N89" s="315">
        <f t="shared" si="20"/>
        <v>0</v>
      </c>
      <c r="O89" s="210">
        <v>2</v>
      </c>
    </row>
    <row r="90" spans="1:15" x14ac:dyDescent="0.2">
      <c r="A90" s="207" t="s">
        <v>838</v>
      </c>
      <c r="B90" s="208">
        <v>456</v>
      </c>
      <c r="C90" s="209" t="s">
        <v>839</v>
      </c>
      <c r="D90" s="209" t="s">
        <v>840</v>
      </c>
      <c r="E90" s="1170">
        <v>0</v>
      </c>
      <c r="F90" s="315" t="str">
        <f t="shared" si="22"/>
        <v>GRSM</v>
      </c>
      <c r="G90" s="315">
        <f t="shared" si="16"/>
        <v>0</v>
      </c>
      <c r="H90" s="211">
        <v>0</v>
      </c>
      <c r="I90" s="211">
        <f t="shared" si="17"/>
        <v>0</v>
      </c>
      <c r="J90" s="315">
        <f t="shared" si="18"/>
        <v>0</v>
      </c>
      <c r="K90" s="353" t="s">
        <v>624</v>
      </c>
      <c r="L90" s="1109">
        <v>0</v>
      </c>
      <c r="M90" s="212">
        <f t="shared" si="19"/>
        <v>0</v>
      </c>
      <c r="N90" s="315">
        <f t="shared" si="20"/>
        <v>0</v>
      </c>
      <c r="O90" s="210">
        <v>2</v>
      </c>
    </row>
    <row r="91" spans="1:15" x14ac:dyDescent="0.2">
      <c r="A91" s="207" t="s">
        <v>841</v>
      </c>
      <c r="B91" s="208">
        <v>456</v>
      </c>
      <c r="C91" s="209" t="s">
        <v>842</v>
      </c>
      <c r="D91" s="209" t="s">
        <v>843</v>
      </c>
      <c r="E91" s="1170">
        <v>0</v>
      </c>
      <c r="F91" s="315" t="str">
        <f t="shared" si="22"/>
        <v>GRSM</v>
      </c>
      <c r="G91" s="315">
        <f t="shared" si="16"/>
        <v>0</v>
      </c>
      <c r="H91" s="211">
        <v>0</v>
      </c>
      <c r="I91" s="211">
        <f t="shared" si="17"/>
        <v>0</v>
      </c>
      <c r="J91" s="315">
        <f>IF(F91=$J$2,E91,0)</f>
        <v>0</v>
      </c>
      <c r="K91" s="353" t="s">
        <v>624</v>
      </c>
      <c r="L91" s="1109">
        <v>0</v>
      </c>
      <c r="M91" s="212">
        <f t="shared" si="19"/>
        <v>0</v>
      </c>
      <c r="N91" s="315">
        <f t="shared" si="20"/>
        <v>0</v>
      </c>
      <c r="O91" s="215">
        <v>2</v>
      </c>
    </row>
    <row r="92" spans="1:15" x14ac:dyDescent="0.2">
      <c r="A92" s="207" t="s">
        <v>844</v>
      </c>
      <c r="B92" s="208">
        <v>456</v>
      </c>
      <c r="C92" s="209" t="s">
        <v>845</v>
      </c>
      <c r="D92" s="209" t="s">
        <v>846</v>
      </c>
      <c r="E92" s="1170">
        <v>12802</v>
      </c>
      <c r="F92" s="315" t="str">
        <f t="shared" si="22"/>
        <v>GRSM</v>
      </c>
      <c r="G92" s="315">
        <f t="shared" si="16"/>
        <v>0</v>
      </c>
      <c r="H92" s="211">
        <v>0</v>
      </c>
      <c r="I92" s="211">
        <f t="shared" si="17"/>
        <v>0</v>
      </c>
      <c r="J92" s="315">
        <f t="shared" si="18"/>
        <v>12802</v>
      </c>
      <c r="K92" s="353" t="s">
        <v>624</v>
      </c>
      <c r="L92" s="1175">
        <v>2146</v>
      </c>
      <c r="M92" s="211">
        <f t="shared" si="19"/>
        <v>10656</v>
      </c>
      <c r="N92" s="315">
        <f t="shared" si="20"/>
        <v>0</v>
      </c>
      <c r="O92" s="210">
        <v>2</v>
      </c>
    </row>
    <row r="93" spans="1:15" x14ac:dyDescent="0.2">
      <c r="A93" s="207" t="s">
        <v>847</v>
      </c>
      <c r="B93" s="208">
        <v>456</v>
      </c>
      <c r="C93" s="209" t="s">
        <v>848</v>
      </c>
      <c r="D93" s="209" t="s">
        <v>849</v>
      </c>
      <c r="E93" s="1170">
        <v>380832.94</v>
      </c>
      <c r="F93" s="315" t="str">
        <f>$N$2</f>
        <v>Other Ratemaking</v>
      </c>
      <c r="G93" s="315">
        <f t="shared" si="16"/>
        <v>0</v>
      </c>
      <c r="H93" s="211">
        <v>0</v>
      </c>
      <c r="I93" s="211">
        <f t="shared" si="17"/>
        <v>0</v>
      </c>
      <c r="J93" s="315">
        <f t="shared" si="18"/>
        <v>0</v>
      </c>
      <c r="K93" s="315"/>
      <c r="L93" s="1109"/>
      <c r="M93" s="212">
        <f t="shared" si="19"/>
        <v>0</v>
      </c>
      <c r="N93" s="315">
        <f t="shared" si="20"/>
        <v>380832.94</v>
      </c>
      <c r="O93" s="215">
        <v>6</v>
      </c>
    </row>
    <row r="94" spans="1:15" x14ac:dyDescent="0.2">
      <c r="A94" s="207" t="s">
        <v>850</v>
      </c>
      <c r="B94" s="208">
        <v>456</v>
      </c>
      <c r="C94" s="209" t="s">
        <v>851</v>
      </c>
      <c r="D94" s="209" t="s">
        <v>852</v>
      </c>
      <c r="E94" s="1170">
        <v>21335217.579999998</v>
      </c>
      <c r="F94" s="315" t="str">
        <f>$G$2</f>
        <v>Traditional OOR</v>
      </c>
      <c r="G94" s="315">
        <f t="shared" si="16"/>
        <v>21335217.579999998</v>
      </c>
      <c r="H94" s="211">
        <v>0</v>
      </c>
      <c r="I94" s="211">
        <f t="shared" si="17"/>
        <v>21335217.579999998</v>
      </c>
      <c r="J94" s="315">
        <f t="shared" si="18"/>
        <v>0</v>
      </c>
      <c r="K94" s="315"/>
      <c r="L94" s="1109"/>
      <c r="M94" s="212">
        <f t="shared" si="19"/>
        <v>0</v>
      </c>
      <c r="N94" s="315">
        <f t="shared" si="20"/>
        <v>0</v>
      </c>
      <c r="O94" s="215">
        <v>4</v>
      </c>
    </row>
    <row r="95" spans="1:15" x14ac:dyDescent="0.2">
      <c r="A95" s="207" t="s">
        <v>853</v>
      </c>
      <c r="B95" s="208">
        <v>456</v>
      </c>
      <c r="C95" s="209" t="s">
        <v>854</v>
      </c>
      <c r="D95" s="1110" t="s">
        <v>2226</v>
      </c>
      <c r="E95" s="1170">
        <v>86134484.930000007</v>
      </c>
      <c r="F95" s="315" t="str">
        <f t="shared" ref="F95:F100" si="23">$N$2</f>
        <v>Other Ratemaking</v>
      </c>
      <c r="G95" s="315">
        <f t="shared" si="16"/>
        <v>0</v>
      </c>
      <c r="H95" s="211">
        <v>0</v>
      </c>
      <c r="I95" s="211">
        <f t="shared" si="17"/>
        <v>0</v>
      </c>
      <c r="J95" s="315">
        <f t="shared" si="18"/>
        <v>0</v>
      </c>
      <c r="K95" s="315"/>
      <c r="L95" s="1109"/>
      <c r="M95" s="212">
        <f t="shared" si="19"/>
        <v>0</v>
      </c>
      <c r="N95" s="315">
        <f t="shared" si="20"/>
        <v>86134484.930000007</v>
      </c>
      <c r="O95" s="215">
        <v>6</v>
      </c>
    </row>
    <row r="96" spans="1:15" x14ac:dyDescent="0.2">
      <c r="A96" s="207" t="s">
        <v>855</v>
      </c>
      <c r="B96" s="208">
        <v>456</v>
      </c>
      <c r="C96" s="209" t="s">
        <v>856</v>
      </c>
      <c r="D96" s="1110" t="s">
        <v>2227</v>
      </c>
      <c r="E96" s="1170">
        <v>-25927939.539999999</v>
      </c>
      <c r="F96" s="315" t="str">
        <f t="shared" si="23"/>
        <v>Other Ratemaking</v>
      </c>
      <c r="G96" s="315">
        <f t="shared" si="16"/>
        <v>0</v>
      </c>
      <c r="H96" s="211">
        <v>0</v>
      </c>
      <c r="I96" s="211">
        <f t="shared" si="17"/>
        <v>0</v>
      </c>
      <c r="J96" s="315">
        <f t="shared" si="18"/>
        <v>0</v>
      </c>
      <c r="K96" s="315"/>
      <c r="L96" s="1109"/>
      <c r="M96" s="212">
        <f t="shared" si="19"/>
        <v>0</v>
      </c>
      <c r="N96" s="315">
        <f t="shared" si="20"/>
        <v>-25927939.539999999</v>
      </c>
      <c r="O96" s="215">
        <v>6</v>
      </c>
    </row>
    <row r="97" spans="1:15" x14ac:dyDescent="0.2">
      <c r="A97" s="207" t="s">
        <v>857</v>
      </c>
      <c r="B97" s="208">
        <v>456</v>
      </c>
      <c r="C97" s="209" t="s">
        <v>858</v>
      </c>
      <c r="D97" s="209" t="s">
        <v>859</v>
      </c>
      <c r="E97" s="1170">
        <v>-84711817.129999995</v>
      </c>
      <c r="F97" s="315" t="str">
        <f t="shared" si="23"/>
        <v>Other Ratemaking</v>
      </c>
      <c r="G97" s="315">
        <f t="shared" si="16"/>
        <v>0</v>
      </c>
      <c r="H97" s="211">
        <v>0</v>
      </c>
      <c r="I97" s="211">
        <f t="shared" si="17"/>
        <v>0</v>
      </c>
      <c r="J97" s="315">
        <f t="shared" si="18"/>
        <v>0</v>
      </c>
      <c r="K97" s="315"/>
      <c r="L97" s="1109"/>
      <c r="M97" s="212">
        <f t="shared" si="19"/>
        <v>0</v>
      </c>
      <c r="N97" s="315">
        <f t="shared" si="20"/>
        <v>-84711817.129999995</v>
      </c>
      <c r="O97" s="215">
        <v>6</v>
      </c>
    </row>
    <row r="98" spans="1:15" x14ac:dyDescent="0.2">
      <c r="A98" s="207" t="s">
        <v>860</v>
      </c>
      <c r="B98" s="208">
        <v>456</v>
      </c>
      <c r="C98" s="209" t="s">
        <v>861</v>
      </c>
      <c r="D98" s="209" t="s">
        <v>862</v>
      </c>
      <c r="E98" s="1170">
        <v>25927939.539999999</v>
      </c>
      <c r="F98" s="315" t="str">
        <f t="shared" si="23"/>
        <v>Other Ratemaking</v>
      </c>
      <c r="G98" s="315">
        <f t="shared" si="16"/>
        <v>0</v>
      </c>
      <c r="H98" s="211">
        <v>0</v>
      </c>
      <c r="I98" s="211">
        <f t="shared" si="17"/>
        <v>0</v>
      </c>
      <c r="J98" s="315">
        <f t="shared" si="18"/>
        <v>0</v>
      </c>
      <c r="K98" s="315"/>
      <c r="L98" s="1109"/>
      <c r="M98" s="212">
        <f t="shared" si="19"/>
        <v>0</v>
      </c>
      <c r="N98" s="315">
        <f t="shared" si="20"/>
        <v>25927939.539999999</v>
      </c>
      <c r="O98" s="215">
        <v>6</v>
      </c>
    </row>
    <row r="99" spans="1:15" x14ac:dyDescent="0.2">
      <c r="A99" s="207" t="s">
        <v>863</v>
      </c>
      <c r="B99" s="208">
        <v>456</v>
      </c>
      <c r="C99" s="209" t="s">
        <v>864</v>
      </c>
      <c r="D99" s="1110" t="s">
        <v>2228</v>
      </c>
      <c r="E99" s="1170">
        <v>39334703.299999997</v>
      </c>
      <c r="F99" s="315" t="str">
        <f t="shared" si="23"/>
        <v>Other Ratemaking</v>
      </c>
      <c r="G99" s="315">
        <f t="shared" si="16"/>
        <v>0</v>
      </c>
      <c r="H99" s="211">
        <v>0</v>
      </c>
      <c r="I99" s="211">
        <f t="shared" si="17"/>
        <v>0</v>
      </c>
      <c r="J99" s="315">
        <f t="shared" si="18"/>
        <v>0</v>
      </c>
      <c r="K99" s="315"/>
      <c r="L99" s="1109"/>
      <c r="M99" s="212">
        <f t="shared" si="19"/>
        <v>0</v>
      </c>
      <c r="N99" s="315">
        <f t="shared" si="20"/>
        <v>39334703.299999997</v>
      </c>
      <c r="O99" s="215">
        <v>6</v>
      </c>
    </row>
    <row r="100" spans="1:15" x14ac:dyDescent="0.2">
      <c r="A100" s="207" t="s">
        <v>865</v>
      </c>
      <c r="B100" s="208">
        <v>456</v>
      </c>
      <c r="C100" s="209" t="s">
        <v>866</v>
      </c>
      <c r="D100" s="209" t="s">
        <v>867</v>
      </c>
      <c r="E100" s="1170">
        <v>-39334703.299999997</v>
      </c>
      <c r="F100" s="315" t="str">
        <f t="shared" si="23"/>
        <v>Other Ratemaking</v>
      </c>
      <c r="G100" s="315">
        <f t="shared" si="16"/>
        <v>0</v>
      </c>
      <c r="H100" s="211">
        <v>0</v>
      </c>
      <c r="I100" s="211">
        <f t="shared" si="17"/>
        <v>0</v>
      </c>
      <c r="J100" s="315">
        <f t="shared" si="18"/>
        <v>0</v>
      </c>
      <c r="K100" s="315"/>
      <c r="L100" s="1109"/>
      <c r="M100" s="212">
        <f t="shared" si="19"/>
        <v>0</v>
      </c>
      <c r="N100" s="315">
        <f t="shared" si="20"/>
        <v>-39334703.299999997</v>
      </c>
      <c r="O100" s="215">
        <v>6</v>
      </c>
    </row>
    <row r="101" spans="1:15" x14ac:dyDescent="0.2">
      <c r="A101" s="207" t="s">
        <v>868</v>
      </c>
      <c r="B101" s="208">
        <v>456</v>
      </c>
      <c r="C101" s="209" t="s">
        <v>869</v>
      </c>
      <c r="D101" s="209" t="s">
        <v>870</v>
      </c>
      <c r="E101" s="1170">
        <v>0</v>
      </c>
      <c r="F101" s="315" t="str">
        <f>$J$2</f>
        <v>GRSM</v>
      </c>
      <c r="G101" s="315">
        <f t="shared" si="16"/>
        <v>0</v>
      </c>
      <c r="H101" s="211">
        <v>0</v>
      </c>
      <c r="I101" s="211">
        <f t="shared" si="17"/>
        <v>0</v>
      </c>
      <c r="J101" s="315">
        <f t="shared" si="18"/>
        <v>0</v>
      </c>
      <c r="K101" s="353" t="s">
        <v>624</v>
      </c>
      <c r="L101" s="1109">
        <v>0</v>
      </c>
      <c r="M101" s="212">
        <f t="shared" si="19"/>
        <v>0</v>
      </c>
      <c r="N101" s="315">
        <f t="shared" si="20"/>
        <v>0</v>
      </c>
      <c r="O101" s="215">
        <v>2</v>
      </c>
    </row>
    <row r="102" spans="1:15" x14ac:dyDescent="0.2">
      <c r="A102" s="207" t="s">
        <v>871</v>
      </c>
      <c r="B102" s="208">
        <v>456</v>
      </c>
      <c r="C102" s="209" t="s">
        <v>872</v>
      </c>
      <c r="D102" s="209" t="s">
        <v>873</v>
      </c>
      <c r="E102" s="1175">
        <v>0</v>
      </c>
      <c r="F102" s="315" t="str">
        <f>$J$2</f>
        <v>GRSM</v>
      </c>
      <c r="G102" s="315">
        <f t="shared" si="16"/>
        <v>0</v>
      </c>
      <c r="H102" s="211">
        <v>0</v>
      </c>
      <c r="I102" s="211">
        <f t="shared" si="17"/>
        <v>0</v>
      </c>
      <c r="J102" s="315">
        <f t="shared" si="18"/>
        <v>0</v>
      </c>
      <c r="K102" s="353" t="s">
        <v>624</v>
      </c>
      <c r="L102" s="1175">
        <v>1000</v>
      </c>
      <c r="M102" s="212">
        <f t="shared" si="19"/>
        <v>-1000</v>
      </c>
      <c r="N102" s="315">
        <f t="shared" si="20"/>
        <v>0</v>
      </c>
      <c r="O102" s="215">
        <v>2</v>
      </c>
    </row>
    <row r="103" spans="1:15" x14ac:dyDescent="0.2">
      <c r="A103" s="207" t="s">
        <v>874</v>
      </c>
      <c r="B103" s="208">
        <v>456</v>
      </c>
      <c r="C103" s="209" t="s">
        <v>875</v>
      </c>
      <c r="D103" s="209" t="s">
        <v>876</v>
      </c>
      <c r="E103" s="1170">
        <v>0</v>
      </c>
      <c r="F103" s="315" t="str">
        <f>$N$2</f>
        <v>Other Ratemaking</v>
      </c>
      <c r="G103" s="315">
        <f t="shared" si="16"/>
        <v>0</v>
      </c>
      <c r="H103" s="211">
        <v>0</v>
      </c>
      <c r="I103" s="211">
        <f t="shared" si="17"/>
        <v>0</v>
      </c>
      <c r="J103" s="315">
        <f t="shared" si="18"/>
        <v>0</v>
      </c>
      <c r="K103" s="315"/>
      <c r="L103" s="1109"/>
      <c r="M103" s="212">
        <f t="shared" si="19"/>
        <v>0</v>
      </c>
      <c r="N103" s="315">
        <f t="shared" si="20"/>
        <v>0</v>
      </c>
      <c r="O103" s="215">
        <v>6</v>
      </c>
    </row>
    <row r="104" spans="1:15" x14ac:dyDescent="0.2">
      <c r="A104" s="207" t="s">
        <v>877</v>
      </c>
      <c r="B104" s="208">
        <v>456</v>
      </c>
      <c r="C104" s="209" t="s">
        <v>878</v>
      </c>
      <c r="D104" s="209" t="s">
        <v>879</v>
      </c>
      <c r="E104" s="1170">
        <v>491817.12</v>
      </c>
      <c r="F104" s="315" t="str">
        <f t="shared" ref="F104:F114" si="24">$G$2</f>
        <v>Traditional OOR</v>
      </c>
      <c r="G104" s="315">
        <f t="shared" si="16"/>
        <v>491817.12</v>
      </c>
      <c r="H104" s="211">
        <v>0</v>
      </c>
      <c r="I104" s="211">
        <f t="shared" si="17"/>
        <v>491817.12</v>
      </c>
      <c r="J104" s="315">
        <f t="shared" si="18"/>
        <v>0</v>
      </c>
      <c r="K104" s="315"/>
      <c r="L104" s="1109"/>
      <c r="M104" s="212">
        <f t="shared" si="19"/>
        <v>0</v>
      </c>
      <c r="N104" s="315">
        <f t="shared" si="20"/>
        <v>0</v>
      </c>
      <c r="O104" s="215">
        <v>1</v>
      </c>
    </row>
    <row r="105" spans="1:15" x14ac:dyDescent="0.2">
      <c r="A105" s="207" t="s">
        <v>880</v>
      </c>
      <c r="B105" s="208">
        <v>456</v>
      </c>
      <c r="C105" s="209" t="s">
        <v>881</v>
      </c>
      <c r="D105" s="209" t="s">
        <v>882</v>
      </c>
      <c r="E105" s="1170">
        <v>0</v>
      </c>
      <c r="F105" s="315" t="str">
        <f t="shared" si="24"/>
        <v>Traditional OOR</v>
      </c>
      <c r="G105" s="315">
        <f t="shared" si="16"/>
        <v>0</v>
      </c>
      <c r="H105" s="211">
        <v>0</v>
      </c>
      <c r="I105" s="211">
        <f t="shared" si="17"/>
        <v>0</v>
      </c>
      <c r="J105" s="315">
        <f t="shared" si="18"/>
        <v>0</v>
      </c>
      <c r="K105" s="315"/>
      <c r="L105" s="1109"/>
      <c r="M105" s="212">
        <f t="shared" si="19"/>
        <v>0</v>
      </c>
      <c r="N105" s="315">
        <f t="shared" si="20"/>
        <v>0</v>
      </c>
      <c r="O105" s="215">
        <v>1</v>
      </c>
    </row>
    <row r="106" spans="1:15" x14ac:dyDescent="0.2">
      <c r="A106" s="207" t="s">
        <v>883</v>
      </c>
      <c r="B106" s="208">
        <v>456</v>
      </c>
      <c r="C106" s="209" t="s">
        <v>884</v>
      </c>
      <c r="D106" s="209" t="s">
        <v>885</v>
      </c>
      <c r="E106" s="1170">
        <v>1986552.71</v>
      </c>
      <c r="F106" s="315" t="str">
        <f t="shared" si="24"/>
        <v>Traditional OOR</v>
      </c>
      <c r="G106" s="315">
        <f t="shared" si="16"/>
        <v>1986552.71</v>
      </c>
      <c r="H106" s="211">
        <v>0</v>
      </c>
      <c r="I106" s="211">
        <f t="shared" si="17"/>
        <v>1986552.71</v>
      </c>
      <c r="J106" s="315">
        <f t="shared" si="18"/>
        <v>0</v>
      </c>
      <c r="K106" s="315"/>
      <c r="L106" s="1109"/>
      <c r="M106" s="212">
        <f t="shared" si="19"/>
        <v>0</v>
      </c>
      <c r="N106" s="315">
        <f t="shared" si="20"/>
        <v>0</v>
      </c>
      <c r="O106" s="215">
        <v>4</v>
      </c>
    </row>
    <row r="107" spans="1:15" x14ac:dyDescent="0.2">
      <c r="A107" s="207" t="s">
        <v>886</v>
      </c>
      <c r="B107" s="208">
        <v>456</v>
      </c>
      <c r="C107" s="209" t="s">
        <v>887</v>
      </c>
      <c r="D107" s="209" t="s">
        <v>888</v>
      </c>
      <c r="E107" s="1170">
        <v>521525.02</v>
      </c>
      <c r="F107" s="315" t="str">
        <f t="shared" si="24"/>
        <v>Traditional OOR</v>
      </c>
      <c r="G107" s="315">
        <f t="shared" si="16"/>
        <v>521525.02</v>
      </c>
      <c r="H107" s="211">
        <v>0</v>
      </c>
      <c r="I107" s="211">
        <f t="shared" si="17"/>
        <v>521525.02</v>
      </c>
      <c r="J107" s="315">
        <f t="shared" si="18"/>
        <v>0</v>
      </c>
      <c r="K107" s="315"/>
      <c r="L107" s="1109"/>
      <c r="M107" s="212">
        <f t="shared" si="19"/>
        <v>0</v>
      </c>
      <c r="N107" s="315">
        <f t="shared" si="20"/>
        <v>0</v>
      </c>
      <c r="O107" s="215">
        <v>4</v>
      </c>
    </row>
    <row r="108" spans="1:15" x14ac:dyDescent="0.2">
      <c r="A108" s="207" t="s">
        <v>889</v>
      </c>
      <c r="B108" s="208">
        <v>456</v>
      </c>
      <c r="C108" s="209" t="s">
        <v>890</v>
      </c>
      <c r="D108" s="209" t="s">
        <v>891</v>
      </c>
      <c r="E108" s="1170">
        <v>-1040.17</v>
      </c>
      <c r="F108" s="315" t="str">
        <f t="shared" si="24"/>
        <v>Traditional OOR</v>
      </c>
      <c r="G108" s="315">
        <f t="shared" si="16"/>
        <v>-1040.17</v>
      </c>
      <c r="H108" s="211">
        <v>0</v>
      </c>
      <c r="I108" s="211">
        <f t="shared" si="17"/>
        <v>-1040.17</v>
      </c>
      <c r="J108" s="315">
        <f t="shared" si="18"/>
        <v>0</v>
      </c>
      <c r="K108" s="315"/>
      <c r="L108" s="1109"/>
      <c r="M108" s="212">
        <f t="shared" si="19"/>
        <v>0</v>
      </c>
      <c r="N108" s="315">
        <f t="shared" si="20"/>
        <v>0</v>
      </c>
      <c r="O108" s="215">
        <v>4</v>
      </c>
    </row>
    <row r="109" spans="1:15" x14ac:dyDescent="0.2">
      <c r="A109" s="207" t="s">
        <v>892</v>
      </c>
      <c r="B109" s="208">
        <v>456</v>
      </c>
      <c r="C109" s="209" t="s">
        <v>893</v>
      </c>
      <c r="D109" s="209" t="s">
        <v>894</v>
      </c>
      <c r="E109" s="1170">
        <v>16888.919999999998</v>
      </c>
      <c r="F109" s="315" t="str">
        <f t="shared" si="24"/>
        <v>Traditional OOR</v>
      </c>
      <c r="G109" s="315">
        <f t="shared" si="16"/>
        <v>16888.919999999998</v>
      </c>
      <c r="H109" s="211">
        <v>0</v>
      </c>
      <c r="I109" s="211">
        <f t="shared" si="17"/>
        <v>16888.919999999998</v>
      </c>
      <c r="J109" s="315">
        <f t="shared" si="18"/>
        <v>0</v>
      </c>
      <c r="K109" s="315"/>
      <c r="L109" s="1109"/>
      <c r="M109" s="212">
        <f t="shared" si="19"/>
        <v>0</v>
      </c>
      <c r="N109" s="315">
        <f t="shared" si="20"/>
        <v>0</v>
      </c>
      <c r="O109" s="215">
        <v>1</v>
      </c>
    </row>
    <row r="110" spans="1:15" x14ac:dyDescent="0.2">
      <c r="A110" s="207" t="s">
        <v>895</v>
      </c>
      <c r="B110" s="208">
        <v>456</v>
      </c>
      <c r="C110" s="209" t="s">
        <v>896</v>
      </c>
      <c r="D110" s="209" t="s">
        <v>897</v>
      </c>
      <c r="E110" s="1170">
        <v>2392.08</v>
      </c>
      <c r="F110" s="315" t="str">
        <f t="shared" si="24"/>
        <v>Traditional OOR</v>
      </c>
      <c r="G110" s="315">
        <f t="shared" si="16"/>
        <v>2392.08</v>
      </c>
      <c r="H110" s="211">
        <v>0</v>
      </c>
      <c r="I110" s="211">
        <f t="shared" si="17"/>
        <v>2392.08</v>
      </c>
      <c r="J110" s="315">
        <f t="shared" si="18"/>
        <v>0</v>
      </c>
      <c r="K110" s="315"/>
      <c r="L110" s="1109"/>
      <c r="M110" s="212">
        <f t="shared" si="19"/>
        <v>0</v>
      </c>
      <c r="N110" s="315">
        <f t="shared" si="20"/>
        <v>0</v>
      </c>
      <c r="O110" s="215">
        <v>4</v>
      </c>
    </row>
    <row r="111" spans="1:15" x14ac:dyDescent="0.2">
      <c r="A111" s="207" t="s">
        <v>898</v>
      </c>
      <c r="B111" s="208">
        <v>456</v>
      </c>
      <c r="C111" s="209" t="s">
        <v>899</v>
      </c>
      <c r="D111" s="209" t="s">
        <v>900</v>
      </c>
      <c r="E111" s="1170">
        <v>2108744.36</v>
      </c>
      <c r="F111" s="315" t="str">
        <f t="shared" si="24"/>
        <v>Traditional OOR</v>
      </c>
      <c r="G111" s="315">
        <f t="shared" si="16"/>
        <v>2108744.36</v>
      </c>
      <c r="H111" s="1109">
        <v>25838</v>
      </c>
      <c r="I111" s="211">
        <f t="shared" si="17"/>
        <v>2082906.3599999999</v>
      </c>
      <c r="J111" s="315">
        <f t="shared" si="18"/>
        <v>0</v>
      </c>
      <c r="K111" s="315"/>
      <c r="L111" s="1109"/>
      <c r="M111" s="212">
        <f t="shared" si="19"/>
        <v>0</v>
      </c>
      <c r="N111" s="315">
        <f t="shared" si="20"/>
        <v>0</v>
      </c>
      <c r="O111" s="210">
        <v>8</v>
      </c>
    </row>
    <row r="112" spans="1:15" x14ac:dyDescent="0.2">
      <c r="A112" s="207" t="s">
        <v>901</v>
      </c>
      <c r="B112" s="208">
        <v>456</v>
      </c>
      <c r="C112" s="209" t="s">
        <v>902</v>
      </c>
      <c r="D112" s="209" t="s">
        <v>903</v>
      </c>
      <c r="E112" s="1170">
        <v>2805161.25</v>
      </c>
      <c r="F112" s="315" t="str">
        <f t="shared" si="24"/>
        <v>Traditional OOR</v>
      </c>
      <c r="G112" s="315">
        <f t="shared" si="16"/>
        <v>2805161.25</v>
      </c>
      <c r="H112" s="211">
        <v>0</v>
      </c>
      <c r="I112" s="211">
        <f t="shared" si="17"/>
        <v>2805161.25</v>
      </c>
      <c r="J112" s="315">
        <f t="shared" si="18"/>
        <v>0</v>
      </c>
      <c r="K112" s="315"/>
      <c r="L112" s="1109"/>
      <c r="M112" s="212">
        <f t="shared" si="19"/>
        <v>0</v>
      </c>
      <c r="N112" s="315">
        <f t="shared" si="20"/>
        <v>0</v>
      </c>
      <c r="O112" s="215">
        <v>4</v>
      </c>
    </row>
    <row r="113" spans="1:15" x14ac:dyDescent="0.2">
      <c r="A113" s="207" t="s">
        <v>904</v>
      </c>
      <c r="B113" s="208">
        <v>456</v>
      </c>
      <c r="C113" s="209" t="s">
        <v>905</v>
      </c>
      <c r="D113" s="209" t="s">
        <v>906</v>
      </c>
      <c r="E113" s="1170">
        <v>1252.95</v>
      </c>
      <c r="F113" s="315" t="str">
        <f t="shared" si="24"/>
        <v>Traditional OOR</v>
      </c>
      <c r="G113" s="315">
        <f t="shared" si="16"/>
        <v>1252.95</v>
      </c>
      <c r="H113" s="211">
        <v>0</v>
      </c>
      <c r="I113" s="211">
        <f t="shared" si="17"/>
        <v>1252.95</v>
      </c>
      <c r="J113" s="315">
        <f t="shared" si="18"/>
        <v>0</v>
      </c>
      <c r="K113" s="315"/>
      <c r="L113" s="1109"/>
      <c r="M113" s="212">
        <f t="shared" si="19"/>
        <v>0</v>
      </c>
      <c r="N113" s="315">
        <f t="shared" si="20"/>
        <v>0</v>
      </c>
      <c r="O113" s="215">
        <v>4</v>
      </c>
    </row>
    <row r="114" spans="1:15" x14ac:dyDescent="0.2">
      <c r="A114" s="207" t="s">
        <v>907</v>
      </c>
      <c r="B114" s="208">
        <v>456</v>
      </c>
      <c r="C114" s="209" t="s">
        <v>908</v>
      </c>
      <c r="D114" s="209" t="s">
        <v>909</v>
      </c>
      <c r="E114" s="1170">
        <v>4452.9399999999996</v>
      </c>
      <c r="F114" s="315" t="str">
        <f t="shared" si="24"/>
        <v>Traditional OOR</v>
      </c>
      <c r="G114" s="315">
        <f t="shared" si="16"/>
        <v>4452.9399999999996</v>
      </c>
      <c r="H114" s="211">
        <v>0</v>
      </c>
      <c r="I114" s="211">
        <f t="shared" si="17"/>
        <v>4452.9399999999996</v>
      </c>
      <c r="J114" s="315">
        <f t="shared" si="18"/>
        <v>0</v>
      </c>
      <c r="K114" s="315"/>
      <c r="L114" s="1109"/>
      <c r="M114" s="212">
        <f t="shared" si="19"/>
        <v>0</v>
      </c>
      <c r="N114" s="315">
        <f t="shared" si="20"/>
        <v>0</v>
      </c>
      <c r="O114" s="215">
        <v>6</v>
      </c>
    </row>
    <row r="115" spans="1:15" x14ac:dyDescent="0.2">
      <c r="A115" s="1111" t="s">
        <v>2209</v>
      </c>
      <c r="B115" s="208">
        <v>456</v>
      </c>
      <c r="C115" s="209" t="s">
        <v>910</v>
      </c>
      <c r="D115" s="1110" t="s">
        <v>2229</v>
      </c>
      <c r="E115" s="1170">
        <v>0</v>
      </c>
      <c r="F115" s="315" t="str">
        <f>$J$2</f>
        <v>GRSM</v>
      </c>
      <c r="G115" s="315">
        <f t="shared" si="16"/>
        <v>0</v>
      </c>
      <c r="H115" s="211">
        <v>0</v>
      </c>
      <c r="I115" s="211">
        <f t="shared" si="17"/>
        <v>0</v>
      </c>
      <c r="J115" s="315">
        <f t="shared" si="18"/>
        <v>0</v>
      </c>
      <c r="K115" s="353" t="s">
        <v>682</v>
      </c>
      <c r="L115" s="1109">
        <v>0</v>
      </c>
      <c r="M115" s="212">
        <f>J115-L115</f>
        <v>0</v>
      </c>
      <c r="N115" s="315">
        <f t="shared" si="20"/>
        <v>0</v>
      </c>
      <c r="O115" s="215">
        <v>2</v>
      </c>
    </row>
    <row r="116" spans="1:15" x14ac:dyDescent="0.2">
      <c r="A116" s="1111" t="s">
        <v>2210</v>
      </c>
      <c r="B116" s="208">
        <v>456</v>
      </c>
      <c r="C116" s="207" t="s">
        <v>1690</v>
      </c>
      <c r="D116" s="209" t="s">
        <v>1689</v>
      </c>
      <c r="E116" s="1170">
        <v>8.1</v>
      </c>
      <c r="F116" s="315" t="str">
        <f>$G$2</f>
        <v>Traditional OOR</v>
      </c>
      <c r="G116" s="315">
        <f t="shared" si="16"/>
        <v>8.1</v>
      </c>
      <c r="H116" s="211">
        <v>0</v>
      </c>
      <c r="I116" s="211">
        <f t="shared" si="17"/>
        <v>8.1</v>
      </c>
      <c r="J116" s="315">
        <f t="shared" si="18"/>
        <v>0</v>
      </c>
      <c r="K116" s="315"/>
      <c r="L116" s="321"/>
      <c r="M116" s="212">
        <f>J116-L116</f>
        <v>0</v>
      </c>
      <c r="N116" s="315">
        <f t="shared" si="20"/>
        <v>0</v>
      </c>
      <c r="O116" s="215">
        <v>1</v>
      </c>
    </row>
    <row r="117" spans="1:15" x14ac:dyDescent="0.2">
      <c r="A117" s="1176" t="s">
        <v>3181</v>
      </c>
      <c r="B117" s="1177">
        <v>456</v>
      </c>
      <c r="C117" s="1177">
        <v>4186911</v>
      </c>
      <c r="D117" s="1178" t="s">
        <v>3182</v>
      </c>
      <c r="E117" s="1170">
        <v>2134435.73</v>
      </c>
      <c r="F117" s="319"/>
      <c r="G117" s="323"/>
      <c r="H117" s="321"/>
      <c r="I117" s="321"/>
      <c r="J117" s="319"/>
      <c r="K117" s="319"/>
      <c r="L117" s="321"/>
      <c r="M117" s="321"/>
      <c r="N117" s="1170">
        <v>2134435.73</v>
      </c>
      <c r="O117" s="320"/>
    </row>
    <row r="118" spans="1:15" x14ac:dyDescent="0.2">
      <c r="A118" s="348"/>
      <c r="B118" s="344"/>
      <c r="C118" s="343"/>
      <c r="D118" s="345"/>
      <c r="E118" s="319"/>
      <c r="F118" s="319"/>
      <c r="G118" s="323"/>
      <c r="H118" s="321"/>
      <c r="I118" s="321"/>
      <c r="J118" s="319"/>
      <c r="K118" s="319"/>
      <c r="L118" s="321"/>
      <c r="M118" s="321"/>
      <c r="N118" s="319"/>
      <c r="O118" s="320"/>
    </row>
    <row r="119" spans="1:15" x14ac:dyDescent="0.2">
      <c r="A119" s="213">
        <v>13</v>
      </c>
      <c r="B119" s="1209" t="s">
        <v>911</v>
      </c>
      <c r="C119" s="1210"/>
      <c r="D119" s="1211"/>
      <c r="E119" s="312">
        <f>SUM(E63:E118)</f>
        <v>44732738.650000028</v>
      </c>
      <c r="F119" s="337"/>
      <c r="G119" s="312">
        <f>SUM(G63:G118)</f>
        <v>38867106.929959297</v>
      </c>
      <c r="H119" s="328">
        <f>SUM(H63:H118)</f>
        <v>41037.910944900003</v>
      </c>
      <c r="I119" s="328">
        <f>SUM(I63:I118)</f>
        <v>38826069.019014403</v>
      </c>
      <c r="J119" s="312">
        <f>SUM(J63:J118)</f>
        <v>1613683.5599999998</v>
      </c>
      <c r="K119" s="337"/>
      <c r="L119" s="312">
        <f>SUM(L63:L118)</f>
        <v>195327.01</v>
      </c>
      <c r="M119" s="312">
        <f>SUM(M63:M118)</f>
        <v>1418356.55</v>
      </c>
      <c r="N119" s="312">
        <f>SUM(N63:N118)</f>
        <v>4251948.1600407176</v>
      </c>
      <c r="O119" s="200"/>
    </row>
    <row r="120" spans="1:15" ht="25.5" customHeight="1" x14ac:dyDescent="0.2">
      <c r="A120" s="213">
        <v>14</v>
      </c>
      <c r="B120" s="1231" t="s">
        <v>1500</v>
      </c>
      <c r="C120" s="1232"/>
      <c r="D120" s="1233"/>
      <c r="E120" s="1172">
        <v>44732739</v>
      </c>
      <c r="F120" s="327"/>
      <c r="G120" s="342"/>
      <c r="H120" s="327"/>
      <c r="I120" s="327"/>
      <c r="J120" s="342"/>
      <c r="K120" s="327"/>
      <c r="L120" s="313"/>
      <c r="M120" s="313"/>
      <c r="N120" s="313"/>
      <c r="O120" s="199"/>
    </row>
    <row r="121" spans="1:15" x14ac:dyDescent="0.2">
      <c r="A121" s="216"/>
      <c r="B121" s="217"/>
      <c r="C121" s="218"/>
      <c r="D121" s="219"/>
      <c r="E121" s="313"/>
      <c r="F121" s="313"/>
      <c r="G121" s="313"/>
      <c r="H121" s="327"/>
      <c r="I121" s="327"/>
      <c r="J121" s="313"/>
      <c r="K121" s="327"/>
      <c r="L121" s="313"/>
      <c r="M121" s="313"/>
      <c r="N121" s="313"/>
      <c r="O121" s="199"/>
    </row>
    <row r="122" spans="1:15" x14ac:dyDescent="0.2">
      <c r="A122" s="213" t="s">
        <v>912</v>
      </c>
      <c r="B122" s="208">
        <v>456.1</v>
      </c>
      <c r="C122" s="214" t="s">
        <v>913</v>
      </c>
      <c r="D122" s="209" t="s">
        <v>914</v>
      </c>
      <c r="E122" s="1175">
        <v>0</v>
      </c>
      <c r="F122" s="315" t="str">
        <f>$G$2</f>
        <v>Traditional OOR</v>
      </c>
      <c r="G122" s="315">
        <f t="shared" ref="G122:G140" si="25">IF(F122=$G$2,E122,0)</f>
        <v>0</v>
      </c>
      <c r="H122" s="211">
        <f>G122</f>
        <v>0</v>
      </c>
      <c r="I122" s="211">
        <f t="shared" ref="I122:I140" si="26">G122-H122</f>
        <v>0</v>
      </c>
      <c r="J122" s="315">
        <f t="shared" ref="J122:J140" si="27">IF(F122=$J$2,E122,0)</f>
        <v>0</v>
      </c>
      <c r="K122" s="353"/>
      <c r="L122" s="1109">
        <v>0</v>
      </c>
      <c r="M122" s="212">
        <f t="shared" ref="M122:M140" si="28">J122-L122</f>
        <v>0</v>
      </c>
      <c r="N122" s="315">
        <f t="shared" ref="N122:N140" si="29">IF(F122=$N$2,E122,0)</f>
        <v>0</v>
      </c>
      <c r="O122" s="215">
        <v>5</v>
      </c>
    </row>
    <row r="123" spans="1:15" x14ac:dyDescent="0.2">
      <c r="A123" s="213" t="s">
        <v>915</v>
      </c>
      <c r="B123" s="208">
        <v>456.1</v>
      </c>
      <c r="C123" s="214" t="s">
        <v>916</v>
      </c>
      <c r="D123" s="209" t="s">
        <v>917</v>
      </c>
      <c r="E123" s="1175">
        <v>299738.03999999998</v>
      </c>
      <c r="F123" s="315" t="str">
        <f>$G$2</f>
        <v>Traditional OOR</v>
      </c>
      <c r="G123" s="315">
        <f t="shared" si="25"/>
        <v>299738.03999999998</v>
      </c>
      <c r="H123" s="211">
        <v>0</v>
      </c>
      <c r="I123" s="211">
        <f t="shared" si="26"/>
        <v>299738.03999999998</v>
      </c>
      <c r="J123" s="315">
        <f t="shared" si="27"/>
        <v>0</v>
      </c>
      <c r="K123" s="353"/>
      <c r="L123" s="1109">
        <v>0</v>
      </c>
      <c r="M123" s="212">
        <f t="shared" si="28"/>
        <v>0</v>
      </c>
      <c r="N123" s="315">
        <f t="shared" si="29"/>
        <v>0</v>
      </c>
      <c r="O123" s="215">
        <v>4</v>
      </c>
    </row>
    <row r="124" spans="1:15" x14ac:dyDescent="0.2">
      <c r="A124" s="213" t="s">
        <v>918</v>
      </c>
      <c r="B124" s="208">
        <v>456.1</v>
      </c>
      <c r="C124" s="214" t="s">
        <v>919</v>
      </c>
      <c r="D124" s="209" t="s">
        <v>920</v>
      </c>
      <c r="E124" s="1175">
        <v>981162.96</v>
      </c>
      <c r="F124" s="315" t="str">
        <f>$G$2</f>
        <v>Traditional OOR</v>
      </c>
      <c r="G124" s="315">
        <f t="shared" si="25"/>
        <v>981162.96</v>
      </c>
      <c r="H124" s="211">
        <v>0</v>
      </c>
      <c r="I124" s="211">
        <f t="shared" si="26"/>
        <v>981162.96</v>
      </c>
      <c r="J124" s="315">
        <f t="shared" si="27"/>
        <v>0</v>
      </c>
      <c r="K124" s="353"/>
      <c r="L124" s="1109">
        <v>0</v>
      </c>
      <c r="M124" s="212">
        <f t="shared" si="28"/>
        <v>0</v>
      </c>
      <c r="N124" s="315">
        <f t="shared" si="29"/>
        <v>0</v>
      </c>
      <c r="O124" s="215">
        <v>4</v>
      </c>
    </row>
    <row r="125" spans="1:15" x14ac:dyDescent="0.2">
      <c r="A125" s="213" t="s">
        <v>921</v>
      </c>
      <c r="B125" s="208">
        <v>456.1</v>
      </c>
      <c r="C125" s="214" t="s">
        <v>922</v>
      </c>
      <c r="D125" s="209" t="s">
        <v>923</v>
      </c>
      <c r="E125" s="1175">
        <v>96906.96</v>
      </c>
      <c r="F125" s="315" t="str">
        <f>$N$2</f>
        <v>Other Ratemaking</v>
      </c>
      <c r="G125" s="315">
        <f t="shared" si="25"/>
        <v>0</v>
      </c>
      <c r="H125" s="211">
        <v>0</v>
      </c>
      <c r="I125" s="211">
        <f t="shared" si="26"/>
        <v>0</v>
      </c>
      <c r="J125" s="315">
        <f t="shared" si="27"/>
        <v>0</v>
      </c>
      <c r="K125" s="353"/>
      <c r="L125" s="1109">
        <v>0</v>
      </c>
      <c r="M125" s="212">
        <f t="shared" si="28"/>
        <v>0</v>
      </c>
      <c r="N125" s="315">
        <f t="shared" si="29"/>
        <v>96906.96</v>
      </c>
      <c r="O125" s="215">
        <v>6</v>
      </c>
    </row>
    <row r="126" spans="1:15" x14ac:dyDescent="0.2">
      <c r="A126" s="213" t="s">
        <v>924</v>
      </c>
      <c r="B126" s="208">
        <v>456.1</v>
      </c>
      <c r="C126" s="214" t="s">
        <v>925</v>
      </c>
      <c r="D126" s="209" t="s">
        <v>926</v>
      </c>
      <c r="E126" s="1175">
        <v>45625238.439999998</v>
      </c>
      <c r="F126" s="315" t="str">
        <f>$N$2</f>
        <v>Other Ratemaking</v>
      </c>
      <c r="G126" s="315">
        <f t="shared" si="25"/>
        <v>0</v>
      </c>
      <c r="H126" s="211">
        <v>0</v>
      </c>
      <c r="I126" s="211">
        <f t="shared" si="26"/>
        <v>0</v>
      </c>
      <c r="J126" s="315">
        <f t="shared" si="27"/>
        <v>0</v>
      </c>
      <c r="K126" s="353"/>
      <c r="L126" s="1109">
        <v>0</v>
      </c>
      <c r="M126" s="212">
        <f t="shared" si="28"/>
        <v>0</v>
      </c>
      <c r="N126" s="315">
        <f t="shared" si="29"/>
        <v>45625238.439999998</v>
      </c>
      <c r="O126" s="215">
        <v>6</v>
      </c>
    </row>
    <row r="127" spans="1:15" x14ac:dyDescent="0.2">
      <c r="A127" s="213" t="s">
        <v>927</v>
      </c>
      <c r="B127" s="208">
        <v>456.1</v>
      </c>
      <c r="C127" s="214" t="s">
        <v>928</v>
      </c>
      <c r="D127" s="209" t="s">
        <v>929</v>
      </c>
      <c r="E127" s="1175">
        <v>0</v>
      </c>
      <c r="F127" s="315" t="str">
        <f>$N$2</f>
        <v>Other Ratemaking</v>
      </c>
      <c r="G127" s="315">
        <f t="shared" si="25"/>
        <v>0</v>
      </c>
      <c r="H127" s="211">
        <v>0</v>
      </c>
      <c r="I127" s="211">
        <f t="shared" si="26"/>
        <v>0</v>
      </c>
      <c r="J127" s="315">
        <f t="shared" si="27"/>
        <v>0</v>
      </c>
      <c r="K127" s="353"/>
      <c r="L127" s="1109">
        <v>0</v>
      </c>
      <c r="M127" s="212">
        <f t="shared" si="28"/>
        <v>0</v>
      </c>
      <c r="N127" s="315">
        <f t="shared" si="29"/>
        <v>0</v>
      </c>
      <c r="O127" s="215">
        <v>6</v>
      </c>
    </row>
    <row r="128" spans="1:15" x14ac:dyDescent="0.2">
      <c r="A128" s="213" t="s">
        <v>930</v>
      </c>
      <c r="B128" s="208">
        <v>456.1</v>
      </c>
      <c r="C128" s="214" t="s">
        <v>931</v>
      </c>
      <c r="D128" s="209" t="s">
        <v>932</v>
      </c>
      <c r="E128" s="1175">
        <v>30536536.940000001</v>
      </c>
      <c r="F128" s="315" t="str">
        <f>$G$2</f>
        <v>Traditional OOR</v>
      </c>
      <c r="G128" s="315">
        <f t="shared" si="25"/>
        <v>30536536.940000001</v>
      </c>
      <c r="H128" s="211">
        <f>G128</f>
        <v>30536536.940000001</v>
      </c>
      <c r="I128" s="211">
        <f t="shared" si="26"/>
        <v>0</v>
      </c>
      <c r="J128" s="315">
        <f t="shared" si="27"/>
        <v>0</v>
      </c>
      <c r="K128" s="353"/>
      <c r="L128" s="1109">
        <v>0</v>
      </c>
      <c r="M128" s="212">
        <f t="shared" si="28"/>
        <v>0</v>
      </c>
      <c r="N128" s="315">
        <f t="shared" si="29"/>
        <v>0</v>
      </c>
      <c r="O128" s="215">
        <v>5</v>
      </c>
    </row>
    <row r="129" spans="1:15" x14ac:dyDescent="0.2">
      <c r="A129" s="213" t="s">
        <v>933</v>
      </c>
      <c r="B129" s="208">
        <v>456.1</v>
      </c>
      <c r="C129" s="214" t="s">
        <v>934</v>
      </c>
      <c r="D129" s="209" t="s">
        <v>935</v>
      </c>
      <c r="E129" s="1175">
        <v>4846732.2300000004</v>
      </c>
      <c r="F129" s="315" t="str">
        <f>$G$2</f>
        <v>Traditional OOR</v>
      </c>
      <c r="G129" s="315">
        <f t="shared" si="25"/>
        <v>4846732.2300000004</v>
      </c>
      <c r="H129" s="211">
        <v>0</v>
      </c>
      <c r="I129" s="211">
        <f t="shared" si="26"/>
        <v>4846732.2300000004</v>
      </c>
      <c r="J129" s="315">
        <f t="shared" si="27"/>
        <v>0</v>
      </c>
      <c r="K129" s="353"/>
      <c r="L129" s="1109">
        <v>0</v>
      </c>
      <c r="M129" s="212">
        <f t="shared" si="28"/>
        <v>0</v>
      </c>
      <c r="N129" s="315">
        <f t="shared" si="29"/>
        <v>0</v>
      </c>
      <c r="O129" s="215">
        <v>4</v>
      </c>
    </row>
    <row r="130" spans="1:15" x14ac:dyDescent="0.2">
      <c r="A130" s="213" t="s">
        <v>936</v>
      </c>
      <c r="B130" s="208">
        <v>456.1</v>
      </c>
      <c r="C130" s="214" t="s">
        <v>937</v>
      </c>
      <c r="D130" s="209" t="s">
        <v>938</v>
      </c>
      <c r="E130" s="1175">
        <v>394622.38</v>
      </c>
      <c r="F130" s="315" t="str">
        <f>$G$2</f>
        <v>Traditional OOR</v>
      </c>
      <c r="G130" s="315">
        <f t="shared" si="25"/>
        <v>394622.38</v>
      </c>
      <c r="H130" s="211">
        <v>0</v>
      </c>
      <c r="I130" s="211">
        <f t="shared" si="26"/>
        <v>394622.38</v>
      </c>
      <c r="J130" s="315">
        <f t="shared" si="27"/>
        <v>0</v>
      </c>
      <c r="K130" s="353"/>
      <c r="L130" s="1109">
        <v>0</v>
      </c>
      <c r="M130" s="212">
        <f t="shared" si="28"/>
        <v>0</v>
      </c>
      <c r="N130" s="315">
        <f t="shared" si="29"/>
        <v>0</v>
      </c>
      <c r="O130" s="215">
        <v>4</v>
      </c>
    </row>
    <row r="131" spans="1:15" x14ac:dyDescent="0.2">
      <c r="A131" s="213" t="s">
        <v>939</v>
      </c>
      <c r="B131" s="208">
        <v>456.1</v>
      </c>
      <c r="C131" s="214" t="s">
        <v>940</v>
      </c>
      <c r="D131" s="209" t="s">
        <v>941</v>
      </c>
      <c r="E131" s="1175">
        <v>0</v>
      </c>
      <c r="F131" s="315" t="str">
        <f>$N$2</f>
        <v>Other Ratemaking</v>
      </c>
      <c r="G131" s="315">
        <f t="shared" si="25"/>
        <v>0</v>
      </c>
      <c r="H131" s="211">
        <v>0</v>
      </c>
      <c r="I131" s="211">
        <f t="shared" si="26"/>
        <v>0</v>
      </c>
      <c r="J131" s="315">
        <f t="shared" si="27"/>
        <v>0</v>
      </c>
      <c r="K131" s="353"/>
      <c r="L131" s="1109">
        <v>0</v>
      </c>
      <c r="M131" s="212">
        <f t="shared" si="28"/>
        <v>0</v>
      </c>
      <c r="N131" s="315">
        <f t="shared" si="29"/>
        <v>0</v>
      </c>
      <c r="O131" s="215">
        <v>6</v>
      </c>
    </row>
    <row r="132" spans="1:15" x14ac:dyDescent="0.2">
      <c r="A132" s="213" t="s">
        <v>942</v>
      </c>
      <c r="B132" s="208">
        <v>456.1</v>
      </c>
      <c r="C132" s="214" t="s">
        <v>943</v>
      </c>
      <c r="D132" s="209" t="s">
        <v>944</v>
      </c>
      <c r="E132" s="1175">
        <v>1081985.76</v>
      </c>
      <c r="F132" s="315" t="str">
        <f t="shared" ref="F132:F139" si="30">$G$2</f>
        <v>Traditional OOR</v>
      </c>
      <c r="G132" s="315">
        <f t="shared" si="25"/>
        <v>1081985.76</v>
      </c>
      <c r="H132" s="211">
        <v>0</v>
      </c>
      <c r="I132" s="211">
        <f t="shared" si="26"/>
        <v>1081985.76</v>
      </c>
      <c r="J132" s="315">
        <f t="shared" si="27"/>
        <v>0</v>
      </c>
      <c r="K132" s="353"/>
      <c r="L132" s="1109">
        <v>0</v>
      </c>
      <c r="M132" s="212">
        <f t="shared" si="28"/>
        <v>0</v>
      </c>
      <c r="N132" s="315">
        <f t="shared" si="29"/>
        <v>0</v>
      </c>
      <c r="O132" s="215">
        <v>4</v>
      </c>
    </row>
    <row r="133" spans="1:15" x14ac:dyDescent="0.2">
      <c r="A133" s="213" t="s">
        <v>945</v>
      </c>
      <c r="B133" s="208">
        <v>456.1</v>
      </c>
      <c r="C133" s="214" t="s">
        <v>946</v>
      </c>
      <c r="D133" s="209" t="s">
        <v>947</v>
      </c>
      <c r="E133" s="1175">
        <v>400687.2</v>
      </c>
      <c r="F133" s="315" t="str">
        <f t="shared" si="30"/>
        <v>Traditional OOR</v>
      </c>
      <c r="G133" s="315">
        <f t="shared" si="25"/>
        <v>400687.2</v>
      </c>
      <c r="H133" s="211">
        <v>0</v>
      </c>
      <c r="I133" s="211">
        <f t="shared" si="26"/>
        <v>400687.2</v>
      </c>
      <c r="J133" s="315">
        <f t="shared" si="27"/>
        <v>0</v>
      </c>
      <c r="K133" s="353"/>
      <c r="L133" s="1109">
        <v>0</v>
      </c>
      <c r="M133" s="212">
        <f t="shared" si="28"/>
        <v>0</v>
      </c>
      <c r="N133" s="315">
        <f t="shared" si="29"/>
        <v>0</v>
      </c>
      <c r="O133" s="215">
        <v>4</v>
      </c>
    </row>
    <row r="134" spans="1:15" x14ac:dyDescent="0.2">
      <c r="A134" s="213" t="s">
        <v>948</v>
      </c>
      <c r="B134" s="208">
        <v>456.1</v>
      </c>
      <c r="C134" s="214" t="s">
        <v>949</v>
      </c>
      <c r="D134" s="209" t="s">
        <v>950</v>
      </c>
      <c r="E134" s="1175">
        <v>199708.26</v>
      </c>
      <c r="F134" s="315" t="str">
        <f t="shared" si="30"/>
        <v>Traditional OOR</v>
      </c>
      <c r="G134" s="315">
        <f t="shared" si="25"/>
        <v>199708.26</v>
      </c>
      <c r="H134" s="211">
        <v>0</v>
      </c>
      <c r="I134" s="211">
        <f t="shared" si="26"/>
        <v>199708.26</v>
      </c>
      <c r="J134" s="315">
        <f t="shared" si="27"/>
        <v>0</v>
      </c>
      <c r="K134" s="353"/>
      <c r="L134" s="1109">
        <v>0</v>
      </c>
      <c r="M134" s="212">
        <f t="shared" si="28"/>
        <v>0</v>
      </c>
      <c r="N134" s="315">
        <f t="shared" si="29"/>
        <v>0</v>
      </c>
      <c r="O134" s="215">
        <v>4</v>
      </c>
    </row>
    <row r="135" spans="1:15" x14ac:dyDescent="0.2">
      <c r="A135" s="213" t="s">
        <v>951</v>
      </c>
      <c r="B135" s="208">
        <v>456.1</v>
      </c>
      <c r="C135" s="214" t="s">
        <v>952</v>
      </c>
      <c r="D135" s="209" t="s">
        <v>953</v>
      </c>
      <c r="E135" s="1175">
        <v>551001.5</v>
      </c>
      <c r="F135" s="315" t="str">
        <f t="shared" si="30"/>
        <v>Traditional OOR</v>
      </c>
      <c r="G135" s="315">
        <f t="shared" si="25"/>
        <v>551001.5</v>
      </c>
      <c r="H135" s="211">
        <v>0</v>
      </c>
      <c r="I135" s="211">
        <f t="shared" si="26"/>
        <v>551001.5</v>
      </c>
      <c r="J135" s="315">
        <f t="shared" si="27"/>
        <v>0</v>
      </c>
      <c r="K135" s="353"/>
      <c r="L135" s="1109">
        <v>0</v>
      </c>
      <c r="M135" s="212">
        <f t="shared" si="28"/>
        <v>0</v>
      </c>
      <c r="N135" s="315">
        <f t="shared" si="29"/>
        <v>0</v>
      </c>
      <c r="O135" s="215">
        <v>4</v>
      </c>
    </row>
    <row r="136" spans="1:15" x14ac:dyDescent="0.2">
      <c r="A136" s="213" t="s">
        <v>954</v>
      </c>
      <c r="B136" s="208">
        <v>456.1</v>
      </c>
      <c r="C136" s="214" t="s">
        <v>955</v>
      </c>
      <c r="D136" s="209" t="s">
        <v>956</v>
      </c>
      <c r="E136" s="1175">
        <v>650488.19999999995</v>
      </c>
      <c r="F136" s="315" t="str">
        <f t="shared" si="30"/>
        <v>Traditional OOR</v>
      </c>
      <c r="G136" s="315">
        <f t="shared" si="25"/>
        <v>650488.19999999995</v>
      </c>
      <c r="H136" s="211">
        <v>0</v>
      </c>
      <c r="I136" s="211">
        <f t="shared" si="26"/>
        <v>650488.19999999995</v>
      </c>
      <c r="J136" s="315">
        <f t="shared" si="27"/>
        <v>0</v>
      </c>
      <c r="K136" s="353"/>
      <c r="L136" s="1109">
        <v>0</v>
      </c>
      <c r="M136" s="212">
        <f t="shared" si="28"/>
        <v>0</v>
      </c>
      <c r="N136" s="315">
        <f t="shared" si="29"/>
        <v>0</v>
      </c>
      <c r="O136" s="215">
        <v>4</v>
      </c>
    </row>
    <row r="137" spans="1:15" x14ac:dyDescent="0.2">
      <c r="A137" s="213" t="s">
        <v>957</v>
      </c>
      <c r="B137" s="208">
        <v>456.1</v>
      </c>
      <c r="C137" s="214" t="s">
        <v>958</v>
      </c>
      <c r="D137" s="209" t="s">
        <v>959</v>
      </c>
      <c r="E137" s="1175">
        <v>264133.44</v>
      </c>
      <c r="F137" s="315" t="str">
        <f t="shared" si="30"/>
        <v>Traditional OOR</v>
      </c>
      <c r="G137" s="315">
        <f t="shared" si="25"/>
        <v>264133.44</v>
      </c>
      <c r="H137" s="211">
        <v>0</v>
      </c>
      <c r="I137" s="211">
        <f t="shared" si="26"/>
        <v>264133.44</v>
      </c>
      <c r="J137" s="315">
        <f t="shared" si="27"/>
        <v>0</v>
      </c>
      <c r="K137" s="353"/>
      <c r="L137" s="1109">
        <v>0</v>
      </c>
      <c r="M137" s="212">
        <f t="shared" si="28"/>
        <v>0</v>
      </c>
      <c r="N137" s="315">
        <f t="shared" si="29"/>
        <v>0</v>
      </c>
      <c r="O137" s="215">
        <v>4</v>
      </c>
    </row>
    <row r="138" spans="1:15" x14ac:dyDescent="0.2">
      <c r="A138" s="213" t="s">
        <v>960</v>
      </c>
      <c r="B138" s="208">
        <v>456.1</v>
      </c>
      <c r="C138" s="214" t="s">
        <v>961</v>
      </c>
      <c r="D138" s="209" t="s">
        <v>962</v>
      </c>
      <c r="E138" s="1170">
        <v>88107.5</v>
      </c>
      <c r="F138" s="315" t="str">
        <f t="shared" si="30"/>
        <v>Traditional OOR</v>
      </c>
      <c r="G138" s="315">
        <f t="shared" si="25"/>
        <v>88107.5</v>
      </c>
      <c r="H138" s="211">
        <v>0</v>
      </c>
      <c r="I138" s="211">
        <f t="shared" si="26"/>
        <v>88107.5</v>
      </c>
      <c r="J138" s="315">
        <f t="shared" si="27"/>
        <v>0</v>
      </c>
      <c r="K138" s="315"/>
      <c r="L138" s="1109">
        <v>0</v>
      </c>
      <c r="M138" s="212">
        <f t="shared" si="28"/>
        <v>0</v>
      </c>
      <c r="N138" s="315">
        <f t="shared" si="29"/>
        <v>0</v>
      </c>
      <c r="O138" s="215">
        <v>4</v>
      </c>
    </row>
    <row r="139" spans="1:15" x14ac:dyDescent="0.2">
      <c r="A139" s="213" t="s">
        <v>963</v>
      </c>
      <c r="B139" s="208">
        <v>456.1</v>
      </c>
      <c r="C139" s="214" t="s">
        <v>964</v>
      </c>
      <c r="D139" s="209" t="s">
        <v>965</v>
      </c>
      <c r="E139" s="1175">
        <v>42492.12</v>
      </c>
      <c r="F139" s="315" t="str">
        <f t="shared" si="30"/>
        <v>Traditional OOR</v>
      </c>
      <c r="G139" s="315">
        <f t="shared" si="25"/>
        <v>42492.12</v>
      </c>
      <c r="H139" s="211">
        <v>0</v>
      </c>
      <c r="I139" s="211">
        <f t="shared" si="26"/>
        <v>42492.12</v>
      </c>
      <c r="J139" s="315">
        <f t="shared" si="27"/>
        <v>0</v>
      </c>
      <c r="K139" s="353"/>
      <c r="L139" s="1109">
        <v>0</v>
      </c>
      <c r="M139" s="212">
        <f t="shared" si="28"/>
        <v>0</v>
      </c>
      <c r="N139" s="315">
        <f t="shared" si="29"/>
        <v>0</v>
      </c>
      <c r="O139" s="215">
        <v>4</v>
      </c>
    </row>
    <row r="140" spans="1:15" x14ac:dyDescent="0.2">
      <c r="A140" s="213" t="s">
        <v>966</v>
      </c>
      <c r="B140" s="208">
        <v>456.1</v>
      </c>
      <c r="C140" s="214" t="s">
        <v>967</v>
      </c>
      <c r="D140" s="209" t="s">
        <v>968</v>
      </c>
      <c r="E140" s="1175">
        <v>24799.02</v>
      </c>
      <c r="F140" s="315" t="str">
        <f>$N$2</f>
        <v>Other Ratemaking</v>
      </c>
      <c r="G140" s="315">
        <f t="shared" si="25"/>
        <v>0</v>
      </c>
      <c r="H140" s="211">
        <v>0</v>
      </c>
      <c r="I140" s="211">
        <f t="shared" si="26"/>
        <v>0</v>
      </c>
      <c r="J140" s="315">
        <f t="shared" si="27"/>
        <v>0</v>
      </c>
      <c r="K140" s="353"/>
      <c r="L140" s="1109">
        <v>0</v>
      </c>
      <c r="M140" s="212">
        <f t="shared" si="28"/>
        <v>0</v>
      </c>
      <c r="N140" s="315">
        <f t="shared" si="29"/>
        <v>24799.02</v>
      </c>
      <c r="O140" s="215">
        <v>6</v>
      </c>
    </row>
    <row r="141" spans="1:15" x14ac:dyDescent="0.2">
      <c r="A141" s="348"/>
      <c r="B141" s="344"/>
      <c r="C141" s="343"/>
      <c r="D141" s="345"/>
      <c r="E141" s="322"/>
      <c r="F141" s="322"/>
      <c r="G141" s="323"/>
      <c r="H141" s="321"/>
      <c r="I141" s="321"/>
      <c r="J141" s="319"/>
      <c r="K141" s="322"/>
      <c r="L141" s="321"/>
      <c r="M141" s="321"/>
      <c r="N141" s="319"/>
      <c r="O141" s="320"/>
    </row>
    <row r="142" spans="1:15" x14ac:dyDescent="0.2">
      <c r="A142" s="348"/>
      <c r="B142" s="344"/>
      <c r="C142" s="343"/>
      <c r="D142" s="345"/>
      <c r="E142" s="322"/>
      <c r="F142" s="322"/>
      <c r="G142" s="323"/>
      <c r="H142" s="321"/>
      <c r="I142" s="321"/>
      <c r="J142" s="319"/>
      <c r="K142" s="322"/>
      <c r="L142" s="321"/>
      <c r="M142" s="321"/>
      <c r="N142" s="319"/>
      <c r="O142" s="320"/>
    </row>
    <row r="143" spans="1:15" x14ac:dyDescent="0.2">
      <c r="A143" s="213">
        <v>16</v>
      </c>
      <c r="B143" s="1209" t="s">
        <v>969</v>
      </c>
      <c r="C143" s="1210"/>
      <c r="D143" s="1211"/>
      <c r="E143" s="312">
        <f>SUM(E122:E142)</f>
        <v>86084340.950000018</v>
      </c>
      <c r="F143" s="337"/>
      <c r="G143" s="312">
        <f>SUM(G122:G142)</f>
        <v>40337396.530000001</v>
      </c>
      <c r="H143" s="328">
        <f>SUM(H122:H142)</f>
        <v>30536536.940000001</v>
      </c>
      <c r="I143" s="328">
        <f>SUM(I122:I142)</f>
        <v>9800859.589999998</v>
      </c>
      <c r="J143" s="312">
        <f>SUM(J122:J142)</f>
        <v>0</v>
      </c>
      <c r="K143" s="337"/>
      <c r="L143" s="312">
        <f>SUM(L122:L142)</f>
        <v>0</v>
      </c>
      <c r="M143" s="312">
        <f>SUM(M122:M142)</f>
        <v>0</v>
      </c>
      <c r="N143" s="312">
        <f>SUM(N122:N142)</f>
        <v>45746944.420000002</v>
      </c>
      <c r="O143" s="200"/>
    </row>
    <row r="144" spans="1:15" ht="25.5" customHeight="1" x14ac:dyDescent="0.2">
      <c r="A144" s="213">
        <v>17</v>
      </c>
      <c r="B144" s="1231" t="s">
        <v>1495</v>
      </c>
      <c r="C144" s="1232"/>
      <c r="D144" s="1233"/>
      <c r="E144" s="1172">
        <v>86084341</v>
      </c>
      <c r="F144" s="327"/>
      <c r="G144" s="339"/>
      <c r="H144" s="329"/>
      <c r="I144" s="329"/>
      <c r="J144" s="311"/>
      <c r="K144" s="329"/>
      <c r="L144" s="311"/>
      <c r="M144" s="311"/>
      <c r="N144" s="311"/>
      <c r="O144" s="199"/>
    </row>
    <row r="145" spans="1:15" x14ac:dyDescent="0.2">
      <c r="A145" s="216"/>
      <c r="B145" s="217"/>
      <c r="C145" s="218"/>
      <c r="D145" s="219"/>
      <c r="E145" s="311"/>
      <c r="F145" s="311"/>
      <c r="G145" s="311"/>
      <c r="H145" s="329"/>
      <c r="I145" s="329"/>
      <c r="J145" s="311"/>
      <c r="K145" s="329"/>
      <c r="L145" s="311"/>
      <c r="M145" s="311"/>
      <c r="N145" s="311"/>
      <c r="O145" s="199"/>
    </row>
    <row r="146" spans="1:15" x14ac:dyDescent="0.2">
      <c r="A146" s="348" t="s">
        <v>970</v>
      </c>
      <c r="B146" s="346"/>
      <c r="C146" s="366"/>
      <c r="D146" s="366"/>
      <c r="E146" s="367"/>
      <c r="F146" s="367"/>
      <c r="G146" s="367"/>
      <c r="H146" s="367"/>
      <c r="I146" s="367"/>
      <c r="J146" s="367"/>
      <c r="K146" s="367"/>
      <c r="L146" s="367"/>
      <c r="M146" s="367"/>
      <c r="N146" s="367"/>
      <c r="O146" s="320"/>
    </row>
    <row r="147" spans="1:15" x14ac:dyDescent="0.2">
      <c r="A147" s="348"/>
      <c r="B147" s="368"/>
      <c r="C147" s="366"/>
      <c r="D147" s="366"/>
      <c r="E147" s="367"/>
      <c r="F147" s="367"/>
      <c r="G147" s="367"/>
      <c r="H147" s="367"/>
      <c r="I147" s="367"/>
      <c r="J147" s="367"/>
      <c r="K147" s="367"/>
      <c r="L147" s="367"/>
      <c r="M147" s="367"/>
      <c r="N147" s="367"/>
      <c r="O147" s="320"/>
    </row>
    <row r="148" spans="1:15" x14ac:dyDescent="0.2">
      <c r="A148" s="207">
        <v>19</v>
      </c>
      <c r="B148" s="1209" t="s">
        <v>971</v>
      </c>
      <c r="C148" s="1210"/>
      <c r="D148" s="1211"/>
      <c r="E148" s="312">
        <f>SUM(E146:E147)</f>
        <v>0</v>
      </c>
      <c r="F148" s="374"/>
      <c r="G148" s="312">
        <f>SUM(G146:G147)</f>
        <v>0</v>
      </c>
      <c r="H148" s="312">
        <f t="shared" ref="H148:N148" si="31">SUM(H146:H147)</f>
        <v>0</v>
      </c>
      <c r="I148" s="312">
        <f t="shared" si="31"/>
        <v>0</v>
      </c>
      <c r="J148" s="312">
        <f t="shared" si="31"/>
        <v>0</v>
      </c>
      <c r="K148" s="337"/>
      <c r="L148" s="312">
        <f t="shared" si="31"/>
        <v>0</v>
      </c>
      <c r="M148" s="312">
        <f t="shared" si="31"/>
        <v>0</v>
      </c>
      <c r="N148" s="312">
        <f t="shared" si="31"/>
        <v>0</v>
      </c>
      <c r="O148" s="312"/>
    </row>
    <row r="149" spans="1:15" ht="26.25" customHeight="1" x14ac:dyDescent="0.2">
      <c r="A149" s="207">
        <v>20</v>
      </c>
      <c r="B149" s="1216" t="s">
        <v>1501</v>
      </c>
      <c r="C149" s="1217"/>
      <c r="D149" s="1218"/>
      <c r="E149" s="325">
        <v>0</v>
      </c>
      <c r="F149" s="311"/>
      <c r="G149" s="313"/>
      <c r="H149" s="327"/>
      <c r="I149" s="327"/>
      <c r="J149" s="313"/>
      <c r="K149" s="327"/>
      <c r="L149" s="313"/>
      <c r="M149" s="313"/>
      <c r="N149" s="313"/>
      <c r="O149" s="474"/>
    </row>
    <row r="150" spans="1:15" x14ac:dyDescent="0.2">
      <c r="A150" s="216"/>
      <c r="B150" s="217"/>
      <c r="C150" s="218"/>
      <c r="D150" s="219"/>
      <c r="E150" s="311"/>
      <c r="F150" s="311"/>
      <c r="G150" s="313"/>
      <c r="H150" s="327"/>
      <c r="I150" s="327"/>
      <c r="J150" s="313"/>
      <c r="K150" s="327"/>
      <c r="L150" s="313"/>
      <c r="M150" s="313"/>
      <c r="N150" s="313"/>
      <c r="O150" s="474"/>
    </row>
    <row r="151" spans="1:15" x14ac:dyDescent="0.2">
      <c r="A151" s="348" t="s">
        <v>972</v>
      </c>
      <c r="B151" s="346"/>
      <c r="C151" s="366"/>
      <c r="D151" s="366"/>
      <c r="E151" s="367"/>
      <c r="F151" s="367"/>
      <c r="G151" s="325"/>
      <c r="H151" s="325"/>
      <c r="I151" s="325"/>
      <c r="J151" s="325"/>
      <c r="K151" s="325"/>
      <c r="L151" s="325"/>
      <c r="M151" s="325"/>
      <c r="N151" s="325"/>
      <c r="O151" s="321"/>
    </row>
    <row r="152" spans="1:15" x14ac:dyDescent="0.2">
      <c r="A152" s="348"/>
      <c r="B152" s="368"/>
      <c r="C152" s="366"/>
      <c r="D152" s="366"/>
      <c r="E152" s="367"/>
      <c r="F152" s="367"/>
      <c r="G152" s="325"/>
      <c r="H152" s="325"/>
      <c r="I152" s="325"/>
      <c r="J152" s="325"/>
      <c r="K152" s="325"/>
      <c r="L152" s="325"/>
      <c r="M152" s="325"/>
      <c r="N152" s="325"/>
      <c r="O152" s="321"/>
    </row>
    <row r="153" spans="1:15" x14ac:dyDescent="0.2">
      <c r="A153" s="207">
        <v>22</v>
      </c>
      <c r="B153" s="1209" t="s">
        <v>973</v>
      </c>
      <c r="C153" s="1210"/>
      <c r="D153" s="1211"/>
      <c r="E153" s="312">
        <f>SUM(E151:E152)</f>
        <v>0</v>
      </c>
      <c r="F153" s="374"/>
      <c r="G153" s="312">
        <f>SUM(G151:G152)</f>
        <v>0</v>
      </c>
      <c r="H153" s="312">
        <f>SUM(H151:H152)</f>
        <v>0</v>
      </c>
      <c r="I153" s="312">
        <f>SUM(I151:I152)</f>
        <v>0</v>
      </c>
      <c r="J153" s="312">
        <f>SUM(J151:J152)</f>
        <v>0</v>
      </c>
      <c r="K153" s="337"/>
      <c r="L153" s="312">
        <f>SUM(L151:L152)</f>
        <v>0</v>
      </c>
      <c r="M153" s="312">
        <f>SUM(M151:M152)</f>
        <v>0</v>
      </c>
      <c r="N153" s="312">
        <f>SUM(N151:N152)</f>
        <v>0</v>
      </c>
      <c r="O153" s="312"/>
    </row>
    <row r="154" spans="1:15" ht="26.25" customHeight="1" x14ac:dyDescent="0.2">
      <c r="A154" s="207">
        <v>23</v>
      </c>
      <c r="B154" s="1216" t="s">
        <v>1502</v>
      </c>
      <c r="C154" s="1217"/>
      <c r="D154" s="1218"/>
      <c r="E154" s="325">
        <v>0</v>
      </c>
      <c r="F154" s="311"/>
      <c r="G154" s="311"/>
      <c r="H154" s="329"/>
      <c r="I154" s="329"/>
      <c r="J154" s="311"/>
      <c r="K154" s="329"/>
      <c r="L154" s="311"/>
      <c r="M154" s="311"/>
      <c r="N154" s="311"/>
      <c r="O154" s="199"/>
    </row>
    <row r="155" spans="1:15" x14ac:dyDescent="0.2">
      <c r="A155" s="216"/>
      <c r="B155" s="217"/>
      <c r="C155" s="218"/>
      <c r="D155" s="219"/>
      <c r="E155" s="311"/>
      <c r="F155" s="311"/>
      <c r="G155" s="311"/>
      <c r="H155" s="329"/>
      <c r="I155" s="329"/>
      <c r="J155" s="311"/>
      <c r="K155" s="329"/>
      <c r="L155" s="311"/>
      <c r="M155" s="311"/>
      <c r="N155" s="311"/>
      <c r="O155" s="199"/>
    </row>
    <row r="156" spans="1:15" x14ac:dyDescent="0.2">
      <c r="A156" s="216"/>
      <c r="B156" s="217" t="s">
        <v>974</v>
      </c>
      <c r="C156" s="218"/>
      <c r="D156" s="219"/>
      <c r="E156" s="311"/>
      <c r="F156" s="311"/>
      <c r="G156" s="311"/>
      <c r="H156" s="329"/>
      <c r="I156" s="329"/>
      <c r="J156" s="311"/>
      <c r="K156" s="329"/>
      <c r="L156" s="311"/>
      <c r="M156" s="311"/>
      <c r="N156" s="311"/>
      <c r="O156" s="199"/>
    </row>
    <row r="157" spans="1:15" x14ac:dyDescent="0.2">
      <c r="A157" s="213" t="s">
        <v>975</v>
      </c>
      <c r="B157" s="227">
        <v>417</v>
      </c>
      <c r="C157" s="318">
        <v>4863135</v>
      </c>
      <c r="D157" s="223" t="s">
        <v>976</v>
      </c>
      <c r="E157" s="1175">
        <v>0</v>
      </c>
      <c r="F157" s="315" t="str">
        <f t="shared" ref="F157:F171" si="32">$J$2</f>
        <v>GRSM</v>
      </c>
      <c r="G157" s="315">
        <f t="shared" ref="G157:G171" si="33">IF(F157=$G$2,E157,0)</f>
        <v>0</v>
      </c>
      <c r="H157" s="211">
        <v>0</v>
      </c>
      <c r="I157" s="211">
        <f t="shared" ref="I157:I171" si="34">G157-H157</f>
        <v>0</v>
      </c>
      <c r="J157" s="315">
        <f t="shared" ref="J157:J171" si="35">IF(F157=$J$2,E157,0)</f>
        <v>0</v>
      </c>
      <c r="K157" s="210" t="s">
        <v>682</v>
      </c>
      <c r="L157" s="1170">
        <v>0</v>
      </c>
      <c r="M157" s="314">
        <f t="shared" ref="M157:M171" si="36">J157-L157</f>
        <v>0</v>
      </c>
      <c r="N157" s="315">
        <f t="shared" ref="N157:N171" si="37">IF(F157=$N$2,E157,0)</f>
        <v>0</v>
      </c>
      <c r="O157" s="215">
        <v>2</v>
      </c>
    </row>
    <row r="158" spans="1:15" x14ac:dyDescent="0.2">
      <c r="A158" s="213" t="s">
        <v>977</v>
      </c>
      <c r="B158" s="227">
        <v>417</v>
      </c>
      <c r="C158" s="318">
        <v>4863130</v>
      </c>
      <c r="D158" s="223" t="s">
        <v>978</v>
      </c>
      <c r="E158" s="1175">
        <v>723784.85</v>
      </c>
      <c r="F158" s="315" t="str">
        <f t="shared" si="32"/>
        <v>GRSM</v>
      </c>
      <c r="G158" s="315">
        <f t="shared" si="33"/>
        <v>0</v>
      </c>
      <c r="H158" s="211">
        <v>0</v>
      </c>
      <c r="I158" s="211">
        <f t="shared" si="34"/>
        <v>0</v>
      </c>
      <c r="J158" s="315">
        <f t="shared" si="35"/>
        <v>723784.85</v>
      </c>
      <c r="K158" s="210" t="s">
        <v>682</v>
      </c>
      <c r="L158" s="1170">
        <v>121022.11</v>
      </c>
      <c r="M158" s="314">
        <f t="shared" si="36"/>
        <v>602762.74</v>
      </c>
      <c r="N158" s="315">
        <f t="shared" si="37"/>
        <v>0</v>
      </c>
      <c r="O158" s="215">
        <v>2</v>
      </c>
    </row>
    <row r="159" spans="1:15" x14ac:dyDescent="0.2">
      <c r="A159" s="213" t="s">
        <v>979</v>
      </c>
      <c r="B159" s="227">
        <v>417</v>
      </c>
      <c r="C159" s="318">
        <v>4862110</v>
      </c>
      <c r="D159" s="223" t="s">
        <v>980</v>
      </c>
      <c r="E159" s="1175">
        <v>6038136.6500000004</v>
      </c>
      <c r="F159" s="315" t="str">
        <f t="shared" si="32"/>
        <v>GRSM</v>
      </c>
      <c r="G159" s="315">
        <f t="shared" si="33"/>
        <v>0</v>
      </c>
      <c r="H159" s="211">
        <v>0</v>
      </c>
      <c r="I159" s="211">
        <f t="shared" si="34"/>
        <v>0</v>
      </c>
      <c r="J159" s="315">
        <f t="shared" si="35"/>
        <v>6038136.6500000004</v>
      </c>
      <c r="K159" s="210" t="s">
        <v>624</v>
      </c>
      <c r="L159" s="1170">
        <v>1237254</v>
      </c>
      <c r="M159" s="314">
        <f t="shared" si="36"/>
        <v>4800882.6500000004</v>
      </c>
      <c r="N159" s="315">
        <f t="shared" si="37"/>
        <v>0</v>
      </c>
      <c r="O159" s="215">
        <v>2</v>
      </c>
    </row>
    <row r="160" spans="1:15" x14ac:dyDescent="0.2">
      <c r="A160" s="213" t="s">
        <v>981</v>
      </c>
      <c r="B160" s="227">
        <v>417</v>
      </c>
      <c r="C160" s="318">
        <v>4862115</v>
      </c>
      <c r="D160" s="223" t="s">
        <v>982</v>
      </c>
      <c r="E160" s="1175">
        <v>3279975.94</v>
      </c>
      <c r="F160" s="315" t="str">
        <f t="shared" si="32"/>
        <v>GRSM</v>
      </c>
      <c r="G160" s="315">
        <f t="shared" si="33"/>
        <v>0</v>
      </c>
      <c r="H160" s="211">
        <v>0</v>
      </c>
      <c r="I160" s="211">
        <f t="shared" si="34"/>
        <v>0</v>
      </c>
      <c r="J160" s="315">
        <f t="shared" si="35"/>
        <v>3279975.94</v>
      </c>
      <c r="K160" s="210" t="s">
        <v>624</v>
      </c>
      <c r="L160" s="1170">
        <v>556568.85</v>
      </c>
      <c r="M160" s="314">
        <f t="shared" si="36"/>
        <v>2723407.09</v>
      </c>
      <c r="N160" s="315">
        <f t="shared" si="37"/>
        <v>0</v>
      </c>
      <c r="O160" s="215">
        <v>2</v>
      </c>
    </row>
    <row r="161" spans="1:15" x14ac:dyDescent="0.2">
      <c r="A161" s="213" t="s">
        <v>983</v>
      </c>
      <c r="B161" s="227">
        <v>417</v>
      </c>
      <c r="C161" s="318">
        <v>4862120</v>
      </c>
      <c r="D161" s="223" t="s">
        <v>984</v>
      </c>
      <c r="E161" s="1175">
        <v>1344293.48</v>
      </c>
      <c r="F161" s="315" t="str">
        <f t="shared" si="32"/>
        <v>GRSM</v>
      </c>
      <c r="G161" s="315">
        <f t="shared" si="33"/>
        <v>0</v>
      </c>
      <c r="H161" s="211">
        <v>0</v>
      </c>
      <c r="I161" s="211">
        <f t="shared" si="34"/>
        <v>0</v>
      </c>
      <c r="J161" s="315">
        <f t="shared" si="35"/>
        <v>1344293.48</v>
      </c>
      <c r="K161" s="210" t="s">
        <v>624</v>
      </c>
      <c r="L161" s="1170">
        <v>74143.88</v>
      </c>
      <c r="M161" s="314">
        <f t="shared" si="36"/>
        <v>1270149.6000000001</v>
      </c>
      <c r="N161" s="315">
        <f t="shared" si="37"/>
        <v>0</v>
      </c>
      <c r="O161" s="215">
        <v>2</v>
      </c>
    </row>
    <row r="162" spans="1:15" x14ac:dyDescent="0.2">
      <c r="A162" s="213" t="s">
        <v>985</v>
      </c>
      <c r="B162" s="227">
        <v>417</v>
      </c>
      <c r="C162" s="318">
        <v>4862135</v>
      </c>
      <c r="D162" s="223" t="s">
        <v>986</v>
      </c>
      <c r="E162" s="1175">
        <v>26864362.07</v>
      </c>
      <c r="F162" s="315" t="str">
        <f t="shared" si="32"/>
        <v>GRSM</v>
      </c>
      <c r="G162" s="315">
        <f t="shared" si="33"/>
        <v>0</v>
      </c>
      <c r="H162" s="211">
        <v>0</v>
      </c>
      <c r="I162" s="211">
        <f t="shared" si="34"/>
        <v>0</v>
      </c>
      <c r="J162" s="315">
        <f t="shared" si="35"/>
        <v>26864362.07</v>
      </c>
      <c r="K162" s="210" t="s">
        <v>624</v>
      </c>
      <c r="L162" s="1170">
        <v>4392878.3499999996</v>
      </c>
      <c r="M162" s="314">
        <f t="shared" si="36"/>
        <v>22471483.719999999</v>
      </c>
      <c r="N162" s="315">
        <f t="shared" si="37"/>
        <v>0</v>
      </c>
      <c r="O162" s="215">
        <v>2</v>
      </c>
    </row>
    <row r="163" spans="1:15" x14ac:dyDescent="0.2">
      <c r="A163" s="213" t="s">
        <v>987</v>
      </c>
      <c r="B163" s="227">
        <v>417</v>
      </c>
      <c r="C163" s="318">
        <v>4864110</v>
      </c>
      <c r="D163" s="796" t="s">
        <v>2230</v>
      </c>
      <c r="E163" s="1175">
        <v>0</v>
      </c>
      <c r="F163" s="315" t="str">
        <f t="shared" si="32"/>
        <v>GRSM</v>
      </c>
      <c r="G163" s="315">
        <f t="shared" si="33"/>
        <v>0</v>
      </c>
      <c r="H163" s="211">
        <v>0</v>
      </c>
      <c r="I163" s="211">
        <f t="shared" si="34"/>
        <v>0</v>
      </c>
      <c r="J163" s="315">
        <f t="shared" si="35"/>
        <v>0</v>
      </c>
      <c r="K163" s="210" t="s">
        <v>624</v>
      </c>
      <c r="L163" s="1170">
        <v>0</v>
      </c>
      <c r="M163" s="314">
        <f t="shared" si="36"/>
        <v>0</v>
      </c>
      <c r="N163" s="315">
        <f t="shared" si="37"/>
        <v>0</v>
      </c>
      <c r="O163" s="215">
        <v>2</v>
      </c>
    </row>
    <row r="164" spans="1:15" x14ac:dyDescent="0.2">
      <c r="A164" s="213" t="s">
        <v>988</v>
      </c>
      <c r="B164" s="227">
        <v>417</v>
      </c>
      <c r="C164" s="318">
        <v>4864115</v>
      </c>
      <c r="D164" s="223" t="s">
        <v>989</v>
      </c>
      <c r="E164" s="1175">
        <v>347409.17</v>
      </c>
      <c r="F164" s="315" t="str">
        <f t="shared" si="32"/>
        <v>GRSM</v>
      </c>
      <c r="G164" s="315">
        <f t="shared" si="33"/>
        <v>0</v>
      </c>
      <c r="H164" s="211">
        <v>0</v>
      </c>
      <c r="I164" s="211">
        <f t="shared" si="34"/>
        <v>0</v>
      </c>
      <c r="J164" s="315">
        <f t="shared" si="35"/>
        <v>347409.17</v>
      </c>
      <c r="K164" s="210" t="s">
        <v>624</v>
      </c>
      <c r="L164" s="1170">
        <v>56282.06</v>
      </c>
      <c r="M164" s="314">
        <f t="shared" si="36"/>
        <v>291127.11</v>
      </c>
      <c r="N164" s="315">
        <f t="shared" si="37"/>
        <v>0</v>
      </c>
      <c r="O164" s="215">
        <v>2</v>
      </c>
    </row>
    <row r="165" spans="1:15" x14ac:dyDescent="0.2">
      <c r="A165" s="213" t="s">
        <v>990</v>
      </c>
      <c r="B165" s="227">
        <v>417</v>
      </c>
      <c r="C165" s="318">
        <v>4862125</v>
      </c>
      <c r="D165" s="223" t="s">
        <v>991</v>
      </c>
      <c r="E165" s="1175">
        <v>12847154.869999999</v>
      </c>
      <c r="F165" s="315" t="str">
        <f t="shared" si="32"/>
        <v>GRSM</v>
      </c>
      <c r="G165" s="315">
        <f t="shared" si="33"/>
        <v>0</v>
      </c>
      <c r="H165" s="211">
        <v>0</v>
      </c>
      <c r="I165" s="211">
        <f t="shared" si="34"/>
        <v>0</v>
      </c>
      <c r="J165" s="315">
        <f t="shared" si="35"/>
        <v>12847154.869999999</v>
      </c>
      <c r="K165" s="210" t="s">
        <v>624</v>
      </c>
      <c r="L165" s="1170">
        <v>2155019.42</v>
      </c>
      <c r="M165" s="314">
        <f t="shared" si="36"/>
        <v>10692135.449999999</v>
      </c>
      <c r="N165" s="315">
        <f t="shared" si="37"/>
        <v>0</v>
      </c>
      <c r="O165" s="215">
        <v>2</v>
      </c>
    </row>
    <row r="166" spans="1:15" x14ac:dyDescent="0.2">
      <c r="A166" s="213" t="s">
        <v>992</v>
      </c>
      <c r="B166" s="227">
        <v>417</v>
      </c>
      <c r="C166" s="318">
        <v>4862130</v>
      </c>
      <c r="D166" s="223" t="s">
        <v>993</v>
      </c>
      <c r="E166" s="1175">
        <v>4657383.32</v>
      </c>
      <c r="F166" s="315" t="str">
        <f t="shared" si="32"/>
        <v>GRSM</v>
      </c>
      <c r="G166" s="315">
        <f t="shared" si="33"/>
        <v>0</v>
      </c>
      <c r="H166" s="211">
        <v>0</v>
      </c>
      <c r="I166" s="211">
        <f t="shared" si="34"/>
        <v>0</v>
      </c>
      <c r="J166" s="315">
        <f t="shared" si="35"/>
        <v>4657383.32</v>
      </c>
      <c r="K166" s="210" t="s">
        <v>624</v>
      </c>
      <c r="L166" s="1170">
        <v>750644.21</v>
      </c>
      <c r="M166" s="314">
        <f t="shared" si="36"/>
        <v>3906739.1100000003</v>
      </c>
      <c r="N166" s="315">
        <f t="shared" si="37"/>
        <v>0</v>
      </c>
      <c r="O166" s="215">
        <v>2</v>
      </c>
    </row>
    <row r="167" spans="1:15" x14ac:dyDescent="0.2">
      <c r="A167" s="213" t="s">
        <v>994</v>
      </c>
      <c r="B167" s="227">
        <v>417</v>
      </c>
      <c r="C167" s="318">
        <v>4863120</v>
      </c>
      <c r="D167" s="223" t="s">
        <v>995</v>
      </c>
      <c r="E167" s="1175">
        <v>368635.84</v>
      </c>
      <c r="F167" s="315" t="str">
        <f t="shared" si="32"/>
        <v>GRSM</v>
      </c>
      <c r="G167" s="315">
        <f t="shared" si="33"/>
        <v>0</v>
      </c>
      <c r="H167" s="211">
        <v>0</v>
      </c>
      <c r="I167" s="211">
        <f t="shared" si="34"/>
        <v>0</v>
      </c>
      <c r="J167" s="315">
        <f t="shared" si="35"/>
        <v>368635.84</v>
      </c>
      <c r="K167" s="210" t="s">
        <v>682</v>
      </c>
      <c r="L167" s="1170">
        <v>67398.22</v>
      </c>
      <c r="M167" s="314">
        <f t="shared" si="36"/>
        <v>301237.62</v>
      </c>
      <c r="N167" s="315">
        <f t="shared" si="37"/>
        <v>0</v>
      </c>
      <c r="O167" s="215">
        <v>2</v>
      </c>
    </row>
    <row r="168" spans="1:15" x14ac:dyDescent="0.2">
      <c r="A168" s="213" t="s">
        <v>996</v>
      </c>
      <c r="B168" s="227">
        <v>417</v>
      </c>
      <c r="C168" s="318">
        <v>4863110</v>
      </c>
      <c r="D168" s="223" t="s">
        <v>997</v>
      </c>
      <c r="E168" s="1175">
        <v>2928901.2</v>
      </c>
      <c r="F168" s="315" t="str">
        <f t="shared" si="32"/>
        <v>GRSM</v>
      </c>
      <c r="G168" s="315">
        <f t="shared" si="33"/>
        <v>0</v>
      </c>
      <c r="H168" s="211">
        <v>0</v>
      </c>
      <c r="I168" s="211">
        <f t="shared" si="34"/>
        <v>0</v>
      </c>
      <c r="J168" s="315">
        <f t="shared" si="35"/>
        <v>2928901.2</v>
      </c>
      <c r="K168" s="210" t="s">
        <v>682</v>
      </c>
      <c r="L168" s="1170">
        <v>473236.55</v>
      </c>
      <c r="M168" s="314">
        <f t="shared" si="36"/>
        <v>2455664.6500000004</v>
      </c>
      <c r="N168" s="315">
        <f t="shared" si="37"/>
        <v>0</v>
      </c>
      <c r="O168" s="215">
        <v>2</v>
      </c>
    </row>
    <row r="169" spans="1:15" x14ac:dyDescent="0.2">
      <c r="A169" s="213" t="s">
        <v>998</v>
      </c>
      <c r="B169" s="227">
        <v>417</v>
      </c>
      <c r="C169" s="318">
        <v>4863115</v>
      </c>
      <c r="D169" s="223" t="s">
        <v>999</v>
      </c>
      <c r="E169" s="1175">
        <v>398898.32</v>
      </c>
      <c r="F169" s="315" t="str">
        <f t="shared" si="32"/>
        <v>GRSM</v>
      </c>
      <c r="G169" s="315">
        <f t="shared" si="33"/>
        <v>0</v>
      </c>
      <c r="H169" s="211">
        <v>0</v>
      </c>
      <c r="I169" s="211">
        <f t="shared" si="34"/>
        <v>0</v>
      </c>
      <c r="J169" s="315">
        <f t="shared" si="35"/>
        <v>398898.32</v>
      </c>
      <c r="K169" s="210" t="s">
        <v>682</v>
      </c>
      <c r="L169" s="1170">
        <v>17649.47</v>
      </c>
      <c r="M169" s="314">
        <f t="shared" si="36"/>
        <v>381248.85</v>
      </c>
      <c r="N169" s="315">
        <f t="shared" si="37"/>
        <v>0</v>
      </c>
      <c r="O169" s="215">
        <v>2</v>
      </c>
    </row>
    <row r="170" spans="1:15" x14ac:dyDescent="0.2">
      <c r="A170" s="213" t="s">
        <v>1000</v>
      </c>
      <c r="B170" s="227">
        <v>417</v>
      </c>
      <c r="C170" s="318">
        <v>4863125</v>
      </c>
      <c r="D170" s="223" t="s">
        <v>1001</v>
      </c>
      <c r="E170" s="1175">
        <v>1045147.73</v>
      </c>
      <c r="F170" s="315" t="str">
        <f t="shared" si="32"/>
        <v>GRSM</v>
      </c>
      <c r="G170" s="315">
        <f t="shared" si="33"/>
        <v>0</v>
      </c>
      <c r="H170" s="211">
        <v>0</v>
      </c>
      <c r="I170" s="211">
        <f t="shared" si="34"/>
        <v>0</v>
      </c>
      <c r="J170" s="315">
        <f t="shared" si="35"/>
        <v>1045147.73</v>
      </c>
      <c r="K170" s="210" t="s">
        <v>682</v>
      </c>
      <c r="L170" s="1170">
        <v>149956.92000000001</v>
      </c>
      <c r="M170" s="314">
        <f t="shared" si="36"/>
        <v>895190.80999999994</v>
      </c>
      <c r="N170" s="315">
        <f t="shared" si="37"/>
        <v>0</v>
      </c>
      <c r="O170" s="215">
        <v>2</v>
      </c>
    </row>
    <row r="171" spans="1:15" x14ac:dyDescent="0.2">
      <c r="A171" s="213" t="s">
        <v>1002</v>
      </c>
      <c r="B171" s="227">
        <v>417</v>
      </c>
      <c r="C171" s="318">
        <v>4864120</v>
      </c>
      <c r="D171" s="223" t="s">
        <v>1003</v>
      </c>
      <c r="E171" s="1175">
        <v>18456.63</v>
      </c>
      <c r="F171" s="315" t="str">
        <f t="shared" si="32"/>
        <v>GRSM</v>
      </c>
      <c r="G171" s="315">
        <f t="shared" si="33"/>
        <v>0</v>
      </c>
      <c r="H171" s="211">
        <v>0</v>
      </c>
      <c r="I171" s="211">
        <f t="shared" si="34"/>
        <v>0</v>
      </c>
      <c r="J171" s="315">
        <f t="shared" si="35"/>
        <v>18456.63</v>
      </c>
      <c r="K171" s="210" t="s">
        <v>624</v>
      </c>
      <c r="L171" s="1170">
        <v>2873.68</v>
      </c>
      <c r="M171" s="314">
        <f t="shared" si="36"/>
        <v>15582.95</v>
      </c>
      <c r="N171" s="315">
        <f t="shared" si="37"/>
        <v>0</v>
      </c>
      <c r="O171" s="215">
        <v>2</v>
      </c>
    </row>
    <row r="172" spans="1:15" x14ac:dyDescent="0.2">
      <c r="A172" s="348"/>
      <c r="B172" s="346"/>
      <c r="C172" s="347"/>
      <c r="D172" s="345"/>
      <c r="E172" s="326"/>
      <c r="F172" s="326"/>
      <c r="G172" s="323"/>
      <c r="H172" s="321"/>
      <c r="I172" s="321"/>
      <c r="J172" s="319"/>
      <c r="K172" s="320"/>
      <c r="L172" s="319"/>
      <c r="M172" s="319"/>
      <c r="N172" s="319"/>
      <c r="O172" s="320"/>
    </row>
    <row r="173" spans="1:15" x14ac:dyDescent="0.2">
      <c r="A173" s="348"/>
      <c r="B173" s="346"/>
      <c r="C173" s="347"/>
      <c r="D173" s="345"/>
      <c r="E173" s="326"/>
      <c r="F173" s="326"/>
      <c r="G173" s="323"/>
      <c r="H173" s="321"/>
      <c r="I173" s="321"/>
      <c r="J173" s="319"/>
      <c r="K173" s="320"/>
      <c r="L173" s="319"/>
      <c r="M173" s="319"/>
      <c r="N173" s="319"/>
      <c r="O173" s="320"/>
    </row>
    <row r="174" spans="1:15" x14ac:dyDescent="0.2">
      <c r="A174" s="213">
        <v>25</v>
      </c>
      <c r="B174" s="1219" t="s">
        <v>1004</v>
      </c>
      <c r="C174" s="1210"/>
      <c r="D174" s="1211"/>
      <c r="E174" s="312">
        <f>SUM(E157:E173)</f>
        <v>60862540.070000008</v>
      </c>
      <c r="F174" s="337"/>
      <c r="G174" s="312">
        <f>SUM(G157:G173)</f>
        <v>0</v>
      </c>
      <c r="H174" s="328">
        <f>SUM(H157:H173)</f>
        <v>0</v>
      </c>
      <c r="I174" s="328">
        <f>SUM(I157:I173)</f>
        <v>0</v>
      </c>
      <c r="J174" s="312">
        <f>SUM(J157:J173)</f>
        <v>60862540.070000008</v>
      </c>
      <c r="K174" s="337"/>
      <c r="L174" s="312">
        <f>SUM(L157:L173)</f>
        <v>10054927.720000001</v>
      </c>
      <c r="M174" s="312">
        <f>SUM(M157:M173)</f>
        <v>50807612.350000001</v>
      </c>
      <c r="N174" s="312">
        <f>SUM(N157:N173)</f>
        <v>0</v>
      </c>
      <c r="O174" s="200"/>
    </row>
    <row r="175" spans="1:15" x14ac:dyDescent="0.2">
      <c r="A175" s="213">
        <v>26</v>
      </c>
      <c r="B175" s="1219" t="s">
        <v>1005</v>
      </c>
      <c r="C175" s="1210"/>
      <c r="D175" s="1211"/>
      <c r="E175" s="1172">
        <v>13867813.93</v>
      </c>
      <c r="F175" s="313"/>
      <c r="G175" s="311"/>
      <c r="H175" s="329"/>
      <c r="I175" s="329"/>
      <c r="J175" s="311"/>
      <c r="K175" s="329"/>
      <c r="L175" s="311"/>
      <c r="M175" s="311"/>
      <c r="N175" s="311"/>
      <c r="O175" s="199"/>
    </row>
    <row r="176" spans="1:15" ht="25.5" customHeight="1" x14ac:dyDescent="0.2">
      <c r="A176" s="213">
        <v>27</v>
      </c>
      <c r="B176" s="1231" t="s">
        <v>1504</v>
      </c>
      <c r="C176" s="1232"/>
      <c r="D176" s="1233"/>
      <c r="E176" s="1172">
        <v>74730354</v>
      </c>
      <c r="F176" s="369" t="s">
        <v>368</v>
      </c>
    </row>
    <row r="177" spans="1:15" x14ac:dyDescent="0.2">
      <c r="A177" s="221"/>
    </row>
    <row r="178" spans="1:15" x14ac:dyDescent="0.2">
      <c r="B178" s="40" t="s">
        <v>1006</v>
      </c>
    </row>
    <row r="179" spans="1:15" x14ac:dyDescent="0.2">
      <c r="A179" s="215" t="s">
        <v>1007</v>
      </c>
      <c r="B179" s="1220">
        <v>418.1</v>
      </c>
      <c r="C179" s="1221"/>
      <c r="D179" s="223" t="s">
        <v>1008</v>
      </c>
      <c r="E179" s="1175">
        <v>11246108</v>
      </c>
      <c r="F179" s="315" t="str">
        <f>$J$2</f>
        <v>GRSM</v>
      </c>
      <c r="G179" s="315">
        <f t="shared" ref="G179:G184" si="38">IF(F179=$G$2,E179,0)</f>
        <v>0</v>
      </c>
      <c r="H179" s="210">
        <v>0</v>
      </c>
      <c r="I179" s="211">
        <f t="shared" ref="I179:I184" si="39">G179-H179</f>
        <v>0</v>
      </c>
      <c r="J179" s="315">
        <f>IF(F179=$J$2,E179,0)</f>
        <v>11246108</v>
      </c>
      <c r="K179" s="354" t="s">
        <v>624</v>
      </c>
      <c r="L179" s="1170">
        <v>1993685</v>
      </c>
      <c r="M179" s="212">
        <f t="shared" ref="M179:M184" si="40">J179-L179</f>
        <v>9252423</v>
      </c>
      <c r="N179" s="315">
        <f t="shared" ref="N179:N184" si="41">IF(F179=$N$2,E179,0)</f>
        <v>0</v>
      </c>
      <c r="O179" s="215" t="s">
        <v>1009</v>
      </c>
    </row>
    <row r="180" spans="1:15" x14ac:dyDescent="0.2">
      <c r="A180" s="215" t="s">
        <v>1010</v>
      </c>
      <c r="B180" s="1220">
        <v>418.1</v>
      </c>
      <c r="C180" s="1221"/>
      <c r="D180" s="223" t="s">
        <v>1011</v>
      </c>
      <c r="E180" s="1175">
        <v>150173</v>
      </c>
      <c r="F180" s="315" t="str">
        <f>$J$2</f>
        <v>GRSM</v>
      </c>
      <c r="G180" s="315">
        <f t="shared" si="38"/>
        <v>0</v>
      </c>
      <c r="H180" s="210">
        <v>0</v>
      </c>
      <c r="I180" s="211">
        <f t="shared" si="39"/>
        <v>0</v>
      </c>
      <c r="J180" s="315">
        <f>IF(F180=$J$2,E180,0)</f>
        <v>150173</v>
      </c>
      <c r="K180" s="354" t="s">
        <v>682</v>
      </c>
      <c r="L180" s="1170">
        <v>16198</v>
      </c>
      <c r="M180" s="212">
        <f t="shared" si="40"/>
        <v>133975</v>
      </c>
      <c r="N180" s="315">
        <f t="shared" si="41"/>
        <v>0</v>
      </c>
      <c r="O180" s="215" t="s">
        <v>1009</v>
      </c>
    </row>
    <row r="181" spans="1:15" x14ac:dyDescent="0.2">
      <c r="A181" s="215" t="s">
        <v>1012</v>
      </c>
      <c r="B181" s="1220">
        <v>418.1</v>
      </c>
      <c r="C181" s="1221"/>
      <c r="D181" s="796" t="s">
        <v>2167</v>
      </c>
      <c r="E181" s="1175">
        <v>0</v>
      </c>
      <c r="F181" s="797" t="s">
        <v>639</v>
      </c>
      <c r="G181" s="315">
        <f t="shared" si="38"/>
        <v>0</v>
      </c>
      <c r="H181" s="210">
        <v>0</v>
      </c>
      <c r="I181" s="211">
        <f t="shared" si="39"/>
        <v>0</v>
      </c>
      <c r="J181" s="315">
        <f>IF(F181=$J$2,E181,0)</f>
        <v>0</v>
      </c>
      <c r="K181" s="798" t="s">
        <v>682</v>
      </c>
      <c r="L181" s="1170">
        <v>0</v>
      </c>
      <c r="M181" s="212">
        <f t="shared" si="40"/>
        <v>0</v>
      </c>
      <c r="N181" s="315">
        <f t="shared" si="41"/>
        <v>0</v>
      </c>
      <c r="O181" s="794" t="s">
        <v>2168</v>
      </c>
    </row>
    <row r="182" spans="1:15" x14ac:dyDescent="0.2">
      <c r="A182" s="215" t="s">
        <v>1014</v>
      </c>
      <c r="B182" s="1220">
        <v>418.1</v>
      </c>
      <c r="C182" s="1221"/>
      <c r="D182" s="223" t="s">
        <v>1013</v>
      </c>
      <c r="E182" s="1175">
        <v>-2065</v>
      </c>
      <c r="F182" s="315" t="str">
        <f>$G$2</f>
        <v>Traditional OOR</v>
      </c>
      <c r="G182" s="315">
        <f t="shared" si="38"/>
        <v>-2065</v>
      </c>
      <c r="H182" s="211">
        <v>0</v>
      </c>
      <c r="I182" s="211">
        <f t="shared" si="39"/>
        <v>-2065</v>
      </c>
      <c r="J182" s="315">
        <f>IF(F182=$J$2,E182,0)</f>
        <v>0</v>
      </c>
      <c r="K182" s="354"/>
      <c r="L182" s="1170">
        <v>0</v>
      </c>
      <c r="M182" s="211">
        <f t="shared" si="40"/>
        <v>0</v>
      </c>
      <c r="N182" s="315">
        <f t="shared" si="41"/>
        <v>0</v>
      </c>
      <c r="O182" s="210">
        <v>13</v>
      </c>
    </row>
    <row r="183" spans="1:15" x14ac:dyDescent="0.2">
      <c r="A183" s="795" t="s">
        <v>1414</v>
      </c>
      <c r="B183" s="1220">
        <v>418.1</v>
      </c>
      <c r="C183" s="1221"/>
      <c r="D183" s="223" t="s">
        <v>1015</v>
      </c>
      <c r="E183" s="1175">
        <v>-4943</v>
      </c>
      <c r="F183" s="315" t="str">
        <f>$G$2</f>
        <v>Traditional OOR</v>
      </c>
      <c r="G183" s="315">
        <f t="shared" si="38"/>
        <v>-4943</v>
      </c>
      <c r="H183" s="211">
        <v>0</v>
      </c>
      <c r="I183" s="211">
        <f t="shared" si="39"/>
        <v>-4943</v>
      </c>
      <c r="J183" s="315">
        <f>IF(F183=$J$2,E183,0)</f>
        <v>0</v>
      </c>
      <c r="K183" s="354"/>
      <c r="L183" s="1170">
        <v>0</v>
      </c>
      <c r="M183" s="211">
        <f t="shared" si="40"/>
        <v>0</v>
      </c>
      <c r="N183" s="315">
        <f t="shared" si="41"/>
        <v>0</v>
      </c>
      <c r="O183" s="210">
        <v>14</v>
      </c>
    </row>
    <row r="184" spans="1:15" x14ac:dyDescent="0.2">
      <c r="A184" s="795" t="s">
        <v>1415</v>
      </c>
      <c r="B184" s="1014">
        <v>418.1</v>
      </c>
      <c r="C184" s="1112"/>
      <c r="D184" s="796" t="s">
        <v>2429</v>
      </c>
      <c r="E184" s="1175">
        <v>981219.18</v>
      </c>
      <c r="F184" s="315" t="str">
        <f>$G$2</f>
        <v>Traditional OOR</v>
      </c>
      <c r="G184" s="315">
        <f t="shared" si="38"/>
        <v>981219.18</v>
      </c>
      <c r="H184" s="211">
        <f>E184*$D$225</f>
        <v>45224.392006200003</v>
      </c>
      <c r="I184" s="211">
        <f t="shared" si="39"/>
        <v>935994.78799380001</v>
      </c>
      <c r="J184" s="315">
        <v>0</v>
      </c>
      <c r="K184" s="354"/>
      <c r="L184" s="319">
        <v>0</v>
      </c>
      <c r="M184" s="211">
        <f t="shared" si="40"/>
        <v>0</v>
      </c>
      <c r="N184" s="315">
        <f t="shared" si="41"/>
        <v>0</v>
      </c>
      <c r="O184" s="795" t="s">
        <v>3211</v>
      </c>
    </row>
    <row r="185" spans="1:15" x14ac:dyDescent="0.2">
      <c r="A185" s="320"/>
      <c r="B185" s="361"/>
      <c r="C185" s="362"/>
      <c r="D185" s="363"/>
      <c r="E185" s="322"/>
      <c r="F185" s="319"/>
      <c r="G185" s="323"/>
      <c r="H185" s="320"/>
      <c r="I185" s="321"/>
      <c r="J185" s="319"/>
      <c r="K185" s="364"/>
      <c r="L185" s="319"/>
      <c r="M185" s="365"/>
      <c r="N185" s="319"/>
      <c r="O185" s="320"/>
    </row>
    <row r="186" spans="1:15" x14ac:dyDescent="0.2">
      <c r="A186" s="320"/>
      <c r="B186" s="361"/>
      <c r="C186" s="362"/>
      <c r="D186" s="363"/>
      <c r="E186" s="322"/>
      <c r="F186" s="319"/>
      <c r="G186" s="323"/>
      <c r="H186" s="320"/>
      <c r="I186" s="321"/>
      <c r="J186" s="319"/>
      <c r="K186" s="364"/>
      <c r="L186" s="319"/>
      <c r="M186" s="365"/>
      <c r="N186" s="319"/>
      <c r="O186" s="320"/>
    </row>
    <row r="187" spans="1:15" x14ac:dyDescent="0.2">
      <c r="A187" s="215">
        <v>29</v>
      </c>
      <c r="B187" s="1219" t="s">
        <v>1016</v>
      </c>
      <c r="C187" s="1210"/>
      <c r="D187" s="1211"/>
      <c r="E187" s="469">
        <f>SUM(E179:E186)</f>
        <v>12370492.18</v>
      </c>
      <c r="F187" s="373"/>
      <c r="G187" s="470">
        <f>SUM(G179:G186)</f>
        <v>974211.18</v>
      </c>
      <c r="H187" s="470">
        <f>SUM(H179:H186)</f>
        <v>45224.392006200003</v>
      </c>
      <c r="I187" s="470">
        <f>SUM(I179:I186)</f>
        <v>928986.78799380001</v>
      </c>
      <c r="J187" s="469">
        <f>SUM(J179:J186)</f>
        <v>11396281</v>
      </c>
      <c r="K187" s="338"/>
      <c r="L187" s="469">
        <f>SUM(L179:L186)</f>
        <v>2009883</v>
      </c>
      <c r="M187" s="469">
        <f>SUM(M179:M186)</f>
        <v>9386398</v>
      </c>
      <c r="N187" s="469">
        <f>SUM(N179:N186)</f>
        <v>0</v>
      </c>
      <c r="O187" s="200"/>
    </row>
    <row r="188" spans="1:15" x14ac:dyDescent="0.2">
      <c r="A188" s="215">
        <v>30</v>
      </c>
      <c r="B188" s="1219" t="s">
        <v>2272</v>
      </c>
      <c r="C188" s="1226"/>
      <c r="D188" s="1227"/>
      <c r="E188" s="1179">
        <v>-11762906.18</v>
      </c>
      <c r="F188" s="372"/>
      <c r="G188" s="372"/>
      <c r="H188" s="372"/>
      <c r="I188" s="372"/>
      <c r="J188" s="371"/>
      <c r="K188" s="372"/>
      <c r="L188" s="371"/>
      <c r="M188" s="371"/>
      <c r="N188" s="371"/>
      <c r="O188" s="199"/>
    </row>
    <row r="189" spans="1:15" ht="25.5" customHeight="1" x14ac:dyDescent="0.2">
      <c r="A189" s="215">
        <v>31</v>
      </c>
      <c r="B189" s="1224" t="s">
        <v>1503</v>
      </c>
      <c r="C189" s="1225"/>
      <c r="D189" s="1225"/>
      <c r="E189" s="1179">
        <v>607586</v>
      </c>
      <c r="F189" s="372"/>
      <c r="G189" s="372"/>
      <c r="H189" s="372"/>
      <c r="I189" s="372"/>
      <c r="J189" s="371"/>
      <c r="K189" s="372"/>
      <c r="L189" s="371"/>
      <c r="M189" s="371"/>
      <c r="N189" s="371"/>
      <c r="O189" s="199"/>
    </row>
    <row r="190" spans="1:15" x14ac:dyDescent="0.2">
      <c r="A190" s="221"/>
    </row>
    <row r="191" spans="1:15" x14ac:dyDescent="0.2">
      <c r="A191" s="215">
        <v>32</v>
      </c>
      <c r="B191" s="341"/>
      <c r="C191" s="340"/>
      <c r="D191" s="232" t="s">
        <v>1017</v>
      </c>
      <c r="E191" s="471">
        <f>E9+E23+E31+E60+E119+E143+E148+E153+E174+E187</f>
        <v>446434971.80000007</v>
      </c>
      <c r="F191" s="472"/>
      <c r="G191" s="471">
        <f>G9+G23+G31+G60+G119+G143+G148+G153+G174+G187</f>
        <v>294799970.84466839</v>
      </c>
      <c r="H191" s="471">
        <f>H9+H23+H31+H60+H119+H143+H148+H153+H174+H187</f>
        <v>32878352.413875401</v>
      </c>
      <c r="I191" s="471">
        <f>I9+I23+I31+I60+I119+I143+I148+I153+I174+I187</f>
        <v>261921618.43079302</v>
      </c>
      <c r="J191" s="471">
        <f>J9+J23+J31+J60+J119+J143+J148+J153+J174+J187</f>
        <v>98571508.850000009</v>
      </c>
      <c r="K191" s="472"/>
      <c r="L191" s="471">
        <f>L9+L23+L31+L60+L119+L143+L148+L153+L174+L187</f>
        <v>16671388.580000002</v>
      </c>
      <c r="M191" s="471">
        <f>M9+M23+M31+M60+M119+M143+M148+M153+M174+M187</f>
        <v>81900120.270000011</v>
      </c>
      <c r="N191" s="471">
        <f>N9+N23+N31+N60+N119+N143+N148+N153+N174+N187</f>
        <v>53063492.105331622</v>
      </c>
      <c r="O191" s="200"/>
    </row>
    <row r="192" spans="1:15" x14ac:dyDescent="0.2">
      <c r="A192" s="233"/>
      <c r="B192" s="234"/>
      <c r="C192" s="233"/>
      <c r="E192" s="221"/>
      <c r="F192" s="221"/>
      <c r="G192" s="316"/>
      <c r="J192" s="333"/>
      <c r="K192" s="332"/>
      <c r="N192" s="316"/>
    </row>
    <row r="193" spans="1:254" x14ac:dyDescent="0.2">
      <c r="A193" s="233"/>
      <c r="B193" s="234"/>
      <c r="C193" s="233"/>
      <c r="E193" s="221"/>
      <c r="F193" s="221" t="s">
        <v>172</v>
      </c>
      <c r="J193" s="333"/>
      <c r="K193" s="332"/>
      <c r="N193" s="316"/>
    </row>
    <row r="194" spans="1:254" x14ac:dyDescent="0.2">
      <c r="A194" s="215">
        <v>33</v>
      </c>
      <c r="B194" s="360"/>
      <c r="C194" s="360"/>
      <c r="D194" s="356" t="s">
        <v>1018</v>
      </c>
      <c r="E194" s="353">
        <f>L191</f>
        <v>16671388.580000002</v>
      </c>
      <c r="F194" s="355" t="s">
        <v>1019</v>
      </c>
      <c r="G194" s="316"/>
      <c r="N194" s="316"/>
    </row>
    <row r="195" spans="1:254" x14ac:dyDescent="0.2">
      <c r="A195" s="210">
        <v>34</v>
      </c>
      <c r="B195" s="360"/>
      <c r="C195" s="360"/>
      <c r="D195" s="356" t="s">
        <v>1021</v>
      </c>
      <c r="E195" s="353">
        <f>E194*(5.425/16.671)</f>
        <v>5425126.449913023</v>
      </c>
      <c r="F195" s="1113" t="s">
        <v>1365</v>
      </c>
      <c r="G195" s="332"/>
      <c r="N195" s="316"/>
    </row>
    <row r="196" spans="1:254" x14ac:dyDescent="0.2">
      <c r="A196" s="210">
        <v>35</v>
      </c>
      <c r="B196" s="360"/>
      <c r="C196" s="360"/>
      <c r="D196" s="358"/>
      <c r="E196" s="309"/>
      <c r="F196" s="1114"/>
      <c r="G196" s="332"/>
      <c r="N196" s="316"/>
    </row>
    <row r="197" spans="1:254" x14ac:dyDescent="0.2">
      <c r="A197" s="210">
        <v>36</v>
      </c>
      <c r="B197" s="360"/>
      <c r="C197" s="360"/>
      <c r="D197" s="356" t="s">
        <v>1022</v>
      </c>
      <c r="E197" s="353">
        <f>SUMIF(K4:K180,"=A",M4:M180)</f>
        <v>55433586.68</v>
      </c>
      <c r="F197" s="1115" t="s">
        <v>1023</v>
      </c>
      <c r="G197" s="332"/>
      <c r="N197" s="316"/>
    </row>
    <row r="198" spans="1:254" x14ac:dyDescent="0.2">
      <c r="A198" s="210">
        <v>37</v>
      </c>
      <c r="B198" s="350"/>
      <c r="C198" s="350"/>
      <c r="D198" s="356" t="s">
        <v>1024</v>
      </c>
      <c r="E198" s="353">
        <f>0.1*E197</f>
        <v>5543358.6680000005</v>
      </c>
      <c r="F198" s="68" t="str">
        <f>"= Line "&amp;A197&amp;"D * 10%"</f>
        <v>= Line 36D * 10%</v>
      </c>
      <c r="G198" s="41"/>
      <c r="H198" s="335"/>
      <c r="I198" s="336"/>
    </row>
    <row r="199" spans="1:254" x14ac:dyDescent="0.2">
      <c r="A199" s="210">
        <v>38</v>
      </c>
      <c r="B199" s="350"/>
      <c r="C199" s="350"/>
      <c r="D199" s="356" t="s">
        <v>1025</v>
      </c>
      <c r="E199" s="353">
        <f>SUMIF(K4:K183,"=P",M4:M183)</f>
        <v>26466533.590000007</v>
      </c>
      <c r="F199" s="1116" t="s">
        <v>1026</v>
      </c>
      <c r="G199" s="41"/>
      <c r="H199" s="221"/>
      <c r="I199" s="336"/>
    </row>
    <row r="200" spans="1:254" x14ac:dyDescent="0.2">
      <c r="A200" s="210">
        <v>39</v>
      </c>
      <c r="B200" s="350"/>
      <c r="C200" s="350"/>
      <c r="D200" s="356" t="s">
        <v>1027</v>
      </c>
      <c r="E200" s="353">
        <f>0.3*E199</f>
        <v>7939960.0770000014</v>
      </c>
      <c r="F200" s="68" t="str">
        <f>"= Line "&amp;A199&amp;"D * 30%"</f>
        <v>= Line 38D * 30%</v>
      </c>
      <c r="G200" s="41"/>
      <c r="H200" s="335"/>
      <c r="I200" s="336"/>
    </row>
    <row r="201" spans="1:254" x14ac:dyDescent="0.2">
      <c r="A201" s="210">
        <v>40</v>
      </c>
      <c r="B201" s="350"/>
      <c r="C201" s="350"/>
      <c r="D201" s="356" t="s">
        <v>1028</v>
      </c>
      <c r="E201" s="353">
        <f>E198+E200</f>
        <v>13483318.745000001</v>
      </c>
      <c r="F201" s="68" t="str">
        <f>"= Line "&amp;A198&amp;"D + Line "&amp;A200&amp;"D"</f>
        <v>= Line 37D + Line 39D</v>
      </c>
      <c r="G201" s="331"/>
    </row>
    <row r="202" spans="1:254" x14ac:dyDescent="0.2">
      <c r="A202" s="210">
        <v>41</v>
      </c>
      <c r="B202" s="350"/>
      <c r="C202" s="350"/>
      <c r="D202" s="356" t="s">
        <v>1029</v>
      </c>
      <c r="E202" s="357">
        <f>5.425/16.671</f>
        <v>0.32541539199808051</v>
      </c>
      <c r="F202" s="1115" t="s">
        <v>1020</v>
      </c>
      <c r="G202" s="331"/>
    </row>
    <row r="203" spans="1:254" x14ac:dyDescent="0.2">
      <c r="A203" s="210">
        <v>42</v>
      </c>
      <c r="B203" s="350"/>
      <c r="C203" s="350"/>
      <c r="D203" s="356" t="s">
        <v>1030</v>
      </c>
      <c r="E203" s="353">
        <f>E201*E202</f>
        <v>4387679.4548392426</v>
      </c>
      <c r="F203" s="68" t="str">
        <f>"= Line "&amp;A201&amp;"D * Line "&amp;A202&amp;"D"</f>
        <v>= Line 40D * Line 41D</v>
      </c>
      <c r="G203" s="331"/>
    </row>
    <row r="204" spans="1:254" ht="12.75" customHeight="1" x14ac:dyDescent="0.2">
      <c r="A204" s="210">
        <v>43</v>
      </c>
      <c r="B204" s="350"/>
      <c r="C204" s="350"/>
      <c r="D204" s="359" t="s">
        <v>2273</v>
      </c>
      <c r="E204" s="470">
        <f>E203+E195</f>
        <v>9812805.9047522657</v>
      </c>
      <c r="F204" s="68" t="str">
        <f>"= Line "&amp;A195&amp;"D + Line "&amp;A203&amp;"D"</f>
        <v>= Line 34D + Line 42D</v>
      </c>
      <c r="G204" s="331"/>
    </row>
    <row r="205" spans="1:254" x14ac:dyDescent="0.2">
      <c r="A205" s="41"/>
      <c r="D205" s="331"/>
      <c r="E205" s="317"/>
      <c r="F205" s="355"/>
    </row>
    <row r="206" spans="1:254" x14ac:dyDescent="0.2">
      <c r="A206" s="41"/>
      <c r="D206" s="230"/>
      <c r="E206" s="236" t="s">
        <v>203</v>
      </c>
      <c r="F206" s="236" t="s">
        <v>172</v>
      </c>
      <c r="G206" s="228"/>
      <c r="I206" s="231"/>
      <c r="J206" s="41"/>
      <c r="K206" s="231"/>
      <c r="L206" s="230"/>
      <c r="M206" s="236"/>
      <c r="N206" s="236"/>
      <c r="O206" s="228"/>
      <c r="P206" s="229"/>
      <c r="Q206" s="231"/>
      <c r="R206" s="230"/>
      <c r="S206" s="236"/>
      <c r="T206" s="236"/>
      <c r="U206" s="228"/>
      <c r="V206" s="229"/>
      <c r="W206" s="231"/>
      <c r="X206" s="41"/>
      <c r="Y206" s="231"/>
      <c r="Z206" s="230"/>
      <c r="AA206" s="236"/>
      <c r="AB206" s="236"/>
      <c r="AC206" s="228"/>
      <c r="AD206" s="229"/>
      <c r="AE206" s="231"/>
      <c r="AF206" s="41"/>
      <c r="AG206" s="231"/>
      <c r="AH206" s="230"/>
      <c r="AI206" s="236"/>
      <c r="AJ206" s="236"/>
      <c r="AK206" s="228"/>
      <c r="AL206" s="229"/>
      <c r="AM206" s="231"/>
      <c r="AN206" s="41"/>
      <c r="AO206" s="231"/>
      <c r="AP206" s="230"/>
      <c r="AQ206" s="236"/>
      <c r="AR206" s="236"/>
      <c r="AS206" s="228"/>
      <c r="AT206" s="229"/>
      <c r="AU206" s="231"/>
      <c r="AV206" s="41"/>
      <c r="AW206" s="231"/>
      <c r="AX206" s="230"/>
      <c r="AY206" s="236"/>
      <c r="AZ206" s="236"/>
      <c r="BA206" s="228"/>
      <c r="BB206" s="229"/>
      <c r="BC206" s="231"/>
      <c r="BD206" s="41"/>
      <c r="BE206" s="231"/>
      <c r="BF206" s="230"/>
      <c r="BG206" s="236"/>
      <c r="BH206" s="236"/>
      <c r="BI206" s="228"/>
      <c r="BJ206" s="229"/>
      <c r="BK206" s="231"/>
      <c r="BL206" s="41"/>
      <c r="BM206" s="231"/>
      <c r="BN206" s="230"/>
      <c r="BO206" s="236"/>
      <c r="BP206" s="236"/>
      <c r="BQ206" s="228"/>
      <c r="BR206" s="229"/>
      <c r="BS206" s="231"/>
      <c r="BT206" s="41"/>
      <c r="BU206" s="231"/>
      <c r="BV206" s="230"/>
      <c r="BW206" s="236"/>
      <c r="BX206" s="236"/>
      <c r="BY206" s="228"/>
      <c r="BZ206" s="229"/>
      <c r="CA206" s="231"/>
      <c r="CB206" s="41"/>
      <c r="CC206" s="231"/>
      <c r="CD206" s="230"/>
      <c r="CE206" s="236"/>
      <c r="CF206" s="236"/>
      <c r="CG206" s="228"/>
      <c r="CH206" s="229"/>
      <c r="CI206" s="231"/>
      <c r="CJ206" s="41"/>
      <c r="CK206" s="231"/>
      <c r="CL206" s="230"/>
      <c r="CM206" s="236"/>
      <c r="CN206" s="236"/>
      <c r="CO206" s="228"/>
      <c r="CP206" s="229"/>
      <c r="CQ206" s="231"/>
      <c r="CR206" s="41"/>
      <c r="CS206" s="231"/>
      <c r="CT206" s="230"/>
      <c r="CU206" s="236"/>
      <c r="CV206" s="236"/>
      <c r="CW206" s="228"/>
      <c r="CX206" s="229"/>
      <c r="CY206" s="231"/>
      <c r="CZ206" s="41"/>
      <c r="DA206" s="231"/>
      <c r="DB206" s="230"/>
      <c r="DC206" s="236"/>
      <c r="DD206" s="236"/>
      <c r="DE206" s="228"/>
      <c r="DF206" s="229"/>
      <c r="DG206" s="231"/>
      <c r="DH206" s="41"/>
      <c r="DI206" s="231"/>
      <c r="DJ206" s="230"/>
      <c r="DK206" s="236"/>
      <c r="DL206" s="236"/>
      <c r="DM206" s="228"/>
      <c r="DN206" s="229"/>
      <c r="DO206" s="231"/>
      <c r="DP206" s="41"/>
      <c r="DQ206" s="231"/>
      <c r="DR206" s="230"/>
      <c r="DS206" s="236"/>
      <c r="DT206" s="236"/>
      <c r="DU206" s="228"/>
      <c r="DV206" s="229"/>
      <c r="DW206" s="231"/>
      <c r="DX206" s="41"/>
      <c r="DY206" s="231"/>
      <c r="DZ206" s="230"/>
      <c r="EA206" s="236"/>
      <c r="EB206" s="236"/>
      <c r="EC206" s="228"/>
      <c r="ED206" s="229"/>
      <c r="EE206" s="231"/>
      <c r="EF206" s="41"/>
      <c r="EG206" s="231"/>
      <c r="EH206" s="230"/>
      <c r="EI206" s="236"/>
      <c r="EJ206" s="236"/>
      <c r="EK206" s="228"/>
      <c r="EL206" s="229"/>
      <c r="EM206" s="231"/>
      <c r="EN206" s="41"/>
      <c r="EO206" s="231"/>
      <c r="EP206" s="230"/>
      <c r="EQ206" s="236"/>
      <c r="ER206" s="236"/>
      <c r="ES206" s="228"/>
      <c r="ET206" s="229"/>
      <c r="EU206" s="231"/>
      <c r="EV206" s="41"/>
      <c r="EW206" s="231"/>
      <c r="EX206" s="230"/>
      <c r="EY206" s="236"/>
      <c r="EZ206" s="236"/>
      <c r="FA206" s="228"/>
      <c r="FB206" s="229"/>
      <c r="FC206" s="231"/>
      <c r="FD206" s="41"/>
      <c r="FE206" s="231"/>
      <c r="FF206" s="230"/>
      <c r="FG206" s="236"/>
      <c r="FH206" s="236"/>
      <c r="FI206" s="228"/>
      <c r="FJ206" s="229"/>
      <c r="FK206" s="231"/>
      <c r="FL206" s="41"/>
      <c r="FM206" s="231"/>
      <c r="FN206" s="230"/>
      <c r="FO206" s="236"/>
      <c r="FP206" s="236"/>
      <c r="FQ206" s="228"/>
      <c r="FR206" s="229"/>
      <c r="FS206" s="231"/>
      <c r="FT206" s="41"/>
      <c r="FU206" s="231"/>
      <c r="FV206" s="230"/>
      <c r="FW206" s="236"/>
      <c r="FX206" s="236"/>
      <c r="FY206" s="228"/>
      <c r="FZ206" s="229"/>
      <c r="GA206" s="231"/>
      <c r="GB206" s="41"/>
      <c r="GC206" s="231"/>
      <c r="GD206" s="230"/>
      <c r="GE206" s="236"/>
      <c r="GF206" s="236"/>
      <c r="GG206" s="228"/>
      <c r="GH206" s="229"/>
      <c r="GI206" s="231"/>
      <c r="GJ206" s="41"/>
      <c r="GK206" s="231"/>
      <c r="GL206" s="230"/>
      <c r="GM206" s="236"/>
      <c r="GN206" s="236"/>
      <c r="GO206" s="228"/>
      <c r="GP206" s="229"/>
      <c r="GQ206" s="231"/>
      <c r="GR206" s="41"/>
      <c r="GS206" s="231"/>
      <c r="GT206" s="230"/>
      <c r="GU206" s="236"/>
      <c r="GV206" s="236"/>
      <c r="GW206" s="228"/>
      <c r="GX206" s="229"/>
      <c r="GY206" s="231"/>
      <c r="GZ206" s="41"/>
      <c r="HA206" s="231"/>
      <c r="HB206" s="230"/>
      <c r="HC206" s="236"/>
      <c r="HD206" s="236"/>
      <c r="HE206" s="228"/>
      <c r="HF206" s="229"/>
      <c r="HG206" s="231"/>
      <c r="HH206" s="41"/>
      <c r="HI206" s="231"/>
      <c r="HJ206" s="230"/>
      <c r="HK206" s="236"/>
      <c r="HL206" s="236"/>
      <c r="HM206" s="228"/>
      <c r="HN206" s="229"/>
      <c r="HO206" s="231"/>
      <c r="HP206" s="41"/>
      <c r="HQ206" s="231"/>
      <c r="HR206" s="230"/>
      <c r="HS206" s="236"/>
      <c r="HT206" s="236"/>
      <c r="HU206" s="228"/>
      <c r="HV206" s="229"/>
      <c r="HW206" s="231"/>
      <c r="HX206" s="41"/>
      <c r="HY206" s="231"/>
      <c r="HZ206" s="230"/>
      <c r="IA206" s="236"/>
      <c r="IB206" s="236"/>
      <c r="IC206" s="228"/>
      <c r="ID206" s="229"/>
      <c r="IE206" s="231"/>
      <c r="IF206" s="41"/>
      <c r="IG206" s="231"/>
      <c r="IH206" s="230"/>
      <c r="II206" s="236"/>
      <c r="IJ206" s="236"/>
      <c r="IK206" s="228"/>
      <c r="IL206" s="229"/>
      <c r="IM206" s="231"/>
      <c r="IN206" s="41"/>
      <c r="IO206" s="231"/>
      <c r="IP206" s="230"/>
      <c r="IQ206" s="236"/>
      <c r="IR206" s="236"/>
      <c r="IS206" s="228"/>
      <c r="IT206" s="229"/>
    </row>
    <row r="207" spans="1:254" x14ac:dyDescent="0.2">
      <c r="A207" s="210">
        <v>44</v>
      </c>
      <c r="B207" s="40" t="s">
        <v>1053</v>
      </c>
      <c r="D207" s="230"/>
      <c r="E207" s="473">
        <f>H191+E204</f>
        <v>42691158.31862767</v>
      </c>
      <c r="F207" s="1012" t="s">
        <v>2855</v>
      </c>
      <c r="G207" s="228"/>
      <c r="J207" s="40"/>
      <c r="K207" s="231"/>
      <c r="L207" s="230"/>
      <c r="M207" s="235"/>
      <c r="N207" s="237"/>
      <c r="O207" s="228"/>
      <c r="P207" s="229"/>
      <c r="Q207" s="231"/>
      <c r="R207" s="230"/>
      <c r="S207" s="235"/>
      <c r="T207" s="237"/>
      <c r="U207" s="228"/>
      <c r="V207" s="229"/>
      <c r="W207" s="215"/>
      <c r="X207" s="40"/>
      <c r="Y207" s="231"/>
      <c r="Z207" s="230"/>
      <c r="AA207" s="235"/>
      <c r="AB207" s="237"/>
      <c r="AC207" s="228"/>
      <c r="AD207" s="229"/>
      <c r="AE207" s="215"/>
      <c r="AF207" s="40"/>
      <c r="AG207" s="231"/>
      <c r="AH207" s="230"/>
      <c r="AI207" s="235"/>
      <c r="AJ207" s="237"/>
      <c r="AK207" s="228"/>
      <c r="AL207" s="229"/>
      <c r="AM207" s="215"/>
      <c r="AN207" s="40"/>
      <c r="AO207" s="231"/>
      <c r="AP207" s="230"/>
      <c r="AQ207" s="235"/>
      <c r="AR207" s="237"/>
      <c r="AS207" s="228"/>
      <c r="AT207" s="229"/>
      <c r="AU207" s="215"/>
      <c r="AV207" s="40"/>
      <c r="AW207" s="231"/>
      <c r="AX207" s="230"/>
      <c r="AY207" s="235"/>
      <c r="AZ207" s="237"/>
      <c r="BA207" s="228"/>
      <c r="BB207" s="229"/>
      <c r="BC207" s="215"/>
      <c r="BD207" s="40"/>
      <c r="BE207" s="231"/>
      <c r="BF207" s="230"/>
      <c r="BG207" s="235"/>
      <c r="BH207" s="237"/>
      <c r="BI207" s="228"/>
      <c r="BJ207" s="229"/>
      <c r="BK207" s="215"/>
      <c r="BL207" s="40"/>
      <c r="BM207" s="231"/>
      <c r="BN207" s="230"/>
      <c r="BO207" s="235"/>
      <c r="BP207" s="237"/>
      <c r="BQ207" s="228"/>
      <c r="BR207" s="229"/>
      <c r="BS207" s="215"/>
      <c r="BT207" s="40"/>
      <c r="BU207" s="231"/>
      <c r="BV207" s="230"/>
      <c r="BW207" s="235"/>
      <c r="BX207" s="237"/>
      <c r="BY207" s="228"/>
      <c r="BZ207" s="229"/>
      <c r="CA207" s="215"/>
      <c r="CB207" s="40"/>
      <c r="CC207" s="231"/>
      <c r="CD207" s="230"/>
      <c r="CE207" s="235"/>
      <c r="CF207" s="237"/>
      <c r="CG207" s="228"/>
      <c r="CH207" s="229"/>
      <c r="CI207" s="215"/>
      <c r="CJ207" s="40"/>
      <c r="CK207" s="231"/>
      <c r="CL207" s="230"/>
      <c r="CM207" s="235"/>
      <c r="CN207" s="237"/>
      <c r="CO207" s="228"/>
      <c r="CP207" s="229"/>
      <c r="CQ207" s="215"/>
      <c r="CR207" s="40"/>
      <c r="CS207" s="231"/>
      <c r="CT207" s="230"/>
      <c r="CU207" s="235"/>
      <c r="CV207" s="237"/>
      <c r="CW207" s="228"/>
      <c r="CX207" s="229"/>
      <c r="CY207" s="215"/>
      <c r="CZ207" s="40"/>
      <c r="DA207" s="231"/>
      <c r="DB207" s="230"/>
      <c r="DC207" s="235"/>
      <c r="DD207" s="237"/>
      <c r="DE207" s="228"/>
      <c r="DF207" s="229"/>
      <c r="DG207" s="215"/>
      <c r="DH207" s="40"/>
      <c r="DI207" s="231"/>
      <c r="DJ207" s="230"/>
      <c r="DK207" s="235"/>
      <c r="DL207" s="237"/>
      <c r="DM207" s="228"/>
      <c r="DN207" s="229"/>
      <c r="DO207" s="215"/>
      <c r="DP207" s="40"/>
      <c r="DQ207" s="231"/>
      <c r="DR207" s="230"/>
      <c r="DS207" s="235"/>
      <c r="DT207" s="237"/>
      <c r="DU207" s="228"/>
      <c r="DV207" s="229"/>
      <c r="DW207" s="215"/>
      <c r="DX207" s="40"/>
      <c r="DY207" s="231"/>
      <c r="DZ207" s="230"/>
      <c r="EA207" s="235"/>
      <c r="EB207" s="237"/>
      <c r="EC207" s="228"/>
      <c r="ED207" s="229"/>
      <c r="EE207" s="215"/>
      <c r="EF207" s="40"/>
      <c r="EG207" s="231"/>
      <c r="EH207" s="230"/>
      <c r="EI207" s="235"/>
      <c r="EJ207" s="237"/>
      <c r="EK207" s="228"/>
      <c r="EL207" s="229"/>
      <c r="EM207" s="215"/>
      <c r="EN207" s="40"/>
      <c r="EO207" s="231"/>
      <c r="EP207" s="230"/>
      <c r="EQ207" s="235"/>
      <c r="ER207" s="237"/>
      <c r="ES207" s="228"/>
      <c r="ET207" s="229"/>
      <c r="EU207" s="215"/>
      <c r="EV207" s="40"/>
      <c r="EW207" s="231"/>
      <c r="EX207" s="230"/>
      <c r="EY207" s="235"/>
      <c r="EZ207" s="237"/>
      <c r="FA207" s="228"/>
      <c r="FB207" s="229"/>
      <c r="FC207" s="215"/>
      <c r="FD207" s="40"/>
      <c r="FE207" s="231"/>
      <c r="FF207" s="230"/>
      <c r="FG207" s="235"/>
      <c r="FH207" s="237"/>
      <c r="FI207" s="228"/>
      <c r="FJ207" s="229"/>
      <c r="FK207" s="215"/>
      <c r="FL207" s="40"/>
      <c r="FM207" s="231"/>
      <c r="FN207" s="230"/>
      <c r="FO207" s="235"/>
      <c r="FP207" s="237"/>
      <c r="FQ207" s="228"/>
      <c r="FR207" s="229"/>
      <c r="FS207" s="215"/>
      <c r="FT207" s="40"/>
      <c r="FU207" s="231"/>
      <c r="FV207" s="230"/>
      <c r="FW207" s="235"/>
      <c r="FX207" s="237"/>
      <c r="FY207" s="228"/>
      <c r="FZ207" s="229"/>
      <c r="GA207" s="215"/>
      <c r="GB207" s="40"/>
      <c r="GC207" s="231"/>
      <c r="GD207" s="230"/>
      <c r="GE207" s="235"/>
      <c r="GF207" s="237"/>
      <c r="GG207" s="228"/>
      <c r="GH207" s="229"/>
      <c r="GI207" s="215"/>
      <c r="GJ207" s="40"/>
      <c r="GK207" s="231"/>
      <c r="GL207" s="230"/>
      <c r="GM207" s="235"/>
      <c r="GN207" s="237"/>
      <c r="GO207" s="228"/>
      <c r="GP207" s="229"/>
      <c r="GQ207" s="215"/>
      <c r="GR207" s="40"/>
      <c r="GS207" s="231"/>
      <c r="GT207" s="230"/>
      <c r="GU207" s="235"/>
      <c r="GV207" s="237"/>
      <c r="GW207" s="228"/>
      <c r="GX207" s="229"/>
      <c r="GY207" s="215"/>
      <c r="GZ207" s="40"/>
      <c r="HA207" s="231"/>
      <c r="HB207" s="230"/>
      <c r="HC207" s="235"/>
      <c r="HD207" s="237"/>
      <c r="HE207" s="228"/>
      <c r="HF207" s="229"/>
      <c r="HG207" s="215"/>
      <c r="HH207" s="40"/>
      <c r="HI207" s="231"/>
      <c r="HJ207" s="230"/>
      <c r="HK207" s="235"/>
      <c r="HL207" s="237"/>
      <c r="HM207" s="228"/>
      <c r="HN207" s="229"/>
      <c r="HO207" s="215"/>
      <c r="HP207" s="40"/>
      <c r="HQ207" s="231"/>
      <c r="HR207" s="230"/>
      <c r="HS207" s="235"/>
      <c r="HT207" s="237"/>
      <c r="HU207" s="228"/>
      <c r="HV207" s="229"/>
      <c r="HW207" s="215"/>
      <c r="HX207" s="40"/>
      <c r="HY207" s="231"/>
      <c r="HZ207" s="230"/>
      <c r="IA207" s="235"/>
      <c r="IB207" s="237"/>
      <c r="IC207" s="228"/>
      <c r="ID207" s="229"/>
      <c r="IE207" s="215"/>
      <c r="IF207" s="40"/>
      <c r="IG207" s="231"/>
      <c r="IH207" s="230"/>
      <c r="II207" s="235"/>
      <c r="IJ207" s="237"/>
      <c r="IK207" s="228"/>
      <c r="IL207" s="229"/>
      <c r="IM207" s="215"/>
      <c r="IN207" s="40"/>
      <c r="IO207" s="231"/>
      <c r="IP207" s="230"/>
      <c r="IQ207" s="235"/>
      <c r="IR207" s="237"/>
      <c r="IS207" s="228"/>
      <c r="IT207" s="229"/>
    </row>
    <row r="208" spans="1:254" x14ac:dyDescent="0.2">
      <c r="A208" s="41"/>
      <c r="D208" s="331"/>
      <c r="E208" s="317"/>
      <c r="F208" s="355"/>
    </row>
    <row r="210" spans="1:7" x14ac:dyDescent="0.2">
      <c r="A210" s="231" t="s">
        <v>265</v>
      </c>
    </row>
    <row r="211" spans="1:7" ht="12.75" customHeight="1" x14ac:dyDescent="0.2">
      <c r="A211" s="88" t="s">
        <v>1031</v>
      </c>
      <c r="B211" s="1222" t="s">
        <v>1912</v>
      </c>
      <c r="C211" s="1223"/>
      <c r="D211" s="1223"/>
    </row>
    <row r="212" spans="1:7" ht="77.25" customHeight="1" x14ac:dyDescent="0.2">
      <c r="A212" s="88" t="s">
        <v>1032</v>
      </c>
      <c r="B212" s="1206" t="s">
        <v>2458</v>
      </c>
      <c r="C212" s="1207"/>
      <c r="D212" s="1207"/>
      <c r="E212" s="1215"/>
      <c r="F212" s="1215"/>
    </row>
    <row r="213" spans="1:7" ht="12.75" customHeight="1" x14ac:dyDescent="0.2">
      <c r="A213" s="88" t="s">
        <v>1033</v>
      </c>
      <c r="B213" s="1212" t="s">
        <v>1034</v>
      </c>
      <c r="C213" s="1213"/>
      <c r="D213" s="1213"/>
      <c r="E213" s="1214"/>
      <c r="F213" s="1214"/>
    </row>
    <row r="214" spans="1:7" ht="12.75" customHeight="1" x14ac:dyDescent="0.2">
      <c r="A214" s="74" t="s">
        <v>1035</v>
      </c>
      <c r="B214" s="1206" t="s">
        <v>1958</v>
      </c>
      <c r="C214" s="1213"/>
      <c r="D214" s="1213"/>
      <c r="E214" s="1214"/>
      <c r="F214" s="1214"/>
    </row>
    <row r="215" spans="1:7" ht="12.75" customHeight="1" x14ac:dyDescent="0.2">
      <c r="A215" s="88" t="s">
        <v>1036</v>
      </c>
      <c r="B215" s="1212" t="s">
        <v>1037</v>
      </c>
      <c r="C215" s="1213"/>
      <c r="D215" s="1213"/>
      <c r="E215" s="1214"/>
      <c r="F215" s="1214"/>
    </row>
    <row r="216" spans="1:7" ht="12.75" customHeight="1" x14ac:dyDescent="0.2">
      <c r="A216" s="74" t="s">
        <v>1038</v>
      </c>
      <c r="B216" s="1212" t="s">
        <v>1039</v>
      </c>
      <c r="C216" s="1213"/>
      <c r="D216" s="1213"/>
      <c r="E216" s="1214"/>
      <c r="F216" s="1214"/>
    </row>
    <row r="217" spans="1:7" ht="12.75" customHeight="1" x14ac:dyDescent="0.2">
      <c r="A217" s="74" t="s">
        <v>1040</v>
      </c>
      <c r="B217" s="1206" t="s">
        <v>2236</v>
      </c>
      <c r="C217" s="1207"/>
      <c r="D217" s="1207"/>
      <c r="E217" s="1208"/>
      <c r="F217" s="1208"/>
    </row>
    <row r="218" spans="1:7" ht="12.75" customHeight="1" x14ac:dyDescent="0.2">
      <c r="A218" s="74"/>
      <c r="B218" s="1208"/>
      <c r="C218" s="1208"/>
      <c r="D218" s="1208"/>
      <c r="E218" s="1208"/>
      <c r="F218" s="1208"/>
    </row>
    <row r="219" spans="1:7" ht="12.75" customHeight="1" x14ac:dyDescent="0.2">
      <c r="A219" s="74"/>
      <c r="B219" s="1212" t="s">
        <v>1041</v>
      </c>
      <c r="C219" s="1213"/>
      <c r="D219" s="370">
        <v>4.6089999999999999E-2</v>
      </c>
      <c r="E219" s="1117" t="s">
        <v>2269</v>
      </c>
      <c r="F219" s="831" t="s">
        <v>3183</v>
      </c>
      <c r="G219" s="832"/>
    </row>
    <row r="220" spans="1:7" ht="26.25" customHeight="1" x14ac:dyDescent="0.2">
      <c r="A220" s="74" t="s">
        <v>1042</v>
      </c>
      <c r="B220" s="1212" t="s">
        <v>1043</v>
      </c>
      <c r="C220" s="1213"/>
      <c r="D220" s="1213"/>
      <c r="E220" s="1214"/>
      <c r="F220" s="1214"/>
    </row>
    <row r="221" spans="1:7" ht="27.75" customHeight="1" x14ac:dyDescent="0.2">
      <c r="A221" s="74" t="s">
        <v>1044</v>
      </c>
      <c r="B221" s="1212" t="s">
        <v>1045</v>
      </c>
      <c r="C221" s="1213"/>
      <c r="D221" s="1213"/>
      <c r="E221" s="1214"/>
      <c r="F221" s="1214"/>
    </row>
    <row r="222" spans="1:7" ht="25.5" customHeight="1" x14ac:dyDescent="0.2">
      <c r="A222" s="88" t="s">
        <v>1046</v>
      </c>
      <c r="B222" s="1212" t="s">
        <v>1047</v>
      </c>
      <c r="C222" s="1213"/>
      <c r="D222" s="1213"/>
      <c r="E222" s="1214"/>
      <c r="F222" s="1214"/>
    </row>
    <row r="223" spans="1:7" ht="39.950000000000003" customHeight="1" x14ac:dyDescent="0.2">
      <c r="A223" s="74" t="s">
        <v>1048</v>
      </c>
      <c r="B223" s="1206" t="s">
        <v>2270</v>
      </c>
      <c r="C223" s="1207"/>
      <c r="D223" s="1207"/>
      <c r="E223" s="1215"/>
      <c r="F223" s="1215"/>
    </row>
    <row r="224" spans="1:7" ht="26.1" customHeight="1" x14ac:dyDescent="0.2">
      <c r="A224" s="74" t="s">
        <v>1049</v>
      </c>
      <c r="B224" s="1206" t="s">
        <v>2237</v>
      </c>
      <c r="C224" s="1207"/>
      <c r="D224" s="1207"/>
      <c r="E224" s="1208"/>
      <c r="F224" s="1208"/>
      <c r="G224" s="1208"/>
    </row>
    <row r="225" spans="1:8" ht="12.75" customHeight="1" x14ac:dyDescent="0.2">
      <c r="A225" s="74"/>
      <c r="B225" s="1212" t="s">
        <v>1041</v>
      </c>
      <c r="C225" s="1213"/>
      <c r="D225" s="370">
        <v>4.6089999999999999E-2</v>
      </c>
      <c r="E225" s="1117" t="s">
        <v>2269</v>
      </c>
      <c r="F225" s="831" t="s">
        <v>3183</v>
      </c>
      <c r="G225" s="832"/>
    </row>
    <row r="226" spans="1:8" ht="12.75" customHeight="1" x14ac:dyDescent="0.2">
      <c r="A226" s="74" t="s">
        <v>1050</v>
      </c>
      <c r="B226" s="1206" t="s">
        <v>2849</v>
      </c>
      <c r="C226" s="1207"/>
      <c r="D226" s="1207"/>
      <c r="E226" s="1208"/>
      <c r="F226" s="1208"/>
      <c r="G226" s="1208"/>
      <c r="H226" s="1208"/>
    </row>
    <row r="227" spans="1:8" ht="12.75" customHeight="1" x14ac:dyDescent="0.2">
      <c r="A227" s="74" t="s">
        <v>1051</v>
      </c>
      <c r="B227" s="1206" t="s">
        <v>2850</v>
      </c>
      <c r="C227" s="1207"/>
      <c r="D227" s="1207"/>
      <c r="E227" s="1208"/>
      <c r="F227" s="1208"/>
      <c r="G227" s="1208"/>
    </row>
    <row r="228" spans="1:8" ht="25.5" customHeight="1" x14ac:dyDescent="0.2">
      <c r="A228" s="799" t="s">
        <v>2169</v>
      </c>
      <c r="B228" s="1206" t="s">
        <v>2294</v>
      </c>
      <c r="C228" s="1207"/>
      <c r="D228" s="1207"/>
      <c r="E228" s="1215"/>
      <c r="F228" s="1215"/>
      <c r="G228" s="331"/>
    </row>
    <row r="229" spans="1:8" x14ac:dyDescent="0.2">
      <c r="A229" s="799" t="s">
        <v>2271</v>
      </c>
      <c r="B229" s="769" t="s">
        <v>2334</v>
      </c>
      <c r="C229" s="41"/>
      <c r="E229" s="41"/>
      <c r="F229" s="41"/>
      <c r="G229" s="331"/>
    </row>
    <row r="230" spans="1:8" x14ac:dyDescent="0.2">
      <c r="A230" s="799" t="s">
        <v>2300</v>
      </c>
      <c r="B230" s="769" t="s">
        <v>2430</v>
      </c>
      <c r="C230" s="41"/>
      <c r="E230" s="331"/>
      <c r="F230" s="331"/>
      <c r="G230" s="331"/>
    </row>
    <row r="231" spans="1:8" x14ac:dyDescent="0.2">
      <c r="A231" s="41"/>
      <c r="B231" s="769" t="s">
        <v>2431</v>
      </c>
      <c r="C231" s="41"/>
      <c r="E231" s="331"/>
      <c r="F231" s="331"/>
      <c r="G231" s="331"/>
    </row>
    <row r="232" spans="1:8" x14ac:dyDescent="0.2">
      <c r="A232" s="41"/>
      <c r="B232" s="769" t="s">
        <v>2432</v>
      </c>
      <c r="C232" s="41"/>
      <c r="E232" s="331"/>
      <c r="F232" s="331"/>
      <c r="G232" s="331"/>
    </row>
    <row r="233" spans="1:8" x14ac:dyDescent="0.2">
      <c r="A233" s="41"/>
      <c r="B233" s="769" t="s">
        <v>2433</v>
      </c>
      <c r="C233" s="41"/>
      <c r="E233" s="331"/>
      <c r="F233" s="331"/>
      <c r="G233" s="331"/>
    </row>
    <row r="234" spans="1:8" x14ac:dyDescent="0.2">
      <c r="A234" s="41"/>
      <c r="C234" s="41"/>
      <c r="E234" s="331"/>
      <c r="F234" s="331"/>
      <c r="G234" s="331"/>
    </row>
  </sheetData>
  <autoFilter ref="A1:O229"/>
  <mergeCells count="46">
    <mergeCell ref="B228:F228"/>
    <mergeCell ref="J2:M2"/>
    <mergeCell ref="G2:I2"/>
    <mergeCell ref="B176:D176"/>
    <mergeCell ref="B144:D144"/>
    <mergeCell ref="B61:D61"/>
    <mergeCell ref="B32:D32"/>
    <mergeCell ref="B24:D24"/>
    <mergeCell ref="B175:D175"/>
    <mergeCell ref="B153:D153"/>
    <mergeCell ref="B9:D9"/>
    <mergeCell ref="B10:D10"/>
    <mergeCell ref="B31:D31"/>
    <mergeCell ref="B23:D23"/>
    <mergeCell ref="B60:D60"/>
    <mergeCell ref="B120:D120"/>
    <mergeCell ref="B221:F221"/>
    <mergeCell ref="B212:F212"/>
    <mergeCell ref="B179:C179"/>
    <mergeCell ref="B180:C180"/>
    <mergeCell ref="B182:C182"/>
    <mergeCell ref="B187:D187"/>
    <mergeCell ref="B189:D189"/>
    <mergeCell ref="B188:D188"/>
    <mergeCell ref="B181:C181"/>
    <mergeCell ref="B213:F213"/>
    <mergeCell ref="B214:F214"/>
    <mergeCell ref="B216:F216"/>
    <mergeCell ref="B215:F215"/>
    <mergeCell ref="B220:F220"/>
    <mergeCell ref="B226:H226"/>
    <mergeCell ref="B227:G227"/>
    <mergeCell ref="B119:D119"/>
    <mergeCell ref="B222:F222"/>
    <mergeCell ref="B223:F223"/>
    <mergeCell ref="B225:C225"/>
    <mergeCell ref="B224:G224"/>
    <mergeCell ref="B149:D149"/>
    <mergeCell ref="B174:D174"/>
    <mergeCell ref="B154:D154"/>
    <mergeCell ref="B183:C183"/>
    <mergeCell ref="B211:D211"/>
    <mergeCell ref="B148:D148"/>
    <mergeCell ref="B143:D143"/>
    <mergeCell ref="B219:C219"/>
    <mergeCell ref="B217:F218"/>
  </mergeCells>
  <conditionalFormatting sqref="A215:A216 C150:C152 C121:C142 D66 C2:C8 C11:C22 C145:C147 C230:C65539 A220:A221 C154:C163 A223:A226 C208:C210 C25:C30 C33:C59 C62:C116 C191:C205 A228:A229 C118">
    <cfRule type="cellIs" dxfId="6" priority="7" stopIfTrue="1" operator="between">
      <formula>4990000</formula>
      <formula>4999999</formula>
    </cfRule>
  </conditionalFormatting>
  <conditionalFormatting sqref="A227">
    <cfRule type="cellIs" dxfId="5" priority="6" stopIfTrue="1" operator="between">
      <formula>4990000</formula>
      <formula>4999999</formula>
    </cfRule>
  </conditionalFormatting>
  <conditionalFormatting sqref="A217:A219">
    <cfRule type="cellIs" dxfId="4" priority="5" stopIfTrue="1" operator="between">
      <formula>4990000</formula>
      <formula>4999999</formula>
    </cfRule>
  </conditionalFormatting>
  <conditionalFormatting sqref="K206:K207 Q206:Q207 Y206:Y207 AG206:AG207 AO206:AO207 AW206:AW207 BE206:BE207 BM206:BM207 BU206:BU207 CC206:CC207 CK206:CK207 CS206:CS207 DA206:DA207 DI206:DI207 DQ206:DQ207 DY206:DY207 EG206:EG207 EO206:EO207 EW206:EW207 FE206:FE207 FM206:FM207 FU206:FU207 GC206:GC207 GK206:GK207 GS206:GS207 HA206:HA207 HI206:HI207 HQ206:HQ207 HY206:HY207 IG206:IG207 IO206:IO207">
    <cfRule type="cellIs" dxfId="3" priority="4" stopIfTrue="1" operator="between">
      <formula>4990000</formula>
      <formula>4999999</formula>
    </cfRule>
  </conditionalFormatting>
  <conditionalFormatting sqref="C206:C207">
    <cfRule type="cellIs" dxfId="2" priority="3" stopIfTrue="1" operator="between">
      <formula>4990000</formula>
      <formula>4999999</formula>
    </cfRule>
  </conditionalFormatting>
  <conditionalFormatting sqref="A230">
    <cfRule type="cellIs" dxfId="1" priority="2" stopIfTrue="1" operator="between">
      <formula>4990000</formula>
      <formula>4999999</formula>
    </cfRule>
  </conditionalFormatting>
  <conditionalFormatting sqref="C117">
    <cfRule type="cellIs" dxfId="0" priority="1" stopIfTrue="1" operator="between">
      <formula>4990000</formula>
      <formula>4999999</formula>
    </cfRule>
  </conditionalFormatting>
  <pageMargins left="0.7" right="0.7" top="0.75" bottom="0.75" header="0.3" footer="0.3"/>
  <pageSetup scale="51" fitToHeight="0" orientation="landscape" cellComments="asDisplayed" r:id="rId1"/>
  <headerFooter>
    <oddHeader>&amp;CSchedule 21
Revenue Credits
&amp;"Arial,Bold"Exhibit G-2</oddHeader>
    <oddFooter>&amp;R21-RevenueCredits</oddFooter>
  </headerFooter>
  <rowBreaks count="3" manualBreakCount="3">
    <brk id="61" max="16383" man="1"/>
    <brk id="120" max="16383" man="1"/>
    <brk id="176"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zoomScale="85" zoomScaleNormal="85" workbookViewId="0"/>
  </sheetViews>
  <sheetFormatPr defaultRowHeight="12.75" x14ac:dyDescent="0.2"/>
  <cols>
    <col min="1" max="1" width="4.7109375" style="63" customWidth="1"/>
    <col min="2" max="2" width="14" customWidth="1"/>
    <col min="3" max="3" width="26.85546875" customWidth="1"/>
    <col min="4" max="4" width="28.5703125" customWidth="1"/>
    <col min="5" max="5" width="16.28515625" bestFit="1" customWidth="1"/>
    <col min="6" max="6" width="20.7109375" style="402" customWidth="1"/>
    <col min="7" max="7" width="9.7109375" customWidth="1"/>
  </cols>
  <sheetData>
    <row r="1" spans="1:7" x14ac:dyDescent="0.2">
      <c r="A1" s="85" t="s">
        <v>1206</v>
      </c>
      <c r="C1" s="85"/>
      <c r="D1" s="85"/>
      <c r="E1" s="85"/>
    </row>
    <row r="2" spans="1:7" x14ac:dyDescent="0.2">
      <c r="A2" s="85"/>
      <c r="C2" s="85"/>
      <c r="D2" s="85"/>
      <c r="E2" s="1024" t="s">
        <v>2246</v>
      </c>
      <c r="F2" s="1153">
        <v>2011</v>
      </c>
    </row>
    <row r="3" spans="1:7" x14ac:dyDescent="0.2">
      <c r="B3" s="85" t="s">
        <v>1243</v>
      </c>
      <c r="C3" s="85"/>
      <c r="D3" s="85"/>
      <c r="E3" s="85"/>
    </row>
    <row r="4" spans="1:7" ht="15" x14ac:dyDescent="0.25">
      <c r="A4" s="53" t="s">
        <v>369</v>
      </c>
      <c r="C4" s="85"/>
      <c r="E4" s="3" t="s">
        <v>1067</v>
      </c>
      <c r="F4" s="403" t="s">
        <v>196</v>
      </c>
    </row>
    <row r="5" spans="1:7" ht="15" x14ac:dyDescent="0.25">
      <c r="A5" s="251">
        <v>1</v>
      </c>
      <c r="B5" s="52" t="s">
        <v>1207</v>
      </c>
      <c r="C5" s="52"/>
      <c r="D5" s="404"/>
      <c r="E5" s="1180">
        <v>30999991.48</v>
      </c>
      <c r="F5" s="405" t="s">
        <v>245</v>
      </c>
    </row>
    <row r="6" spans="1:7" ht="15" x14ac:dyDescent="0.25">
      <c r="A6" s="251">
        <v>2</v>
      </c>
      <c r="B6" s="404" t="s">
        <v>1208</v>
      </c>
      <c r="C6" s="404"/>
      <c r="D6" s="404"/>
      <c r="E6" s="742">
        <v>80926997.519999996</v>
      </c>
      <c r="F6" s="405" t="s">
        <v>33</v>
      </c>
    </row>
    <row r="7" spans="1:7" ht="15" x14ac:dyDescent="0.25">
      <c r="A7" s="251">
        <v>3</v>
      </c>
      <c r="B7" s="52" t="s">
        <v>1209</v>
      </c>
      <c r="C7" s="52"/>
      <c r="D7" s="52"/>
      <c r="E7" s="61">
        <f>E5+E6</f>
        <v>111926989</v>
      </c>
      <c r="F7" s="13" t="str">
        <f>"Line "&amp;A5&amp;" + Line "&amp;A6&amp;""</f>
        <v>Line 1 + Line 2</v>
      </c>
    </row>
    <row r="8" spans="1:7" ht="15.75" x14ac:dyDescent="0.25">
      <c r="A8" s="406">
        <v>4</v>
      </c>
      <c r="B8" s="1235" t="s">
        <v>1210</v>
      </c>
      <c r="C8" s="1236"/>
      <c r="D8" s="1236"/>
      <c r="E8" s="1180">
        <v>111926989</v>
      </c>
      <c r="F8" s="408" t="s">
        <v>1490</v>
      </c>
      <c r="G8" s="391"/>
    </row>
    <row r="9" spans="1:7" ht="15" x14ac:dyDescent="0.25">
      <c r="A9" s="406"/>
      <c r="B9" s="407"/>
      <c r="C9" s="409"/>
      <c r="D9" s="409"/>
      <c r="E9" s="1181"/>
      <c r="F9" s="418"/>
      <c r="G9" s="391"/>
    </row>
    <row r="10" spans="1:7" ht="15" x14ac:dyDescent="0.25">
      <c r="A10" s="406"/>
      <c r="B10" s="85" t="s">
        <v>1244</v>
      </c>
      <c r="C10" s="409"/>
      <c r="D10" s="409"/>
      <c r="E10" s="1181"/>
      <c r="F10" s="408"/>
      <c r="G10" s="391"/>
    </row>
    <row r="11" spans="1:7" ht="15" x14ac:dyDescent="0.25">
      <c r="A11" s="411"/>
      <c r="B11" s="52"/>
      <c r="C11" s="52"/>
      <c r="D11" s="52"/>
      <c r="E11" s="969"/>
      <c r="F11" s="408"/>
      <c r="G11" s="391"/>
    </row>
    <row r="12" spans="1:7" ht="15" x14ac:dyDescent="0.25">
      <c r="A12" s="411">
        <v>5</v>
      </c>
      <c r="B12" s="52" t="s">
        <v>1207</v>
      </c>
      <c r="C12" s="52"/>
      <c r="D12" s="52"/>
      <c r="E12" s="1180">
        <v>18816505.559999999</v>
      </c>
      <c r="F12" s="408" t="s">
        <v>320</v>
      </c>
      <c r="G12" s="391"/>
    </row>
    <row r="13" spans="1:7" ht="15" x14ac:dyDescent="0.25">
      <c r="A13" s="411">
        <v>6</v>
      </c>
      <c r="B13" s="52" t="s">
        <v>1208</v>
      </c>
      <c r="C13" s="52"/>
      <c r="D13" s="52"/>
      <c r="E13" s="1180">
        <v>119334857.44</v>
      </c>
      <c r="F13" s="405" t="s">
        <v>33</v>
      </c>
      <c r="G13" s="391"/>
    </row>
    <row r="14" spans="1:7" ht="15" x14ac:dyDescent="0.25">
      <c r="A14" s="411">
        <v>7</v>
      </c>
      <c r="B14" s="52" t="s">
        <v>1209</v>
      </c>
      <c r="C14" s="52"/>
      <c r="D14" s="52"/>
      <c r="E14" s="410">
        <f>E12+E13</f>
        <v>138151363</v>
      </c>
      <c r="F14" s="13" t="str">
        <f>"Line "&amp;A12&amp;" + Line "&amp;A13&amp;""</f>
        <v>Line 5 + Line 6</v>
      </c>
      <c r="G14" s="391"/>
    </row>
    <row r="15" spans="1:7" ht="15.75" x14ac:dyDescent="0.25">
      <c r="A15" s="406">
        <v>8</v>
      </c>
      <c r="B15" s="1235" t="s">
        <v>1211</v>
      </c>
      <c r="C15" s="1236"/>
      <c r="D15" s="1236"/>
      <c r="E15" s="1180">
        <v>138151363</v>
      </c>
      <c r="F15" s="408" t="s">
        <v>1212</v>
      </c>
      <c r="G15" s="391"/>
    </row>
    <row r="16" spans="1:7" ht="15" x14ac:dyDescent="0.25">
      <c r="A16" s="251"/>
      <c r="B16" s="52"/>
      <c r="C16" s="52"/>
      <c r="D16" s="52"/>
      <c r="E16" s="61"/>
      <c r="F16" s="405"/>
    </row>
    <row r="17" spans="1:7" ht="15" x14ac:dyDescent="0.25">
      <c r="A17" s="251">
        <v>9</v>
      </c>
      <c r="B17" s="52" t="s">
        <v>1213</v>
      </c>
      <c r="C17" s="52"/>
      <c r="D17" s="52"/>
      <c r="E17" s="61">
        <f>(E5+E12)/2</f>
        <v>24908248.52</v>
      </c>
      <c r="F17" s="16" t="str">
        <f>"(Line "&amp;A5&amp;" + Line "&amp;A12&amp;") / 2"</f>
        <v>(Line 1 + Line 5) / 2</v>
      </c>
      <c r="G17" s="412"/>
    </row>
    <row r="18" spans="1:7" ht="15" x14ac:dyDescent="0.25">
      <c r="A18" s="251"/>
      <c r="B18" s="404"/>
      <c r="C18" s="413"/>
      <c r="D18" s="414"/>
      <c r="E18" s="415"/>
      <c r="F18" s="405"/>
    </row>
    <row r="19" spans="1:7" ht="15" x14ac:dyDescent="0.25">
      <c r="A19" s="251">
        <v>10</v>
      </c>
      <c r="B19" s="404" t="s">
        <v>1214</v>
      </c>
      <c r="C19" s="413"/>
      <c r="D19" s="413"/>
      <c r="E19" s="1182">
        <v>1275701.3</v>
      </c>
      <c r="F19" s="419" t="s">
        <v>1057</v>
      </c>
    </row>
    <row r="20" spans="1:7" ht="15" x14ac:dyDescent="0.25">
      <c r="A20" s="251">
        <v>11</v>
      </c>
      <c r="B20" s="404" t="s">
        <v>1215</v>
      </c>
      <c r="C20" s="413"/>
      <c r="D20" s="413"/>
      <c r="E20" s="1183">
        <v>691975794.71000004</v>
      </c>
      <c r="F20" s="405" t="s">
        <v>33</v>
      </c>
    </row>
    <row r="21" spans="1:7" ht="15" x14ac:dyDescent="0.25">
      <c r="A21" s="251">
        <v>12</v>
      </c>
      <c r="B21" s="404" t="s">
        <v>1216</v>
      </c>
      <c r="C21" s="413"/>
      <c r="D21" s="413"/>
      <c r="E21" s="416">
        <f>E19+E20</f>
        <v>693251496.00999999</v>
      </c>
      <c r="F21" s="13" t="str">
        <f>"Line "&amp;A19&amp;" + Line "&amp;A20&amp;""</f>
        <v>Line 10 + Line 11</v>
      </c>
    </row>
    <row r="22" spans="1:7" ht="15" x14ac:dyDescent="0.25">
      <c r="A22" s="251">
        <v>13</v>
      </c>
      <c r="B22" s="1235" t="s">
        <v>1217</v>
      </c>
      <c r="C22" s="1236"/>
      <c r="D22" s="1236"/>
      <c r="E22" s="1182">
        <v>693248507</v>
      </c>
      <c r="F22" s="405" t="s">
        <v>1218</v>
      </c>
    </row>
    <row r="23" spans="1:7" x14ac:dyDescent="0.2">
      <c r="C23" s="62"/>
      <c r="D23" s="62"/>
    </row>
    <row r="24" spans="1:7" x14ac:dyDescent="0.2">
      <c r="C24" s="62"/>
      <c r="D24" s="62"/>
    </row>
    <row r="25" spans="1:7" x14ac:dyDescent="0.2">
      <c r="A25" s="53" t="s">
        <v>265</v>
      </c>
    </row>
    <row r="26" spans="1:7" x14ac:dyDescent="0.2">
      <c r="A26" s="63">
        <v>1</v>
      </c>
      <c r="B26" s="12" t="s">
        <v>1242</v>
      </c>
    </row>
    <row r="27" spans="1:7" x14ac:dyDescent="0.2">
      <c r="A27" s="63">
        <v>2</v>
      </c>
      <c r="B27" s="12" t="s">
        <v>1245</v>
      </c>
    </row>
    <row r="28" spans="1:7" x14ac:dyDescent="0.2">
      <c r="A28" s="63">
        <v>3</v>
      </c>
      <c r="B28" t="s">
        <v>2166</v>
      </c>
    </row>
    <row r="29" spans="1:7" x14ac:dyDescent="0.2">
      <c r="A29" s="63">
        <v>4</v>
      </c>
      <c r="B29" t="s">
        <v>2769</v>
      </c>
      <c r="E29" s="417"/>
    </row>
    <row r="30" spans="1:7" x14ac:dyDescent="0.2">
      <c r="B30" t="s">
        <v>2768</v>
      </c>
      <c r="E30" s="417"/>
    </row>
    <row r="31" spans="1:7" x14ac:dyDescent="0.2">
      <c r="E31" s="417"/>
    </row>
    <row r="32" spans="1:7" x14ac:dyDescent="0.2">
      <c r="A32"/>
      <c r="E32" s="417"/>
    </row>
    <row r="33" spans="1:5" x14ac:dyDescent="0.2">
      <c r="A33"/>
      <c r="E33" s="417"/>
    </row>
    <row r="34" spans="1:5" x14ac:dyDescent="0.2">
      <c r="A34"/>
      <c r="E34" s="417"/>
    </row>
    <row r="35" spans="1:5" x14ac:dyDescent="0.2">
      <c r="A35"/>
      <c r="E35" s="417"/>
    </row>
    <row r="39" spans="1:5" x14ac:dyDescent="0.2">
      <c r="A39"/>
      <c r="C39" s="103"/>
      <c r="D39" s="103"/>
      <c r="E39" s="103"/>
    </row>
    <row r="40" spans="1:5" x14ac:dyDescent="0.2">
      <c r="A40"/>
      <c r="C40" s="103"/>
      <c r="D40" s="103"/>
      <c r="E40" s="103"/>
    </row>
    <row r="41" spans="1:5" x14ac:dyDescent="0.2">
      <c r="A41"/>
      <c r="C41" s="103"/>
      <c r="D41" s="103"/>
      <c r="E41" s="103"/>
    </row>
    <row r="42" spans="1:5" x14ac:dyDescent="0.2">
      <c r="A42"/>
      <c r="C42" s="103"/>
      <c r="D42" s="103"/>
      <c r="E42" s="103"/>
    </row>
    <row r="43" spans="1:5" x14ac:dyDescent="0.2">
      <c r="A43"/>
      <c r="C43" s="103"/>
      <c r="D43" s="103"/>
      <c r="E43" s="103"/>
    </row>
    <row r="44" spans="1:5" x14ac:dyDescent="0.2">
      <c r="A44"/>
      <c r="C44" s="103"/>
      <c r="D44" s="103"/>
      <c r="E44" s="103"/>
    </row>
    <row r="45" spans="1:5" x14ac:dyDescent="0.2">
      <c r="A45"/>
      <c r="C45" s="103"/>
      <c r="D45" s="103"/>
      <c r="E45" s="103"/>
    </row>
    <row r="46" spans="1:5" x14ac:dyDescent="0.2">
      <c r="A46"/>
      <c r="C46" s="103"/>
      <c r="D46" s="103"/>
      <c r="E46" s="103"/>
    </row>
    <row r="47" spans="1:5" x14ac:dyDescent="0.2">
      <c r="A47"/>
      <c r="C47" s="103"/>
      <c r="D47" s="103"/>
      <c r="E47" s="103"/>
    </row>
    <row r="48" spans="1:5" x14ac:dyDescent="0.2">
      <c r="A48"/>
      <c r="C48" s="103"/>
      <c r="D48" s="103"/>
      <c r="E48" s="103"/>
    </row>
    <row r="49" spans="1:5" x14ac:dyDescent="0.2">
      <c r="A49"/>
      <c r="C49" s="103"/>
      <c r="D49" s="103"/>
      <c r="E49" s="103"/>
    </row>
    <row r="50" spans="1:5" x14ac:dyDescent="0.2">
      <c r="A50"/>
      <c r="C50" s="103"/>
      <c r="D50" s="103"/>
      <c r="E50" s="103"/>
    </row>
    <row r="51" spans="1:5" x14ac:dyDescent="0.2">
      <c r="A51"/>
      <c r="C51" s="103"/>
      <c r="D51" s="103"/>
      <c r="E51" s="103"/>
    </row>
    <row r="54" spans="1:5" x14ac:dyDescent="0.2">
      <c r="A54"/>
      <c r="E54" s="103"/>
    </row>
  </sheetData>
  <mergeCells count="3">
    <mergeCell ref="B8:D8"/>
    <mergeCell ref="B15:D15"/>
    <mergeCell ref="B22:D22"/>
  </mergeCells>
  <pageMargins left="0.7" right="0.7" top="0.75" bottom="0.75" header="0.3" footer="0.3"/>
  <pageSetup scale="75" orientation="portrait" cellComments="asDisplayed" r:id="rId1"/>
  <headerFooter>
    <oddHeader>&amp;CSchedule 22
Network Upgrade Credits and Interest Expense
&amp;"Arial,Bold"Exhibit G-2</oddHeader>
    <oddFooter>&amp;R22-NUCs</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heetViews>
  <sheetFormatPr defaultRowHeight="12.75" x14ac:dyDescent="0.2"/>
  <cols>
    <col min="1" max="1" width="4.7109375" customWidth="1"/>
    <col min="2" max="2" width="30.7109375" customWidth="1"/>
    <col min="3" max="5" width="15.7109375" customWidth="1"/>
    <col min="6" max="6" width="3.7109375" customWidth="1"/>
    <col min="7" max="8" width="10.7109375" customWidth="1"/>
  </cols>
  <sheetData>
    <row r="1" spans="1:9" x14ac:dyDescent="0.2">
      <c r="A1" s="970" t="s">
        <v>2222</v>
      </c>
      <c r="B1" s="971"/>
      <c r="C1" s="971"/>
      <c r="D1" s="971"/>
      <c r="E1" s="971"/>
      <c r="F1" s="971"/>
      <c r="G1" s="971"/>
      <c r="H1" s="14"/>
      <c r="I1" s="14"/>
    </row>
    <row r="2" spans="1:9" x14ac:dyDescent="0.2">
      <c r="A2" s="14"/>
      <c r="B2" s="14"/>
      <c r="C2" s="14"/>
      <c r="D2" s="14"/>
      <c r="E2" s="14"/>
      <c r="F2" s="14"/>
      <c r="G2" s="14"/>
      <c r="H2" s="14"/>
      <c r="I2" s="14"/>
    </row>
    <row r="3" spans="1:9" x14ac:dyDescent="0.2">
      <c r="A3" s="972" t="s">
        <v>369</v>
      </c>
      <c r="B3" s="971"/>
      <c r="C3" s="971"/>
      <c r="D3" s="971"/>
      <c r="E3" s="971"/>
      <c r="F3" s="971"/>
      <c r="G3" s="971"/>
      <c r="H3" s="14"/>
      <c r="I3" s="14"/>
    </row>
    <row r="4" spans="1:9" x14ac:dyDescent="0.2">
      <c r="A4" s="973">
        <v>1</v>
      </c>
      <c r="B4" s="827" t="s">
        <v>2211</v>
      </c>
      <c r="C4" s="971"/>
      <c r="D4" s="971"/>
      <c r="E4" s="971"/>
      <c r="F4" s="971"/>
      <c r="G4" s="971"/>
      <c r="H4" s="14"/>
      <c r="I4" s="14"/>
    </row>
    <row r="5" spans="1:9" x14ac:dyDescent="0.2">
      <c r="A5" s="973">
        <v>2</v>
      </c>
      <c r="B5" s="827" t="s">
        <v>2212</v>
      </c>
      <c r="C5" s="971"/>
      <c r="D5" s="971"/>
      <c r="E5" s="971"/>
      <c r="F5" s="971"/>
      <c r="G5" s="971"/>
      <c r="H5" s="14"/>
      <c r="I5" s="14"/>
    </row>
    <row r="6" spans="1:9" x14ac:dyDescent="0.2">
      <c r="A6" s="973">
        <v>3</v>
      </c>
      <c r="B6" s="827" t="s">
        <v>2213</v>
      </c>
      <c r="C6" s="971"/>
      <c r="D6" s="971"/>
      <c r="E6" s="971"/>
      <c r="F6" s="971"/>
      <c r="G6" s="971"/>
      <c r="H6" s="14"/>
      <c r="I6" s="14"/>
    </row>
    <row r="7" spans="1:9" x14ac:dyDescent="0.2">
      <c r="A7" s="973">
        <v>4</v>
      </c>
      <c r="B7" s="971"/>
      <c r="C7" s="971"/>
      <c r="D7" s="971"/>
      <c r="E7" s="971"/>
      <c r="F7" s="971"/>
      <c r="G7" s="971"/>
      <c r="H7" s="14"/>
      <c r="I7" s="14"/>
    </row>
    <row r="8" spans="1:9" x14ac:dyDescent="0.2">
      <c r="A8" s="973">
        <v>5</v>
      </c>
      <c r="B8" s="827" t="s">
        <v>465</v>
      </c>
      <c r="C8" s="971"/>
      <c r="D8" s="971"/>
      <c r="E8" s="971"/>
      <c r="F8" s="971"/>
      <c r="G8" s="971"/>
      <c r="H8" s="14"/>
      <c r="I8" s="14"/>
    </row>
    <row r="9" spans="1:9" x14ac:dyDescent="0.2">
      <c r="A9" s="973">
        <v>6</v>
      </c>
      <c r="B9" s="827" t="s">
        <v>464</v>
      </c>
      <c r="C9" s="971"/>
      <c r="D9" s="971"/>
      <c r="E9" s="971"/>
      <c r="F9" s="971"/>
      <c r="G9" s="971"/>
      <c r="H9" s="14"/>
      <c r="I9" s="14"/>
    </row>
    <row r="10" spans="1:9" x14ac:dyDescent="0.2">
      <c r="A10" s="973">
        <v>7</v>
      </c>
      <c r="B10" s="971"/>
      <c r="C10" s="971"/>
      <c r="D10" s="971"/>
      <c r="E10" s="971"/>
      <c r="F10" s="971"/>
      <c r="G10" s="971"/>
      <c r="H10" s="14"/>
      <c r="I10" s="14"/>
    </row>
    <row r="11" spans="1:9" x14ac:dyDescent="0.2">
      <c r="A11" s="973">
        <v>8</v>
      </c>
      <c r="B11" s="827" t="s">
        <v>2214</v>
      </c>
      <c r="C11" s="971"/>
      <c r="D11" s="971"/>
      <c r="E11" s="971"/>
      <c r="F11" s="971"/>
      <c r="G11" s="971"/>
      <c r="H11" s="14"/>
      <c r="I11" s="14"/>
    </row>
    <row r="12" spans="1:9" x14ac:dyDescent="0.2">
      <c r="A12" s="973">
        <v>9</v>
      </c>
      <c r="B12" s="827" t="s">
        <v>2215</v>
      </c>
      <c r="C12" s="971"/>
      <c r="D12" s="971"/>
      <c r="E12" s="971"/>
      <c r="F12" s="971"/>
      <c r="G12" s="971"/>
      <c r="H12" s="14"/>
      <c r="I12" s="14"/>
    </row>
    <row r="13" spans="1:9" x14ac:dyDescent="0.2">
      <c r="A13" s="973">
        <v>10</v>
      </c>
      <c r="B13" s="827" t="s">
        <v>2216</v>
      </c>
      <c r="C13" s="971"/>
      <c r="D13" s="971"/>
      <c r="E13" s="971"/>
      <c r="F13" s="971"/>
      <c r="G13" s="971"/>
      <c r="H13" s="14"/>
      <c r="I13" s="14"/>
    </row>
    <row r="14" spans="1:9" x14ac:dyDescent="0.2">
      <c r="A14" s="973">
        <v>11</v>
      </c>
      <c r="B14" s="971"/>
      <c r="C14" s="971"/>
      <c r="D14" s="971"/>
      <c r="E14" s="971"/>
      <c r="F14" s="971"/>
      <c r="G14" s="971"/>
      <c r="H14" s="14"/>
      <c r="I14" s="14"/>
    </row>
    <row r="15" spans="1:9" x14ac:dyDescent="0.2">
      <c r="A15" s="973">
        <v>12</v>
      </c>
      <c r="B15" s="827"/>
      <c r="C15" s="971"/>
      <c r="D15" s="971"/>
      <c r="E15" s="973" t="s">
        <v>73</v>
      </c>
      <c r="F15" s="971"/>
      <c r="G15" s="971"/>
      <c r="H15" s="14"/>
      <c r="I15" s="14"/>
    </row>
    <row r="16" spans="1:9" x14ac:dyDescent="0.2">
      <c r="A16" s="973">
        <v>13</v>
      </c>
      <c r="B16" s="971"/>
      <c r="C16" s="971"/>
      <c r="D16" s="971"/>
      <c r="E16" s="1118" t="s">
        <v>203</v>
      </c>
      <c r="F16" s="971"/>
      <c r="G16" s="1119" t="s">
        <v>2527</v>
      </c>
      <c r="H16" s="14"/>
      <c r="I16" s="14"/>
    </row>
    <row r="17" spans="1:10" x14ac:dyDescent="0.2">
      <c r="A17" s="973">
        <v>14</v>
      </c>
      <c r="B17" s="827" t="s">
        <v>466</v>
      </c>
      <c r="C17" s="971"/>
      <c r="D17" s="971"/>
      <c r="E17" s="822">
        <f>D29</f>
        <v>0</v>
      </c>
      <c r="F17" s="971"/>
      <c r="G17" s="827" t="s">
        <v>567</v>
      </c>
      <c r="H17" s="14"/>
      <c r="I17" s="14"/>
    </row>
    <row r="18" spans="1:10" x14ac:dyDescent="0.2">
      <c r="A18" s="973">
        <v>15</v>
      </c>
      <c r="B18" s="827" t="s">
        <v>2099</v>
      </c>
      <c r="C18" s="971"/>
      <c r="D18" s="971"/>
      <c r="E18" s="822">
        <f>(C29+D29)/2</f>
        <v>0</v>
      </c>
      <c r="F18" s="971"/>
      <c r="G18" s="827" t="s">
        <v>2528</v>
      </c>
      <c r="H18" s="14"/>
      <c r="I18" s="14"/>
      <c r="J18" s="14"/>
    </row>
    <row r="19" spans="1:10" x14ac:dyDescent="0.2">
      <c r="A19" s="973">
        <v>16</v>
      </c>
      <c r="B19" s="827" t="s">
        <v>2217</v>
      </c>
      <c r="C19" s="971"/>
      <c r="D19" s="971"/>
      <c r="E19" s="822">
        <f>E29</f>
        <v>0</v>
      </c>
      <c r="F19" s="971"/>
      <c r="G19" s="827" t="s">
        <v>2529</v>
      </c>
      <c r="H19" s="14"/>
      <c r="I19" s="14"/>
    </row>
    <row r="20" spans="1:10" x14ac:dyDescent="0.2">
      <c r="A20" s="973"/>
      <c r="B20" s="827"/>
      <c r="C20" s="971"/>
      <c r="D20" s="971"/>
      <c r="E20" s="822"/>
      <c r="F20" s="971"/>
      <c r="G20" s="971"/>
      <c r="H20" s="14"/>
      <c r="I20" s="14"/>
    </row>
    <row r="21" spans="1:10" x14ac:dyDescent="0.2">
      <c r="A21" s="973"/>
      <c r="B21" s="971"/>
      <c r="C21" s="979" t="s">
        <v>403</v>
      </c>
      <c r="D21" s="979" t="s">
        <v>387</v>
      </c>
      <c r="E21" s="979" t="s">
        <v>388</v>
      </c>
      <c r="F21" s="971"/>
      <c r="G21" s="971"/>
      <c r="H21" s="14"/>
      <c r="I21" s="14"/>
    </row>
    <row r="22" spans="1:10" x14ac:dyDescent="0.2">
      <c r="A22" s="973"/>
      <c r="B22" s="971"/>
      <c r="C22" s="973" t="s">
        <v>73</v>
      </c>
      <c r="D22" s="973" t="s">
        <v>73</v>
      </c>
      <c r="E22" s="973" t="s">
        <v>73</v>
      </c>
      <c r="F22" s="971"/>
      <c r="G22" s="971"/>
      <c r="H22" s="14"/>
      <c r="I22" s="14"/>
    </row>
    <row r="23" spans="1:10" ht="15" x14ac:dyDescent="0.25">
      <c r="A23" s="973"/>
      <c r="B23" s="973" t="s">
        <v>467</v>
      </c>
      <c r="C23" s="973" t="s">
        <v>432</v>
      </c>
      <c r="D23" s="973" t="s">
        <v>339</v>
      </c>
      <c r="E23" s="1120" t="s">
        <v>2218</v>
      </c>
      <c r="F23" s="971"/>
      <c r="G23" s="1121" t="s">
        <v>2530</v>
      </c>
      <c r="H23" s="1039"/>
      <c r="I23" s="14"/>
    </row>
    <row r="24" spans="1:10" x14ac:dyDescent="0.2">
      <c r="A24" s="973"/>
      <c r="B24" s="973" t="s">
        <v>468</v>
      </c>
      <c r="C24" s="973" t="s">
        <v>473</v>
      </c>
      <c r="D24" s="973" t="s">
        <v>473</v>
      </c>
      <c r="E24" s="973" t="s">
        <v>474</v>
      </c>
      <c r="F24" s="971"/>
      <c r="G24" s="1121" t="s">
        <v>2531</v>
      </c>
      <c r="H24" s="1039"/>
      <c r="I24" s="14"/>
    </row>
    <row r="25" spans="1:10" x14ac:dyDescent="0.2">
      <c r="A25" s="973"/>
      <c r="B25" s="1118" t="s">
        <v>469</v>
      </c>
      <c r="C25" s="1118" t="s">
        <v>469</v>
      </c>
      <c r="D25" s="1118" t="s">
        <v>469</v>
      </c>
      <c r="E25" s="1118" t="s">
        <v>2219</v>
      </c>
      <c r="F25" s="971"/>
      <c r="G25" s="1122" t="s">
        <v>2532</v>
      </c>
      <c r="H25" s="1039"/>
      <c r="I25" s="14"/>
    </row>
    <row r="26" spans="1:10" x14ac:dyDescent="0.2">
      <c r="A26" s="818">
        <v>17</v>
      </c>
      <c r="B26" s="823" t="s">
        <v>470</v>
      </c>
      <c r="C26" s="824"/>
      <c r="D26" s="824"/>
      <c r="E26" s="824"/>
      <c r="F26" s="816"/>
      <c r="G26" s="848"/>
      <c r="H26" s="99"/>
    </row>
    <row r="27" spans="1:10" x14ac:dyDescent="0.2">
      <c r="A27" s="818">
        <v>18</v>
      </c>
      <c r="B27" s="823" t="s">
        <v>471</v>
      </c>
      <c r="C27" s="824"/>
      <c r="D27" s="824"/>
      <c r="E27" s="824"/>
      <c r="F27" s="816"/>
      <c r="G27" s="848"/>
      <c r="H27" s="99"/>
    </row>
    <row r="28" spans="1:10" x14ac:dyDescent="0.2">
      <c r="A28" s="818">
        <v>19</v>
      </c>
      <c r="B28" s="823" t="s">
        <v>472</v>
      </c>
      <c r="C28" s="825"/>
      <c r="D28" s="825"/>
      <c r="E28" s="825"/>
      <c r="F28" s="816"/>
      <c r="G28" s="848"/>
      <c r="H28" s="99"/>
    </row>
    <row r="29" spans="1:10" x14ac:dyDescent="0.2">
      <c r="A29" s="818">
        <v>20</v>
      </c>
      <c r="B29" s="819" t="s">
        <v>225</v>
      </c>
      <c r="C29" s="826">
        <v>0</v>
      </c>
      <c r="D29" s="826">
        <v>0</v>
      </c>
      <c r="E29" s="826">
        <v>0</v>
      </c>
      <c r="F29" s="816"/>
      <c r="G29" s="819" t="s">
        <v>365</v>
      </c>
    </row>
    <row r="30" spans="1:10" x14ac:dyDescent="0.2">
      <c r="A30" s="818"/>
      <c r="B30" s="816"/>
      <c r="C30" s="816"/>
      <c r="D30" s="816"/>
      <c r="E30" s="816"/>
      <c r="F30" s="816"/>
      <c r="G30" s="816"/>
    </row>
    <row r="31" spans="1:10" x14ac:dyDescent="0.2">
      <c r="A31" s="818"/>
      <c r="B31" s="815" t="s">
        <v>429</v>
      </c>
      <c r="C31" s="816"/>
      <c r="D31" s="816"/>
      <c r="E31" s="816"/>
      <c r="F31" s="816"/>
      <c r="G31" s="816"/>
    </row>
    <row r="32" spans="1:10" x14ac:dyDescent="0.2">
      <c r="A32" s="818"/>
      <c r="B32" s="827" t="s">
        <v>2220</v>
      </c>
      <c r="C32" s="971"/>
      <c r="D32" s="971"/>
      <c r="E32" s="971"/>
      <c r="F32" s="971"/>
      <c r="G32" s="971"/>
      <c r="H32" s="14"/>
    </row>
    <row r="33" spans="1:8" x14ac:dyDescent="0.2">
      <c r="A33" s="818"/>
      <c r="B33" s="827" t="s">
        <v>475</v>
      </c>
      <c r="C33" s="14"/>
      <c r="D33" s="14"/>
      <c r="E33" s="14"/>
      <c r="F33" s="14"/>
      <c r="G33" s="14"/>
      <c r="H33" s="14"/>
    </row>
    <row r="34" spans="1:8" x14ac:dyDescent="0.2">
      <c r="A34" s="818"/>
      <c r="B34" s="1123" t="s">
        <v>568</v>
      </c>
      <c r="C34" s="14"/>
      <c r="D34" s="14"/>
      <c r="E34" s="14"/>
      <c r="F34" s="14"/>
      <c r="G34" s="14"/>
      <c r="H34" s="14"/>
    </row>
    <row r="35" spans="1:8" x14ac:dyDescent="0.2">
      <c r="A35" s="818"/>
      <c r="B35" s="1123" t="s">
        <v>569</v>
      </c>
      <c r="C35" s="14"/>
      <c r="D35" s="14"/>
      <c r="E35" s="1039"/>
      <c r="F35" s="14"/>
      <c r="G35" s="14"/>
      <c r="H35" s="14"/>
    </row>
    <row r="36" spans="1:8" x14ac:dyDescent="0.2">
      <c r="A36" s="818"/>
      <c r="B36" s="827" t="s">
        <v>476</v>
      </c>
      <c r="C36" s="14"/>
      <c r="D36" s="14"/>
      <c r="E36" s="14"/>
      <c r="F36" s="14"/>
      <c r="G36" s="14"/>
      <c r="H36" s="14"/>
    </row>
    <row r="37" spans="1:8" x14ac:dyDescent="0.2">
      <c r="A37" s="818"/>
    </row>
    <row r="38" spans="1:8" x14ac:dyDescent="0.2">
      <c r="A38" s="818"/>
      <c r="B38" s="816"/>
    </row>
    <row r="39" spans="1:8" x14ac:dyDescent="0.2">
      <c r="A39" s="818"/>
      <c r="B39" s="816"/>
    </row>
  </sheetData>
  <pageMargins left="0.7" right="0.7" top="1" bottom="0.75" header="0.3" footer="0.3"/>
  <pageSetup orientation="landscape" cellComments="asDisplayed" r:id="rId1"/>
  <headerFooter>
    <oddHeader>&amp;CSchedule 23
Regulatory Assets and Liabilities
&amp;"Arial,Bold"Exhibit G-2</oddHeader>
    <oddFooter>&amp;R23-RegAssets</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5"/>
  <sheetViews>
    <sheetView zoomScale="85" zoomScaleNormal="85" workbookViewId="0"/>
  </sheetViews>
  <sheetFormatPr defaultRowHeight="12.75" x14ac:dyDescent="0.2"/>
  <cols>
    <col min="1" max="2" width="4.7109375" customWidth="1"/>
    <col min="3" max="3" width="28.7109375" customWidth="1"/>
    <col min="4" max="8" width="14.7109375" customWidth="1"/>
  </cols>
  <sheetData>
    <row r="1" spans="1:9" ht="15" x14ac:dyDescent="0.25">
      <c r="A1" s="1" t="s">
        <v>1505</v>
      </c>
      <c r="I1" s="388"/>
    </row>
    <row r="3" spans="1:9" x14ac:dyDescent="0.2">
      <c r="B3" s="1" t="s">
        <v>1946</v>
      </c>
    </row>
    <row r="4" spans="1:9" x14ac:dyDescent="0.2">
      <c r="B4" s="1"/>
    </row>
    <row r="5" spans="1:9" x14ac:dyDescent="0.2">
      <c r="B5" s="1"/>
      <c r="C5" s="1" t="s">
        <v>1704</v>
      </c>
      <c r="D5" s="86" t="s">
        <v>403</v>
      </c>
      <c r="E5" s="86" t="s">
        <v>387</v>
      </c>
      <c r="F5" s="86" t="s">
        <v>388</v>
      </c>
    </row>
    <row r="6" spans="1:9" ht="15" x14ac:dyDescent="0.25">
      <c r="D6" s="251" t="s">
        <v>73</v>
      </c>
      <c r="E6" s="251" t="s">
        <v>73</v>
      </c>
      <c r="F6" s="251" t="s">
        <v>226</v>
      </c>
    </row>
    <row r="7" spans="1:9" ht="15" x14ac:dyDescent="0.25">
      <c r="C7" s="1"/>
      <c r="D7" s="251" t="s">
        <v>339</v>
      </c>
      <c r="E7" s="251" t="s">
        <v>264</v>
      </c>
      <c r="F7" s="251" t="s">
        <v>227</v>
      </c>
    </row>
    <row r="8" spans="1:9" x14ac:dyDescent="0.2">
      <c r="A8" s="3" t="s">
        <v>369</v>
      </c>
      <c r="C8" s="3" t="s">
        <v>259</v>
      </c>
      <c r="D8" s="3" t="s">
        <v>203</v>
      </c>
      <c r="E8" s="3" t="s">
        <v>203</v>
      </c>
      <c r="F8" s="3" t="s">
        <v>203</v>
      </c>
      <c r="G8" s="3" t="s">
        <v>207</v>
      </c>
    </row>
    <row r="9" spans="1:9" x14ac:dyDescent="0.2">
      <c r="A9" s="2">
        <v>1</v>
      </c>
      <c r="C9" s="96" t="s">
        <v>1518</v>
      </c>
      <c r="D9" s="7">
        <f>'10-CWIP'!E25</f>
        <v>1059868753.2391434</v>
      </c>
      <c r="E9" s="7">
        <f>'10-CWIP'!E26</f>
        <v>797729307.10367155</v>
      </c>
      <c r="F9" s="7">
        <f>'10-CWIP'!K107</f>
        <v>-397079410.34685886</v>
      </c>
      <c r="G9" s="47" t="str">
        <f>"10-CWIP, Lines "&amp;'10-CWIP'!A25&amp;", "&amp;'10-CWIP'!A26&amp;", "&amp;'10-CWIP'!A107&amp;""</f>
        <v>10-CWIP, Lines 13, 14, 74</v>
      </c>
    </row>
    <row r="10" spans="1:9" x14ac:dyDescent="0.2">
      <c r="A10" s="2">
        <f>A9+1</f>
        <v>2</v>
      </c>
      <c r="C10" s="96" t="s">
        <v>1519</v>
      </c>
      <c r="D10" s="7">
        <f>'10-CWIP'!F25</f>
        <v>151361046.07106277</v>
      </c>
      <c r="E10" s="7">
        <f>'10-CWIP'!F26</f>
        <v>75044895.089562342</v>
      </c>
      <c r="F10" s="7">
        <f>'10-CWIP'!K135</f>
        <v>453532875.78553355</v>
      </c>
      <c r="G10" s="47" t="str">
        <f>"10-CWIP, Lines "&amp;'10-CWIP'!A25&amp;", "&amp;'10-CWIP'!A26&amp;", "&amp;'10-CWIP'!A135&amp;""</f>
        <v>10-CWIP, Lines 13, 14, 97</v>
      </c>
    </row>
    <row r="11" spans="1:9" x14ac:dyDescent="0.2">
      <c r="A11" s="2">
        <f t="shared" ref="A11:A20" si="0">A10+1</f>
        <v>3</v>
      </c>
      <c r="C11" s="96" t="s">
        <v>1520</v>
      </c>
      <c r="D11" s="7">
        <f>'10-CWIP'!G25</f>
        <v>30843632.021137841</v>
      </c>
      <c r="E11" s="7">
        <f>'10-CWIP'!G26</f>
        <v>16130630.394038439</v>
      </c>
      <c r="F11" s="7">
        <f>'10-CWIP'!K163</f>
        <v>104535790.6874297</v>
      </c>
      <c r="G11" s="47" t="str">
        <f>"10-CWIP, Lines "&amp;'10-CWIP'!A25&amp;", "&amp;'10-CWIP'!A26&amp;", "&amp;'10-CWIP'!A163&amp;""</f>
        <v>10-CWIP, Lines 13, 14, 120</v>
      </c>
    </row>
    <row r="12" spans="1:9" x14ac:dyDescent="0.2">
      <c r="A12" s="2">
        <f t="shared" si="0"/>
        <v>4</v>
      </c>
      <c r="C12" s="96" t="s">
        <v>1521</v>
      </c>
      <c r="D12" s="7">
        <f>'10-CWIP'!H25</f>
        <v>-73287.943056206728</v>
      </c>
      <c r="E12" s="7">
        <f>'10-CWIP'!H26</f>
        <v>-65031.388565105997</v>
      </c>
      <c r="F12" s="7">
        <f>'10-CWIP'!K193</f>
        <v>0</v>
      </c>
      <c r="G12" s="47" t="str">
        <f>"10-CWIP, Lines "&amp;'10-CWIP'!A25&amp;", "&amp;'10-CWIP'!A26&amp;", "&amp;'10-CWIP'!A193&amp;""</f>
        <v>10-CWIP, Lines 13, 14, 143</v>
      </c>
    </row>
    <row r="13" spans="1:9" x14ac:dyDescent="0.2">
      <c r="A13" s="2">
        <f t="shared" si="0"/>
        <v>5</v>
      </c>
      <c r="C13" s="96" t="s">
        <v>1522</v>
      </c>
      <c r="D13" s="7">
        <f>'10-CWIP'!I25</f>
        <v>14678203.401025498</v>
      </c>
      <c r="E13" s="7">
        <f>'10-CWIP'!I26</f>
        <v>4517170.2325551175</v>
      </c>
      <c r="F13" s="7">
        <f>'10-CWIP'!K221</f>
        <v>135002596.82500002</v>
      </c>
      <c r="G13" s="47" t="str">
        <f>"10-CWIP, Lines "&amp;'10-CWIP'!A25&amp;", "&amp;'10-CWIP'!A26&amp;", "&amp;'10-CWIP'!A221&amp;""</f>
        <v>10-CWIP, Lines 13, 14, 166</v>
      </c>
    </row>
    <row r="14" spans="1:9" x14ac:dyDescent="0.2">
      <c r="A14" s="2">
        <f t="shared" si="0"/>
        <v>6</v>
      </c>
      <c r="C14" s="96" t="s">
        <v>1523</v>
      </c>
      <c r="D14" s="7">
        <f>'10-CWIP'!D45</f>
        <v>2893212.161289352</v>
      </c>
      <c r="E14" s="7">
        <f>'10-CWIP'!D46</f>
        <v>673493.05615916767</v>
      </c>
      <c r="F14" s="7">
        <f>'10-CWIP'!K249</f>
        <v>6186164.7081144936</v>
      </c>
      <c r="G14" s="47" t="str">
        <f>"10-CWIP, Lines "&amp;'10-CWIP'!A45&amp;", "&amp;'10-CWIP'!A46&amp;", "&amp;'10-CWIP'!A249&amp;""</f>
        <v>10-CWIP, Lines 27, 28, 189</v>
      </c>
    </row>
    <row r="15" spans="1:9" x14ac:dyDescent="0.2">
      <c r="A15" s="2">
        <f t="shared" si="0"/>
        <v>7</v>
      </c>
      <c r="C15" s="96" t="s">
        <v>1524</v>
      </c>
      <c r="D15" s="7">
        <f>'10-CWIP'!E45</f>
        <v>10959973.88545125</v>
      </c>
      <c r="E15" s="7">
        <f>'10-CWIP'!E46</f>
        <v>2859135.7749116919</v>
      </c>
      <c r="F15" s="7">
        <f>'10-CWIP'!K279</f>
        <v>51605871.153846152</v>
      </c>
      <c r="G15" s="47" t="str">
        <f>"10-CWIP, Lines "&amp;'10-CWIP'!A45&amp;", "&amp;'10-CWIP'!A46&amp;", "&amp;'10-CWIP'!A279&amp;""</f>
        <v>10-CWIP, Lines 27, 28, 212</v>
      </c>
    </row>
    <row r="16" spans="1:9" x14ac:dyDescent="0.2">
      <c r="A16" s="2">
        <f t="shared" si="0"/>
        <v>8</v>
      </c>
      <c r="C16" s="96" t="s">
        <v>1525</v>
      </c>
      <c r="D16" s="7">
        <f>'10-CWIP'!F45</f>
        <v>2144420.4</v>
      </c>
      <c r="E16" s="7">
        <f>'10-CWIP'!F46</f>
        <v>771891.50615384616</v>
      </c>
      <c r="F16" s="7">
        <f>'10-CWIP'!K307</f>
        <v>8995447.5481133591</v>
      </c>
      <c r="G16" s="47" t="str">
        <f>"10-CWIP, Lines "&amp;'10-CWIP'!A45&amp;", "&amp;'10-CWIP'!A46&amp;", "&amp;'10-CWIP'!A307&amp;""</f>
        <v>10-CWIP, Lines 27, 28, 235</v>
      </c>
    </row>
    <row r="17" spans="1:7" x14ac:dyDescent="0.2">
      <c r="A17" s="2">
        <f t="shared" si="0"/>
        <v>9</v>
      </c>
      <c r="C17" s="96" t="s">
        <v>1526</v>
      </c>
      <c r="D17" s="7">
        <f>'10-CWIP'!G45</f>
        <v>4824458.0572965704</v>
      </c>
      <c r="E17" s="7">
        <f>'10-CWIP'!G46</f>
        <v>2251791.4184488496</v>
      </c>
      <c r="F17" s="7">
        <f>'10-CWIP'!K335</f>
        <v>11519110.124098074</v>
      </c>
      <c r="G17" s="47" t="str">
        <f>"10-CWIP, Lines "&amp;'10-CWIP'!A45&amp;", "&amp;'10-CWIP'!A46&amp;", "&amp;'10-CWIP'!A335&amp;""</f>
        <v>10-CWIP, Lines 27, 28, 258</v>
      </c>
    </row>
    <row r="18" spans="1:7" x14ac:dyDescent="0.2">
      <c r="A18" s="2">
        <f t="shared" si="0"/>
        <v>10</v>
      </c>
      <c r="C18" s="476"/>
      <c r="D18" s="477" t="str">
        <f>'10-CWIP'!H44</f>
        <v>---</v>
      </c>
      <c r="E18" s="477" t="str">
        <f>'10-CWIP'!H46</f>
        <v>---</v>
      </c>
      <c r="F18" s="445">
        <f>'10-CWIP'!K365</f>
        <v>0</v>
      </c>
      <c r="G18" s="47" t="str">
        <f>"10-CWIP, Lines "&amp;'10-CWIP'!A45&amp;", "&amp;'10-CWIP'!A46&amp;", "&amp;'10-CWIP'!A365&amp;""</f>
        <v>10-CWIP, Lines 27, 28, 281</v>
      </c>
    </row>
    <row r="19" spans="1:7" x14ac:dyDescent="0.2">
      <c r="A19" s="2">
        <f t="shared" si="0"/>
        <v>11</v>
      </c>
      <c r="C19" s="476"/>
      <c r="D19" s="477" t="str">
        <f>'10-CWIP'!I44</f>
        <v>---</v>
      </c>
      <c r="E19" s="477" t="str">
        <f>'10-CWIP'!I46</f>
        <v>---</v>
      </c>
      <c r="F19" s="60">
        <f>'10-CWIP'!K365</f>
        <v>0</v>
      </c>
      <c r="G19" s="47" t="str">
        <f>"10-CWIP, Lines "&amp;'10-CWIP'!A45&amp;", "&amp;'10-CWIP'!A46&amp;", 304"</f>
        <v>10-CWIP, Lines 27, 28, 304</v>
      </c>
    </row>
    <row r="20" spans="1:7" x14ac:dyDescent="0.2">
      <c r="A20" s="2">
        <f t="shared" si="0"/>
        <v>12</v>
      </c>
      <c r="C20" s="96" t="s">
        <v>225</v>
      </c>
      <c r="D20" s="7">
        <f>SUM(D9:D19)</f>
        <v>1277500411.2933509</v>
      </c>
      <c r="E20" s="7">
        <f>SUM(E9:E19)</f>
        <v>899913283.18693578</v>
      </c>
      <c r="F20" s="7">
        <f>SUM(F9:F19)</f>
        <v>374298446.48527646</v>
      </c>
      <c r="G20" s="13" t="str">
        <f>"Sum of Lines "&amp;A9&amp;" to "&amp;A19&amp;""</f>
        <v>Sum of Lines 1 to 11</v>
      </c>
    </row>
    <row r="21" spans="1:7" x14ac:dyDescent="0.2">
      <c r="A21" s="2"/>
      <c r="C21" s="1"/>
    </row>
    <row r="22" spans="1:7" ht="15" x14ac:dyDescent="0.25">
      <c r="A22" s="2"/>
      <c r="C22" s="1" t="s">
        <v>1517</v>
      </c>
      <c r="D22" s="251" t="s">
        <v>339</v>
      </c>
      <c r="E22" s="251" t="s">
        <v>264</v>
      </c>
      <c r="F22" s="13"/>
    </row>
    <row r="23" spans="1:7" x14ac:dyDescent="0.2">
      <c r="D23" s="3" t="s">
        <v>203</v>
      </c>
      <c r="E23" s="3" t="s">
        <v>203</v>
      </c>
      <c r="F23" s="3" t="s">
        <v>207</v>
      </c>
    </row>
    <row r="24" spans="1:7" x14ac:dyDescent="0.2">
      <c r="A24" s="115">
        <f>A20+1</f>
        <v>13</v>
      </c>
      <c r="B24" s="14"/>
      <c r="C24" s="381" t="s">
        <v>1705</v>
      </c>
      <c r="D24" s="65">
        <f>D20</f>
        <v>1277500411.2933509</v>
      </c>
      <c r="E24" s="65">
        <f>E20</f>
        <v>899913283.18693578</v>
      </c>
      <c r="F24" s="118" t="str">
        <f>"Line "&amp;A20&amp;""</f>
        <v>Line 12</v>
      </c>
      <c r="G24" s="14"/>
    </row>
    <row r="25" spans="1:7" x14ac:dyDescent="0.2">
      <c r="A25" s="115">
        <f>A24+1</f>
        <v>14</v>
      </c>
      <c r="B25" s="14"/>
      <c r="C25" s="381" t="s">
        <v>1506</v>
      </c>
      <c r="D25" s="69">
        <f>'1-BaseTRR'!K91</f>
        <v>7.6582922987882468E-2</v>
      </c>
      <c r="E25" s="69">
        <f>'1-BaseTRR'!K91</f>
        <v>7.6582922987882468E-2</v>
      </c>
      <c r="F25" s="118" t="str">
        <f>"1-BaseTRR, Line "&amp;'1-BaseTRR'!A91&amp;""</f>
        <v>1-BaseTRR, Line 53</v>
      </c>
      <c r="G25" s="14"/>
    </row>
    <row r="26" spans="1:7" x14ac:dyDescent="0.2">
      <c r="A26" s="115">
        <f>A25+1</f>
        <v>15</v>
      </c>
      <c r="B26" s="14"/>
      <c r="C26" s="81" t="s">
        <v>1706</v>
      </c>
      <c r="D26" s="65">
        <f>D24*D25</f>
        <v>97834715.615066871</v>
      </c>
      <c r="E26" s="65">
        <f>E24*E25</f>
        <v>68917989.662077576</v>
      </c>
      <c r="F26" s="118" t="str">
        <f>"Line "&amp;A24&amp;" * Line "&amp;A25&amp;""</f>
        <v>Line 13 * Line 14</v>
      </c>
      <c r="G26" s="14"/>
    </row>
    <row r="27" spans="1:7" x14ac:dyDescent="0.2">
      <c r="A27" s="14"/>
      <c r="B27" s="14"/>
      <c r="C27" s="14"/>
      <c r="D27" s="14"/>
      <c r="E27" s="14"/>
      <c r="F27" s="14"/>
      <c r="G27" s="14"/>
    </row>
    <row r="28" spans="1:7" x14ac:dyDescent="0.2">
      <c r="A28" s="14"/>
      <c r="B28" s="14"/>
      <c r="C28" s="45" t="s">
        <v>97</v>
      </c>
      <c r="D28" s="14"/>
      <c r="E28" s="14"/>
      <c r="F28" s="14"/>
      <c r="G28" s="14"/>
    </row>
    <row r="29" spans="1:7" ht="15" x14ac:dyDescent="0.25">
      <c r="A29" s="14"/>
      <c r="B29" s="14"/>
      <c r="C29" s="14"/>
      <c r="D29" s="1124" t="s">
        <v>339</v>
      </c>
      <c r="E29" s="1124" t="s">
        <v>264</v>
      </c>
      <c r="F29" s="14"/>
      <c r="G29" s="14"/>
    </row>
    <row r="30" spans="1:7" x14ac:dyDescent="0.2">
      <c r="A30" s="14"/>
      <c r="B30" s="14"/>
      <c r="C30" s="14"/>
      <c r="D30" s="129" t="s">
        <v>203</v>
      </c>
      <c r="E30" s="129" t="s">
        <v>203</v>
      </c>
      <c r="F30" s="129" t="s">
        <v>207</v>
      </c>
      <c r="G30" s="14"/>
    </row>
    <row r="31" spans="1:7" ht="15" x14ac:dyDescent="0.25">
      <c r="A31" s="1124">
        <f>A26+1</f>
        <v>16</v>
      </c>
      <c r="B31" s="14"/>
      <c r="C31" s="381" t="s">
        <v>1705</v>
      </c>
      <c r="D31" s="65">
        <f>D20</f>
        <v>1277500411.2933509</v>
      </c>
      <c r="E31" s="65">
        <f>E20</f>
        <v>899913283.18693578</v>
      </c>
      <c r="F31" s="118" t="str">
        <f>"Line "&amp;A20&amp;""</f>
        <v>Line 12</v>
      </c>
      <c r="G31" s="14"/>
    </row>
    <row r="32" spans="1:7" x14ac:dyDescent="0.2">
      <c r="A32" s="115">
        <f t="shared" ref="A32:A38" si="1">A31+1</f>
        <v>17</v>
      </c>
      <c r="B32" s="14"/>
      <c r="C32" s="381" t="s">
        <v>1707</v>
      </c>
      <c r="D32" s="69">
        <f>'1-BaseTRR'!K93</f>
        <v>5.1357846808345091E-2</v>
      </c>
      <c r="E32" s="69">
        <f>'1-BaseTRR'!K93</f>
        <v>5.1357846808345091E-2</v>
      </c>
      <c r="F32" s="118" t="str">
        <f>"1-BaseTRR, Line "&amp;'1-BaseTRR'!A93&amp;""</f>
        <v>1-BaseTRR, Line 54</v>
      </c>
      <c r="G32" s="14"/>
    </row>
    <row r="33" spans="1:7" x14ac:dyDescent="0.2">
      <c r="A33" s="115">
        <f t="shared" si="1"/>
        <v>18</v>
      </c>
      <c r="B33" s="14"/>
      <c r="C33" s="381" t="s">
        <v>1154</v>
      </c>
      <c r="D33" s="69">
        <f>'1-BaseTRR'!K102</f>
        <v>0.40886310376909896</v>
      </c>
      <c r="E33" s="69">
        <f>'1-BaseTRR'!K102</f>
        <v>0.40886310376909896</v>
      </c>
      <c r="F33" s="118" t="str">
        <f>"1-BaseTRR, Line "&amp;'1-BaseTRR'!A102&amp;""</f>
        <v>1-BaseTRR, Line 58</v>
      </c>
      <c r="G33" s="14"/>
    </row>
    <row r="34" spans="1:7" x14ac:dyDescent="0.2">
      <c r="A34" s="115">
        <f t="shared" si="1"/>
        <v>19</v>
      </c>
      <c r="B34" s="14"/>
      <c r="C34" s="381" t="s">
        <v>297</v>
      </c>
      <c r="D34" s="65">
        <f>((D24*D32)*(D33/(1-D33)))</f>
        <v>45379291.423958972</v>
      </c>
      <c r="E34" s="65">
        <f>((E24*E32)*(E33/(1-E33)))</f>
        <v>31966664.568575412</v>
      </c>
      <c r="F34" s="625" t="str">
        <f>"Formula on Line "&amp;A36&amp;""</f>
        <v>Formula on Line 21</v>
      </c>
      <c r="G34" s="14"/>
    </row>
    <row r="35" spans="1:7" x14ac:dyDescent="0.2">
      <c r="A35" s="115">
        <f t="shared" si="1"/>
        <v>20</v>
      </c>
      <c r="B35" s="14"/>
      <c r="C35" s="14"/>
      <c r="D35" s="14"/>
      <c r="E35" s="14"/>
      <c r="F35" s="14"/>
      <c r="G35" s="14"/>
    </row>
    <row r="36" spans="1:7" x14ac:dyDescent="0.2">
      <c r="A36" s="115">
        <f t="shared" si="1"/>
        <v>21</v>
      </c>
      <c r="B36" s="14"/>
      <c r="C36" s="47" t="str">
        <f>"Income Taxes = [(RB * ER) * (CTR/(1 – CTR)], or [(L"&amp;A24&amp;" * L"&amp;A32&amp;") * (L"&amp;A33&amp;" / (1 - L"&amp;A33&amp;")]"</f>
        <v>Income Taxes = [(RB * ER) * (CTR/(1 – CTR)], or [(L13 * L17) * (L18 / (1 - L18)]</v>
      </c>
      <c r="D36" s="14"/>
      <c r="E36" s="65"/>
      <c r="F36" s="15"/>
      <c r="G36" s="14"/>
    </row>
    <row r="37" spans="1:7" x14ac:dyDescent="0.2">
      <c r="A37" s="115">
        <f t="shared" si="1"/>
        <v>22</v>
      </c>
      <c r="B37" s="14"/>
      <c r="C37" s="625" t="s">
        <v>2319</v>
      </c>
      <c r="D37" s="14"/>
      <c r="E37" s="65"/>
      <c r="F37" s="15"/>
      <c r="G37" s="14"/>
    </row>
    <row r="38" spans="1:7" x14ac:dyDescent="0.2">
      <c r="A38" s="2">
        <f t="shared" si="1"/>
        <v>23</v>
      </c>
      <c r="D38" s="13"/>
      <c r="E38" s="7"/>
      <c r="F38" s="12"/>
      <c r="G38" s="13"/>
    </row>
    <row r="39" spans="1:7" x14ac:dyDescent="0.2">
      <c r="C39" s="1" t="s">
        <v>1514</v>
      </c>
    </row>
    <row r="40" spans="1:7" x14ac:dyDescent="0.2">
      <c r="D40" s="3" t="s">
        <v>199</v>
      </c>
      <c r="E40" s="3" t="s">
        <v>207</v>
      </c>
    </row>
    <row r="41" spans="1:7" x14ac:dyDescent="0.2">
      <c r="A41" s="115">
        <f>A38+1</f>
        <v>24</v>
      </c>
      <c r="B41" s="14"/>
      <c r="C41" s="381" t="s">
        <v>555</v>
      </c>
      <c r="D41" s="65">
        <f>'15-IncentiveAdder'!G17</f>
        <v>8284.4088427792103</v>
      </c>
      <c r="E41" s="118" t="str">
        <f>"15-IncentiveAdder, Line "&amp;'15-IncentiveAdder'!A17&amp;""</f>
        <v>15-IncentiveAdder, Line 3</v>
      </c>
      <c r="F41" s="14"/>
      <c r="G41" s="14"/>
    </row>
    <row r="42" spans="1:7" x14ac:dyDescent="0.2">
      <c r="A42" s="14"/>
      <c r="B42" s="14"/>
      <c r="C42" s="14"/>
      <c r="D42" s="14"/>
      <c r="E42" s="14"/>
      <c r="F42" s="14"/>
      <c r="G42" s="14"/>
    </row>
    <row r="43" spans="1:7" x14ac:dyDescent="0.2">
      <c r="A43" s="14"/>
      <c r="B43" s="14"/>
      <c r="C43" s="1125" t="s">
        <v>378</v>
      </c>
      <c r="D43" s="14"/>
      <c r="E43" s="14"/>
      <c r="F43" s="14"/>
      <c r="G43" s="14"/>
    </row>
    <row r="44" spans="1:7" ht="15" x14ac:dyDescent="0.25">
      <c r="A44" s="14"/>
      <c r="B44" s="14"/>
      <c r="C44" s="14"/>
      <c r="D44" s="1124" t="s">
        <v>339</v>
      </c>
      <c r="E44" s="1124" t="s">
        <v>264</v>
      </c>
      <c r="F44" s="14"/>
      <c r="G44" s="14"/>
    </row>
    <row r="45" spans="1:7" x14ac:dyDescent="0.2">
      <c r="A45" s="14"/>
      <c r="B45" s="14"/>
      <c r="C45" s="14"/>
      <c r="D45" s="129" t="s">
        <v>203</v>
      </c>
      <c r="E45" s="129" t="s">
        <v>203</v>
      </c>
      <c r="F45" s="14"/>
      <c r="G45" s="14"/>
    </row>
    <row r="46" spans="1:7" x14ac:dyDescent="0.2">
      <c r="A46" s="115">
        <f>A41+1</f>
        <v>25</v>
      </c>
      <c r="B46" s="14"/>
      <c r="C46" s="381" t="s">
        <v>1708</v>
      </c>
      <c r="D46" s="65">
        <f>D9</f>
        <v>1059868753.2391434</v>
      </c>
      <c r="E46" s="65">
        <f>E9</f>
        <v>797729307.10367155</v>
      </c>
      <c r="F46" s="118" t="str">
        <f>"Line "&amp;A9&amp;""</f>
        <v>Line 1</v>
      </c>
      <c r="G46" s="14"/>
    </row>
    <row r="47" spans="1:7" x14ac:dyDescent="0.2">
      <c r="A47" s="115">
        <f>A46+1</f>
        <v>26</v>
      </c>
      <c r="B47" s="14"/>
      <c r="C47" s="381" t="s">
        <v>1508</v>
      </c>
      <c r="D47" s="80">
        <f>'15-IncentiveAdder'!E26</f>
        <v>1.2500000000000001E-2</v>
      </c>
      <c r="E47" s="80">
        <f>'15-IncentiveAdder'!E26</f>
        <v>1.2500000000000001E-2</v>
      </c>
      <c r="F47" s="118" t="str">
        <f>"15-IncentiveAdder, Line "&amp;'15-IncentiveAdder'!A26&amp;""</f>
        <v>15-IncentiveAdder, Line 5</v>
      </c>
      <c r="G47" s="14"/>
    </row>
    <row r="48" spans="1:7" x14ac:dyDescent="0.2">
      <c r="A48" s="115">
        <f>A47+1</f>
        <v>27</v>
      </c>
      <c r="B48" s="14"/>
      <c r="C48" s="381" t="s">
        <v>1709</v>
      </c>
      <c r="D48" s="65">
        <f>(D46/1000000)*($D$41*(D47/0.01))</f>
        <v>10975482.589399669</v>
      </c>
      <c r="E48" s="65">
        <f>(E46/1000000)*($D$41*(E47/0.01))</f>
        <v>8260894.6573922355</v>
      </c>
      <c r="F48" s="625" t="str">
        <f>"Formula on Line "&amp;A57&amp;""</f>
        <v>Formula on Line 32</v>
      </c>
      <c r="G48" s="14"/>
    </row>
    <row r="49" spans="1:7" x14ac:dyDescent="0.2">
      <c r="A49" s="14"/>
      <c r="B49" s="14"/>
      <c r="C49" s="397"/>
      <c r="D49" s="14"/>
      <c r="E49" s="14"/>
      <c r="F49" s="14"/>
      <c r="G49" s="14"/>
    </row>
    <row r="50" spans="1:7" x14ac:dyDescent="0.2">
      <c r="A50" s="14"/>
      <c r="B50" s="14"/>
      <c r="C50" s="1125" t="s">
        <v>1515</v>
      </c>
      <c r="D50" s="14"/>
      <c r="E50" s="129"/>
      <c r="F50" s="129"/>
      <c r="G50" s="14"/>
    </row>
    <row r="51" spans="1:7" ht="15" x14ac:dyDescent="0.25">
      <c r="A51" s="14"/>
      <c r="B51" s="14"/>
      <c r="C51" s="14"/>
      <c r="D51" s="1124" t="s">
        <v>339</v>
      </c>
      <c r="E51" s="1124" t="s">
        <v>264</v>
      </c>
      <c r="F51" s="14"/>
      <c r="G51" s="14"/>
    </row>
    <row r="52" spans="1:7" x14ac:dyDescent="0.2">
      <c r="A52" s="14"/>
      <c r="B52" s="14"/>
      <c r="C52" s="14"/>
      <c r="D52" s="129" t="s">
        <v>203</v>
      </c>
      <c r="E52" s="129" t="s">
        <v>203</v>
      </c>
      <c r="F52" s="14"/>
      <c r="G52" s="14"/>
    </row>
    <row r="53" spans="1:7" x14ac:dyDescent="0.2">
      <c r="A53" s="115">
        <f>A48+1</f>
        <v>28</v>
      </c>
      <c r="B53" s="14"/>
      <c r="C53" s="1021" t="s">
        <v>1730</v>
      </c>
      <c r="D53" s="65">
        <f>D10</f>
        <v>151361046.07106277</v>
      </c>
      <c r="E53" s="65">
        <f>E10</f>
        <v>75044895.089562342</v>
      </c>
      <c r="F53" s="118" t="str">
        <f>"Line "&amp;A10&amp;""</f>
        <v>Line 2</v>
      </c>
      <c r="G53" s="14"/>
    </row>
    <row r="54" spans="1:7" x14ac:dyDescent="0.2">
      <c r="A54" s="115">
        <f>A53+1</f>
        <v>29</v>
      </c>
      <c r="B54" s="14"/>
      <c r="C54" s="381" t="s">
        <v>1508</v>
      </c>
      <c r="D54" s="80">
        <f>'15-IncentiveAdder'!E27</f>
        <v>0.01</v>
      </c>
      <c r="E54" s="80">
        <f>'15-IncentiveAdder'!E27</f>
        <v>0.01</v>
      </c>
      <c r="F54" s="118" t="str">
        <f>"15-IncentiveAdder, Line "&amp;'15-IncentiveAdder'!A27&amp;""</f>
        <v>15-IncentiveAdder, Line 6</v>
      </c>
      <c r="G54" s="14"/>
    </row>
    <row r="55" spans="1:7" x14ac:dyDescent="0.2">
      <c r="A55" s="115">
        <f>A54+1</f>
        <v>30</v>
      </c>
      <c r="B55" s="14"/>
      <c r="C55" s="381" t="s">
        <v>1709</v>
      </c>
      <c r="D55" s="65">
        <f>(D53/1000000)*($D$41*(D54/0.01))</f>
        <v>1253936.788523424</v>
      </c>
      <c r="E55" s="65">
        <f>(E53/1000000)*($D$41*(E54/0.01))</f>
        <v>621702.59248540842</v>
      </c>
      <c r="F55" s="625" t="str">
        <f>"Formula on Line "&amp;A57&amp;""</f>
        <v>Formula on Line 32</v>
      </c>
      <c r="G55" s="14"/>
    </row>
    <row r="56" spans="1:7" x14ac:dyDescent="0.2">
      <c r="A56" s="115">
        <f>A55+1</f>
        <v>31</v>
      </c>
      <c r="B56" s="14"/>
      <c r="C56" s="14"/>
      <c r="D56" s="114"/>
      <c r="E56" s="65"/>
      <c r="F56" s="47"/>
      <c r="G56" s="14"/>
    </row>
    <row r="57" spans="1:7" x14ac:dyDescent="0.2">
      <c r="A57" s="115">
        <f>A56+1</f>
        <v>32</v>
      </c>
      <c r="B57" s="14"/>
      <c r="C57" s="698" t="s">
        <v>2490</v>
      </c>
      <c r="D57" s="65"/>
      <c r="E57" s="47"/>
      <c r="F57" s="14"/>
      <c r="G57" s="14"/>
    </row>
    <row r="59" spans="1:7" x14ac:dyDescent="0.2">
      <c r="C59" s="1" t="s">
        <v>1947</v>
      </c>
    </row>
    <row r="60" spans="1:7" x14ac:dyDescent="0.2">
      <c r="C60" s="1"/>
    </row>
    <row r="61" spans="1:7" ht="15" x14ac:dyDescent="0.25">
      <c r="C61" s="1"/>
      <c r="E61" s="251" t="s">
        <v>316</v>
      </c>
    </row>
    <row r="62" spans="1:7" ht="15" x14ac:dyDescent="0.25">
      <c r="C62" s="1"/>
      <c r="D62" s="251" t="s">
        <v>1711</v>
      </c>
      <c r="E62" s="251" t="s">
        <v>1062</v>
      </c>
    </row>
    <row r="63" spans="1:7" x14ac:dyDescent="0.2">
      <c r="D63" s="3" t="s">
        <v>203</v>
      </c>
      <c r="E63" s="3" t="s">
        <v>203</v>
      </c>
      <c r="F63" s="3" t="s">
        <v>207</v>
      </c>
    </row>
    <row r="64" spans="1:7" x14ac:dyDescent="0.2">
      <c r="A64" s="2">
        <f>A57+1</f>
        <v>33</v>
      </c>
      <c r="C64" s="96" t="s">
        <v>1507</v>
      </c>
      <c r="D64" s="7">
        <f>D26</f>
        <v>97834715.615066871</v>
      </c>
      <c r="E64" s="7">
        <f>E26</f>
        <v>68917989.662077576</v>
      </c>
      <c r="F64" s="16" t="str">
        <f>"Line "&amp;A26&amp;""</f>
        <v>Line 15</v>
      </c>
    </row>
    <row r="65" spans="1:9" x14ac:dyDescent="0.2">
      <c r="A65" s="2">
        <f>A64+1</f>
        <v>34</v>
      </c>
      <c r="C65" s="96" t="s">
        <v>297</v>
      </c>
      <c r="D65" s="7">
        <f>D34</f>
        <v>45379291.423958972</v>
      </c>
      <c r="E65" s="7">
        <f>E34</f>
        <v>31966664.568575412</v>
      </c>
      <c r="F65" s="16" t="str">
        <f>"Line "&amp;A34&amp;""</f>
        <v>Line 19</v>
      </c>
    </row>
    <row r="66" spans="1:9" x14ac:dyDescent="0.2">
      <c r="A66" s="2">
        <f>A65+1</f>
        <v>35</v>
      </c>
      <c r="C66" s="96" t="s">
        <v>1509</v>
      </c>
      <c r="D66" s="7">
        <f>D48</f>
        <v>10975482.589399669</v>
      </c>
      <c r="E66" s="7">
        <f>E48</f>
        <v>8260894.6573922355</v>
      </c>
      <c r="F66" s="16" t="str">
        <f>"Line "&amp;A48&amp;""</f>
        <v>Line 27</v>
      </c>
    </row>
    <row r="67" spans="1:9" ht="15" x14ac:dyDescent="0.25">
      <c r="A67" s="2">
        <f>A66+1</f>
        <v>36</v>
      </c>
      <c r="C67" s="96" t="s">
        <v>1510</v>
      </c>
      <c r="D67" s="105">
        <f>D55</f>
        <v>1253936.788523424</v>
      </c>
      <c r="E67" s="619">
        <f>E55</f>
        <v>621702.59248540842</v>
      </c>
      <c r="F67" s="16" t="str">
        <f>"Line "&amp;A55&amp;""</f>
        <v>Line 30</v>
      </c>
    </row>
    <row r="68" spans="1:9" x14ac:dyDescent="0.2">
      <c r="A68" s="617">
        <f t="shared" ref="A68:A69" si="2">A67+1</f>
        <v>37</v>
      </c>
      <c r="C68" s="96" t="s">
        <v>1762</v>
      </c>
      <c r="D68" s="93">
        <f>SUM(D64:D67)*('28-FFU'!D22+'28-FFU'!E22)</f>
        <v>1794532.1806131089</v>
      </c>
      <c r="E68" s="93">
        <f>SUM(E64:E67)*('28-FFU'!D22)</f>
        <v>1003140.9578302734</v>
      </c>
      <c r="F68" s="13" t="s">
        <v>404</v>
      </c>
    </row>
    <row r="69" spans="1:9" x14ac:dyDescent="0.2">
      <c r="A69" s="617">
        <f t="shared" si="2"/>
        <v>38</v>
      </c>
      <c r="C69" s="96" t="s">
        <v>4</v>
      </c>
      <c r="D69" s="7">
        <f>SUM(D64:D68)</f>
        <v>157237958.59756204</v>
      </c>
      <c r="E69" s="7">
        <f>SUM(E64:E68)</f>
        <v>110770392.43836091</v>
      </c>
      <c r="F69" s="13" t="str">
        <f>"Sum Lines "&amp;A64&amp;" to "&amp;A68&amp;""</f>
        <v>Sum Lines 33 to 37</v>
      </c>
    </row>
    <row r="70" spans="1:9" x14ac:dyDescent="0.2">
      <c r="A70" s="2"/>
      <c r="D70" s="96"/>
      <c r="E70" s="7"/>
      <c r="F70" s="13"/>
    </row>
    <row r="71" spans="1:9" ht="12.75" customHeight="1" x14ac:dyDescent="0.25">
      <c r="A71" s="2"/>
      <c r="C71" s="388" t="s">
        <v>1948</v>
      </c>
      <c r="D71" s="96"/>
      <c r="E71" s="7"/>
      <c r="F71" s="13"/>
    </row>
    <row r="72" spans="1:9" x14ac:dyDescent="0.2">
      <c r="A72" s="2"/>
      <c r="D72" s="96"/>
      <c r="E72" s="7"/>
      <c r="F72" s="13"/>
    </row>
    <row r="73" spans="1:9" ht="12.75" customHeight="1" x14ac:dyDescent="0.25">
      <c r="A73" s="2"/>
      <c r="C73" s="388" t="s">
        <v>1712</v>
      </c>
      <c r="D73" s="96"/>
      <c r="E73" s="7"/>
      <c r="F73" s="13"/>
    </row>
    <row r="74" spans="1:9" ht="15" x14ac:dyDescent="0.25">
      <c r="A74" s="2"/>
      <c r="C74" s="388"/>
      <c r="D74" s="86" t="s">
        <v>403</v>
      </c>
      <c r="E74" s="86" t="s">
        <v>387</v>
      </c>
      <c r="F74" s="86" t="s">
        <v>388</v>
      </c>
      <c r="G74" s="86" t="s">
        <v>389</v>
      </c>
      <c r="H74" s="86" t="s">
        <v>390</v>
      </c>
    </row>
    <row r="75" spans="1:9" ht="15" x14ac:dyDescent="0.25">
      <c r="A75" s="2"/>
      <c r="C75" s="388"/>
      <c r="D75" s="2" t="s">
        <v>1713</v>
      </c>
      <c r="E75" s="603" t="s">
        <v>1714</v>
      </c>
      <c r="F75" s="2"/>
      <c r="H75" s="98" t="s">
        <v>1771</v>
      </c>
    </row>
    <row r="76" spans="1:9" ht="15" x14ac:dyDescent="0.25">
      <c r="A76" s="2"/>
      <c r="C76" s="3" t="s">
        <v>259</v>
      </c>
      <c r="D76" s="3" t="s">
        <v>1715</v>
      </c>
      <c r="E76" s="465" t="s">
        <v>1716</v>
      </c>
      <c r="F76" s="3" t="s">
        <v>9</v>
      </c>
      <c r="G76" s="3" t="s">
        <v>1720</v>
      </c>
      <c r="H76" s="3" t="s">
        <v>224</v>
      </c>
      <c r="I76" s="3" t="s">
        <v>207</v>
      </c>
    </row>
    <row r="77" spans="1:9" x14ac:dyDescent="0.2">
      <c r="A77" s="2">
        <f>A69+1</f>
        <v>39</v>
      </c>
      <c r="C77" s="96" t="s">
        <v>1518</v>
      </c>
      <c r="D77" s="604">
        <f t="shared" ref="D77:D85" si="3">$D$26*(D9/$D$20)</f>
        <v>81167847.106576324</v>
      </c>
      <c r="E77" s="604">
        <f t="shared" ref="E77:E85" si="4">$D$34*(D9/$D$20)</f>
        <v>37648592.986122251</v>
      </c>
      <c r="F77" s="604">
        <f>D48</f>
        <v>10975482.589399669</v>
      </c>
      <c r="G77" s="7">
        <f>(D77+E77+F77)*('28-FFU'!$D$22+'28-FFU'!$E$22)</f>
        <v>1498395.8305957513</v>
      </c>
      <c r="H77" s="148">
        <f>SUM(D77:G77)</f>
        <v>131290318.51269399</v>
      </c>
      <c r="I77" s="13" t="s">
        <v>405</v>
      </c>
    </row>
    <row r="78" spans="1:9" x14ac:dyDescent="0.2">
      <c r="A78" s="2">
        <f t="shared" ref="A78:A88" si="5">A77+1</f>
        <v>40</v>
      </c>
      <c r="C78" s="96" t="s">
        <v>1519</v>
      </c>
      <c r="D78" s="604">
        <f t="shared" si="3"/>
        <v>11591671.334625531</v>
      </c>
      <c r="E78" s="604">
        <f t="shared" si="4"/>
        <v>5376637.8148874007</v>
      </c>
      <c r="F78" s="604">
        <f>D55</f>
        <v>1253936.788523424</v>
      </c>
      <c r="G78" s="7">
        <f>(D78+E78+F78)*('28-FFU'!$D$22+'28-FFU'!$E$22)</f>
        <v>210368.54045625453</v>
      </c>
      <c r="H78" s="148">
        <f t="shared" ref="H78:H85" si="6">SUM(D78:G78)</f>
        <v>18432614.47849261</v>
      </c>
      <c r="I78" s="13" t="s">
        <v>405</v>
      </c>
    </row>
    <row r="79" spans="1:9" x14ac:dyDescent="0.2">
      <c r="A79" s="2">
        <f t="shared" si="5"/>
        <v>41</v>
      </c>
      <c r="C79" s="96" t="s">
        <v>1520</v>
      </c>
      <c r="D79" s="604">
        <f t="shared" si="3"/>
        <v>2362095.495741385</v>
      </c>
      <c r="E79" s="604">
        <f t="shared" si="4"/>
        <v>1095625.6089526722</v>
      </c>
      <c r="F79" s="604">
        <v>0</v>
      </c>
      <c r="G79" s="7">
        <f>(D79+E79+F79)*('28-FFU'!$D$22+'28-FFU'!$E$22)</f>
        <v>39918.007065251011</v>
      </c>
      <c r="H79" s="148">
        <f t="shared" si="6"/>
        <v>3497639.1117593083</v>
      </c>
      <c r="I79" s="13" t="s">
        <v>405</v>
      </c>
    </row>
    <row r="80" spans="1:9" x14ac:dyDescent="0.2">
      <c r="A80" s="2">
        <f t="shared" si="5"/>
        <v>42</v>
      </c>
      <c r="C80" s="96" t="s">
        <v>1521</v>
      </c>
      <c r="D80" s="604">
        <f t="shared" si="3"/>
        <v>-5612.6048990137961</v>
      </c>
      <c r="E80" s="604">
        <f t="shared" si="4"/>
        <v>-2603.3298278496022</v>
      </c>
      <c r="F80" s="604">
        <v>0</v>
      </c>
      <c r="G80" s="7">
        <f>(D80+E80+F80)*('28-FFU'!$D$22+'28-FFU'!$E$22)</f>
        <v>-94.849680047747185</v>
      </c>
      <c r="H80" s="148">
        <f t="shared" si="6"/>
        <v>-8310.7844069111452</v>
      </c>
      <c r="I80" s="13" t="s">
        <v>405</v>
      </c>
    </row>
    <row r="81" spans="1:9" x14ac:dyDescent="0.2">
      <c r="A81" s="2">
        <f t="shared" si="5"/>
        <v>43</v>
      </c>
      <c r="C81" s="96" t="s">
        <v>1522</v>
      </c>
      <c r="D81" s="604">
        <f t="shared" si="3"/>
        <v>1124099.7206612101</v>
      </c>
      <c r="E81" s="604">
        <f t="shared" si="4"/>
        <v>521398.24287095992</v>
      </c>
      <c r="F81" s="604">
        <v>0</v>
      </c>
      <c r="G81" s="7">
        <f>(D81+E81+F81)*('28-FFU'!$D$22+'28-FFU'!$E$22)</f>
        <v>18996.61578979349</v>
      </c>
      <c r="H81" s="148">
        <f t="shared" si="6"/>
        <v>1664494.5793219635</v>
      </c>
      <c r="I81" s="13" t="s">
        <v>405</v>
      </c>
    </row>
    <row r="82" spans="1:9" x14ac:dyDescent="0.2">
      <c r="A82" s="2">
        <f t="shared" si="5"/>
        <v>44</v>
      </c>
      <c r="C82" s="96" t="s">
        <v>1523</v>
      </c>
      <c r="D82" s="604">
        <f t="shared" si="3"/>
        <v>221570.64413562746</v>
      </c>
      <c r="E82" s="604">
        <f t="shared" si="4"/>
        <v>102772.50532199108</v>
      </c>
      <c r="F82" s="604">
        <v>0</v>
      </c>
      <c r="G82" s="7">
        <f>(D82+E82+F82)*('28-FFU'!$D$22+'28-FFU'!$E$22)</f>
        <v>3744.4119232284229</v>
      </c>
      <c r="H82" s="148">
        <f t="shared" si="6"/>
        <v>328087.56138084695</v>
      </c>
      <c r="I82" s="13" t="s">
        <v>405</v>
      </c>
    </row>
    <row r="83" spans="1:9" x14ac:dyDescent="0.2">
      <c r="A83" s="2">
        <f t="shared" si="5"/>
        <v>45</v>
      </c>
      <c r="C83" s="96" t="s">
        <v>1524</v>
      </c>
      <c r="D83" s="604">
        <f t="shared" si="3"/>
        <v>839346.8360187161</v>
      </c>
      <c r="E83" s="604">
        <f t="shared" si="4"/>
        <v>389319.5215830463</v>
      </c>
      <c r="F83" s="604">
        <v>0</v>
      </c>
      <c r="G83" s="7">
        <f>(D83+E83+F83)*('28-FFU'!$D$22+'28-FFU'!$E$22)</f>
        <v>14184.461631969305</v>
      </c>
      <c r="H83" s="148">
        <f t="shared" si="6"/>
        <v>1242850.8192337316</v>
      </c>
      <c r="I83" s="13" t="s">
        <v>405</v>
      </c>
    </row>
    <row r="84" spans="1:9" x14ac:dyDescent="0.2">
      <c r="A84" s="2">
        <f t="shared" si="5"/>
        <v>46</v>
      </c>
      <c r="C84" s="96" t="s">
        <v>1525</v>
      </c>
      <c r="D84" s="604">
        <f t="shared" si="3"/>
        <v>164225.9823468441</v>
      </c>
      <c r="E84" s="604">
        <f t="shared" si="4"/>
        <v>76173.970205272184</v>
      </c>
      <c r="F84" s="604">
        <v>0</v>
      </c>
      <c r="G84" s="7">
        <f>(D84+E84+F84)*('28-FFU'!$D$22+'28-FFU'!$E$22)</f>
        <v>2775.3212922331618</v>
      </c>
      <c r="H84" s="148">
        <f t="shared" si="6"/>
        <v>243175.27384434946</v>
      </c>
      <c r="I84" s="13" t="s">
        <v>405</v>
      </c>
    </row>
    <row r="85" spans="1:9" x14ac:dyDescent="0.2">
      <c r="A85" s="2">
        <f t="shared" si="5"/>
        <v>47</v>
      </c>
      <c r="C85" s="96" t="s">
        <v>1526</v>
      </c>
      <c r="D85" s="604">
        <f t="shared" si="3"/>
        <v>369471.0998602123</v>
      </c>
      <c r="E85" s="604">
        <f t="shared" si="4"/>
        <v>171374.10384320829</v>
      </c>
      <c r="F85" s="604">
        <v>0</v>
      </c>
      <c r="G85" s="7">
        <f>(D85+E85+F85)*('28-FFU'!$D$22+'28-FFU'!$E$22)</f>
        <v>6243.8415386745091</v>
      </c>
      <c r="H85" s="148">
        <f t="shared" si="6"/>
        <v>547089.04524209513</v>
      </c>
      <c r="I85" s="13" t="s">
        <v>405</v>
      </c>
    </row>
    <row r="86" spans="1:9" x14ac:dyDescent="0.2">
      <c r="A86" s="2">
        <f t="shared" si="5"/>
        <v>48</v>
      </c>
      <c r="C86" s="476"/>
      <c r="D86" s="198" t="s">
        <v>86</v>
      </c>
      <c r="E86" s="198" t="s">
        <v>86</v>
      </c>
      <c r="F86" s="198" t="s">
        <v>86</v>
      </c>
      <c r="G86" s="198" t="s">
        <v>86</v>
      </c>
      <c r="H86" s="198" t="s">
        <v>86</v>
      </c>
      <c r="I86" s="13" t="s">
        <v>405</v>
      </c>
    </row>
    <row r="87" spans="1:9" x14ac:dyDescent="0.2">
      <c r="A87" s="2">
        <f t="shared" si="5"/>
        <v>49</v>
      </c>
      <c r="C87" s="476"/>
      <c r="D87" s="198" t="s">
        <v>86</v>
      </c>
      <c r="E87" s="198" t="s">
        <v>86</v>
      </c>
      <c r="F87" s="198" t="s">
        <v>86</v>
      </c>
      <c r="G87" s="198" t="s">
        <v>86</v>
      </c>
      <c r="H87" s="198" t="s">
        <v>86</v>
      </c>
      <c r="I87" s="13" t="s">
        <v>405</v>
      </c>
    </row>
    <row r="88" spans="1:9" x14ac:dyDescent="0.2">
      <c r="A88" s="2">
        <f t="shared" si="5"/>
        <v>50</v>
      </c>
      <c r="C88" s="96" t="s">
        <v>225</v>
      </c>
      <c r="D88" s="61">
        <f>SUM(D77:D87)</f>
        <v>97834715.615066811</v>
      </c>
      <c r="E88" s="61">
        <f>SUM(E77:E87)</f>
        <v>45379291.423958942</v>
      </c>
      <c r="F88" s="61">
        <f>SUM(F77:F87)</f>
        <v>12229419.377923094</v>
      </c>
      <c r="G88" s="61">
        <f>SUM(G77:G87)</f>
        <v>1794532.180613108</v>
      </c>
      <c r="H88" s="61">
        <f>SUM(H77:H87)</f>
        <v>157237958.59756199</v>
      </c>
      <c r="I88" s="13" t="str">
        <f>"Sum L "&amp;A77&amp;" to L "&amp;A87&amp;""</f>
        <v>Sum L 39 to L 49</v>
      </c>
    </row>
    <row r="89" spans="1:9" x14ac:dyDescent="0.2">
      <c r="A89" s="2"/>
      <c r="C89" s="96"/>
      <c r="D89" s="96"/>
      <c r="E89" s="7"/>
      <c r="F89" s="13"/>
    </row>
    <row r="90" spans="1:9" ht="15" x14ac:dyDescent="0.25">
      <c r="A90" s="2"/>
      <c r="C90" s="388" t="s">
        <v>1949</v>
      </c>
      <c r="D90" s="96"/>
      <c r="E90" s="7"/>
      <c r="F90" s="13"/>
    </row>
    <row r="91" spans="1:9" ht="15" x14ac:dyDescent="0.25">
      <c r="A91" s="2"/>
      <c r="C91" s="388"/>
      <c r="D91" s="86" t="s">
        <v>403</v>
      </c>
      <c r="E91" s="86" t="s">
        <v>387</v>
      </c>
      <c r="F91" s="86" t="s">
        <v>388</v>
      </c>
      <c r="G91" s="86" t="s">
        <v>389</v>
      </c>
      <c r="H91" s="86" t="s">
        <v>390</v>
      </c>
    </row>
    <row r="92" spans="1:9" ht="15" x14ac:dyDescent="0.25">
      <c r="A92" s="2"/>
      <c r="C92" s="388"/>
      <c r="D92" s="2" t="s">
        <v>1713</v>
      </c>
      <c r="E92" s="603" t="s">
        <v>1714</v>
      </c>
      <c r="F92" s="2"/>
      <c r="H92" s="98" t="s">
        <v>1771</v>
      </c>
    </row>
    <row r="93" spans="1:9" ht="15" x14ac:dyDescent="0.25">
      <c r="A93" s="2"/>
      <c r="C93" s="3" t="s">
        <v>259</v>
      </c>
      <c r="D93" s="3" t="s">
        <v>1715</v>
      </c>
      <c r="E93" s="465" t="s">
        <v>1716</v>
      </c>
      <c r="F93" s="3" t="s">
        <v>9</v>
      </c>
      <c r="G93" s="3" t="s">
        <v>1770</v>
      </c>
      <c r="H93" s="3" t="s">
        <v>224</v>
      </c>
      <c r="I93" s="3" t="s">
        <v>207</v>
      </c>
    </row>
    <row r="94" spans="1:9" x14ac:dyDescent="0.2">
      <c r="A94" s="2">
        <f>A88+1</f>
        <v>51</v>
      </c>
      <c r="C94" s="96" t="s">
        <v>1518</v>
      </c>
      <c r="D94" s="61">
        <f t="shared" ref="D94:D102" si="7">$E$26*(E9/$E$20)</f>
        <v>61092442.091097325</v>
      </c>
      <c r="E94" s="61">
        <f t="shared" ref="E94:E102" si="8">$E$34*(E9/$E$20)</f>
        <v>28336891.62404326</v>
      </c>
      <c r="F94" s="605">
        <f>E48</f>
        <v>8260894.6573922355</v>
      </c>
      <c r="G94" s="7">
        <f>(D94+E94+F94)*('28-FFU'!$D$22)</f>
        <v>892771.45905090298</v>
      </c>
      <c r="H94" s="445">
        <f>SUM(D94:G94)</f>
        <v>98582999.831583723</v>
      </c>
      <c r="I94" s="13" t="s">
        <v>1313</v>
      </c>
    </row>
    <row r="95" spans="1:9" x14ac:dyDescent="0.2">
      <c r="A95" s="2">
        <f t="shared" ref="A95:A105" si="9">A94+1</f>
        <v>52</v>
      </c>
      <c r="C95" s="96" t="s">
        <v>1519</v>
      </c>
      <c r="D95" s="61">
        <f t="shared" si="7"/>
        <v>5747157.4212776721</v>
      </c>
      <c r="E95" s="61">
        <f t="shared" si="8"/>
        <v>2665740.1704488997</v>
      </c>
      <c r="F95" s="605">
        <f>E55</f>
        <v>621702.59248540842</v>
      </c>
      <c r="G95" s="7">
        <f>(D95+E95+F95)*('28-FFU'!$D$22)</f>
        <v>82565.404163476458</v>
      </c>
      <c r="H95" s="445">
        <f t="shared" ref="H95:H102" si="10">SUM(D95:G95)</f>
        <v>9117165.5883754566</v>
      </c>
      <c r="I95" s="13" t="s">
        <v>1313</v>
      </c>
    </row>
    <row r="96" spans="1:9" x14ac:dyDescent="0.2">
      <c r="A96" s="2">
        <f t="shared" si="9"/>
        <v>53</v>
      </c>
      <c r="C96" s="96" t="s">
        <v>1520</v>
      </c>
      <c r="D96" s="61">
        <f t="shared" si="7"/>
        <v>1235330.8252126421</v>
      </c>
      <c r="E96" s="61">
        <f t="shared" si="8"/>
        <v>572991.2656248475</v>
      </c>
      <c r="F96" s="605">
        <v>0</v>
      </c>
      <c r="G96" s="7">
        <f>(D96+E96+F96)*('28-FFU'!$D$22)</f>
        <v>16525.893923745651</v>
      </c>
      <c r="H96" s="445">
        <f t="shared" si="10"/>
        <v>1824847.9847612353</v>
      </c>
      <c r="I96" s="13" t="s">
        <v>1313</v>
      </c>
    </row>
    <row r="97" spans="1:9" x14ac:dyDescent="0.2">
      <c r="A97" s="2">
        <f t="shared" si="9"/>
        <v>54</v>
      </c>
      <c r="C97" s="96" t="s">
        <v>1521</v>
      </c>
      <c r="D97" s="61">
        <f t="shared" si="7"/>
        <v>-4980.2938222765733</v>
      </c>
      <c r="E97" s="61">
        <f t="shared" si="8"/>
        <v>-2310.0410045371054</v>
      </c>
      <c r="F97" s="605">
        <v>0</v>
      </c>
      <c r="G97" s="7">
        <f>(D97+E97+F97)*('28-FFU'!$D$22)</f>
        <v>-66.624911915284855</v>
      </c>
      <c r="H97" s="445">
        <f t="shared" si="10"/>
        <v>-7356.9597387289632</v>
      </c>
      <c r="I97" s="13" t="s">
        <v>1313</v>
      </c>
    </row>
    <row r="98" spans="1:9" x14ac:dyDescent="0.2">
      <c r="A98" s="2">
        <f t="shared" si="9"/>
        <v>55</v>
      </c>
      <c r="C98" s="96" t="s">
        <v>1522</v>
      </c>
      <c r="D98" s="61">
        <f t="shared" si="7"/>
        <v>345938.10004292376</v>
      </c>
      <c r="E98" s="61">
        <f t="shared" si="8"/>
        <v>160458.64453947367</v>
      </c>
      <c r="F98" s="605">
        <v>0</v>
      </c>
      <c r="G98" s="7">
        <f>(D98+E98+F98)*('28-FFU'!$D$22)</f>
        <v>4627.8585693896139</v>
      </c>
      <c r="H98" s="445">
        <f t="shared" si="10"/>
        <v>511024.60315178701</v>
      </c>
      <c r="I98" s="13" t="s">
        <v>1313</v>
      </c>
    </row>
    <row r="99" spans="1:9" x14ac:dyDescent="0.2">
      <c r="A99" s="2">
        <f t="shared" si="9"/>
        <v>56</v>
      </c>
      <c r="C99" s="96" t="s">
        <v>1523</v>
      </c>
      <c r="D99" s="61">
        <f t="shared" si="7"/>
        <v>51578.066852711148</v>
      </c>
      <c r="E99" s="61">
        <f t="shared" si="8"/>
        <v>23923.779121540785</v>
      </c>
      <c r="F99" s="605">
        <v>0</v>
      </c>
      <c r="G99" s="7">
        <f>(D99+E99+F99)*('28-FFU'!$D$22)</f>
        <v>689.99626998949361</v>
      </c>
      <c r="H99" s="445">
        <f t="shared" si="10"/>
        <v>76191.84224424143</v>
      </c>
      <c r="I99" s="13" t="s">
        <v>1313</v>
      </c>
    </row>
    <row r="100" spans="1:9" x14ac:dyDescent="0.2">
      <c r="A100" s="2">
        <f t="shared" si="9"/>
        <v>57</v>
      </c>
      <c r="C100" s="96" t="s">
        <v>1524</v>
      </c>
      <c r="D100" s="61">
        <f t="shared" si="7"/>
        <v>218960.97486196179</v>
      </c>
      <c r="E100" s="61">
        <f t="shared" si="8"/>
        <v>101562.04601063812</v>
      </c>
      <c r="F100" s="605">
        <v>0</v>
      </c>
      <c r="G100" s="7">
        <f>(D100+E100+F100)*('28-FFU'!$D$22)</f>
        <v>2929.1957831505165</v>
      </c>
      <c r="H100" s="445">
        <f t="shared" si="10"/>
        <v>323452.21665575041</v>
      </c>
      <c r="I100" s="13" t="s">
        <v>1313</v>
      </c>
    </row>
    <row r="101" spans="1:9" x14ac:dyDescent="0.2">
      <c r="A101" s="2">
        <f t="shared" si="9"/>
        <v>58</v>
      </c>
      <c r="C101" s="96" t="s">
        <v>1525</v>
      </c>
      <c r="D101" s="61">
        <f t="shared" si="7"/>
        <v>59113.707770780609</v>
      </c>
      <c r="E101" s="61">
        <f t="shared" si="8"/>
        <v>27419.082840037216</v>
      </c>
      <c r="F101" s="605">
        <v>0</v>
      </c>
      <c r="G101" s="7">
        <f>(D101+E101+F101)*('28-FFU'!$D$22)</f>
        <v>790.80586683414208</v>
      </c>
      <c r="H101" s="445">
        <f t="shared" si="10"/>
        <v>87323.596477651969</v>
      </c>
      <c r="I101" s="13" t="s">
        <v>1313</v>
      </c>
    </row>
    <row r="102" spans="1:9" x14ac:dyDescent="0.2">
      <c r="A102" s="2">
        <f t="shared" si="9"/>
        <v>59</v>
      </c>
      <c r="C102" s="96" t="s">
        <v>1526</v>
      </c>
      <c r="D102" s="61">
        <f t="shared" si="7"/>
        <v>172448.76878384291</v>
      </c>
      <c r="E102" s="61">
        <f t="shared" si="8"/>
        <v>79987.996951255569</v>
      </c>
      <c r="F102" s="605">
        <v>0</v>
      </c>
      <c r="G102" s="7">
        <f>(D102+E102+F102)*('28-FFU'!$D$22)</f>
        <v>2306.969114699918</v>
      </c>
      <c r="H102" s="445">
        <f t="shared" si="10"/>
        <v>254743.73484979841</v>
      </c>
      <c r="I102" s="13" t="s">
        <v>1313</v>
      </c>
    </row>
    <row r="103" spans="1:9" x14ac:dyDescent="0.2">
      <c r="A103" s="2">
        <f t="shared" si="9"/>
        <v>60</v>
      </c>
      <c r="C103" s="476"/>
      <c r="D103" s="198" t="s">
        <v>86</v>
      </c>
      <c r="E103" s="198" t="s">
        <v>86</v>
      </c>
      <c r="F103" s="198" t="s">
        <v>86</v>
      </c>
      <c r="G103" s="198" t="s">
        <v>86</v>
      </c>
      <c r="H103" s="198" t="s">
        <v>86</v>
      </c>
      <c r="I103" s="13" t="s">
        <v>1313</v>
      </c>
    </row>
    <row r="104" spans="1:9" x14ac:dyDescent="0.2">
      <c r="A104" s="2">
        <f t="shared" si="9"/>
        <v>61</v>
      </c>
      <c r="C104" s="476"/>
      <c r="D104" s="198" t="s">
        <v>86</v>
      </c>
      <c r="E104" s="198" t="s">
        <v>86</v>
      </c>
      <c r="F104" s="198" t="s">
        <v>86</v>
      </c>
      <c r="G104" s="198" t="s">
        <v>86</v>
      </c>
      <c r="H104" s="198" t="s">
        <v>86</v>
      </c>
      <c r="I104" s="13" t="s">
        <v>1313</v>
      </c>
    </row>
    <row r="105" spans="1:9" x14ac:dyDescent="0.2">
      <c r="A105" s="2">
        <f t="shared" si="9"/>
        <v>62</v>
      </c>
      <c r="C105" s="96" t="s">
        <v>225</v>
      </c>
      <c r="D105" s="7">
        <f>SUM(D94:D104)</f>
        <v>68917989.662077591</v>
      </c>
      <c r="E105" s="7">
        <f>SUM(E94:E104)</f>
        <v>31966664.568575416</v>
      </c>
      <c r="F105" s="7">
        <f>SUM(F94:F104)</f>
        <v>8882597.2498776447</v>
      </c>
      <c r="G105" s="61">
        <f>SUM(G94:G104)</f>
        <v>1003140.9578302733</v>
      </c>
      <c r="H105" s="7">
        <f>SUM(H94:H104)</f>
        <v>110770392.43836091</v>
      </c>
      <c r="I105" s="13" t="str">
        <f>"Sum of L "&amp;A94&amp;" to "&amp;A104&amp;""</f>
        <v>Sum of L 51 to 61</v>
      </c>
    </row>
    <row r="106" spans="1:9" x14ac:dyDescent="0.2">
      <c r="C106" s="96"/>
    </row>
    <row r="107" spans="1:9" x14ac:dyDescent="0.2">
      <c r="B107" s="1" t="s">
        <v>1516</v>
      </c>
    </row>
    <row r="108" spans="1:9" x14ac:dyDescent="0.2">
      <c r="B108" s="1"/>
    </row>
    <row r="109" spans="1:9" ht="15" x14ac:dyDescent="0.25">
      <c r="B109" s="1"/>
      <c r="C109" s="388" t="s">
        <v>1717</v>
      </c>
    </row>
    <row r="110" spans="1:9" x14ac:dyDescent="0.2">
      <c r="E110" s="3" t="s">
        <v>199</v>
      </c>
      <c r="F110" s="3" t="s">
        <v>207</v>
      </c>
    </row>
    <row r="111" spans="1:9" x14ac:dyDescent="0.2">
      <c r="A111" s="2">
        <f>A105+1</f>
        <v>63</v>
      </c>
      <c r="D111" s="96" t="s">
        <v>398</v>
      </c>
      <c r="E111" s="7">
        <f>F20</f>
        <v>374298446.48527646</v>
      </c>
      <c r="F111" s="16" t="str">
        <f>"Line "&amp;A20&amp;", Col 3"</f>
        <v>Line 12, Col 3</v>
      </c>
    </row>
    <row r="112" spans="1:9" x14ac:dyDescent="0.2">
      <c r="A112" s="2">
        <f>A111+1</f>
        <v>64</v>
      </c>
      <c r="D112" s="96" t="s">
        <v>396</v>
      </c>
      <c r="E112" s="401">
        <f>'2-IFPTRR'!D25</f>
        <v>0.11210486178555115</v>
      </c>
      <c r="F112" s="47" t="str">
        <f>"2-IFPTRR, Line "&amp;'2-IFPTRR'!A25&amp;""</f>
        <v>2-IFPTRR, Line 16</v>
      </c>
      <c r="G112" s="14"/>
      <c r="H112" s="14"/>
    </row>
    <row r="113" spans="1:8" x14ac:dyDescent="0.2">
      <c r="A113" s="2">
        <f>A112+1</f>
        <v>65</v>
      </c>
      <c r="D113" s="96" t="s">
        <v>1763</v>
      </c>
      <c r="E113" s="7">
        <f>E111*E112</f>
        <v>41960675.609778434</v>
      </c>
      <c r="F113" s="118" t="str">
        <f>"Line "&amp;A111&amp;" * Line "&amp;A112&amp;""</f>
        <v>Line 63 * Line 64</v>
      </c>
      <c r="G113" s="14"/>
      <c r="H113" s="14"/>
    </row>
    <row r="114" spans="1:8" x14ac:dyDescent="0.2">
      <c r="A114" s="617">
        <f>A113+1</f>
        <v>66</v>
      </c>
      <c r="D114" s="96" t="s">
        <v>1762</v>
      </c>
      <c r="E114" s="93">
        <f>E113*('28-FFU'!D22+'28-FFU'!E22)</f>
        <v>484419.21564464812</v>
      </c>
      <c r="F114" s="625" t="str">
        <f>"Line "&amp;A113&amp;" * (28-FFU, L"&amp;'28-FFU'!A22&amp;" FF Factor + U Factor)"</f>
        <v>Line 65 * (28-FFU, L5 FF Factor + U Factor)</v>
      </c>
      <c r="G114" s="14"/>
      <c r="H114" s="14"/>
    </row>
    <row r="115" spans="1:8" x14ac:dyDescent="0.2">
      <c r="A115" s="622">
        <f>A114+1</f>
        <v>67</v>
      </c>
      <c r="D115" s="96" t="s">
        <v>1764</v>
      </c>
      <c r="E115" s="7">
        <f>SUM(E113:E114)</f>
        <v>42445094.825423084</v>
      </c>
      <c r="F115" s="16" t="str">
        <f>"Line "&amp;A113&amp;" + Line "&amp;A114&amp;""</f>
        <v>Line 65 + Line 66</v>
      </c>
    </row>
    <row r="116" spans="1:8" x14ac:dyDescent="0.2">
      <c r="A116" s="617"/>
      <c r="D116" s="96"/>
      <c r="E116" s="7"/>
    </row>
    <row r="117" spans="1:8" ht="15" x14ac:dyDescent="0.25">
      <c r="A117" s="2"/>
      <c r="C117" s="388" t="s">
        <v>1718</v>
      </c>
      <c r="D117" s="96"/>
      <c r="E117" s="7"/>
      <c r="F117" s="16"/>
    </row>
    <row r="118" spans="1:8" x14ac:dyDescent="0.2">
      <c r="A118" s="2"/>
      <c r="D118" s="702" t="s">
        <v>203</v>
      </c>
      <c r="E118" s="702" t="s">
        <v>203</v>
      </c>
    </row>
    <row r="119" spans="1:8" x14ac:dyDescent="0.2">
      <c r="A119" s="2"/>
      <c r="C119" s="3" t="s">
        <v>259</v>
      </c>
      <c r="D119" s="3" t="s">
        <v>1915</v>
      </c>
      <c r="E119" s="3" t="s">
        <v>1916</v>
      </c>
      <c r="F119" s="3" t="s">
        <v>207</v>
      </c>
    </row>
    <row r="120" spans="1:8" x14ac:dyDescent="0.2">
      <c r="A120" s="2">
        <f>A115+1</f>
        <v>68</v>
      </c>
      <c r="C120" s="96" t="s">
        <v>1518</v>
      </c>
      <c r="D120" s="61">
        <f>$E$113*(F9/$F$20)</f>
        <v>-44514532.414822757</v>
      </c>
      <c r="E120" s="61">
        <f>$E$115*(F9/$F$20)</f>
        <v>-45028434.885738924</v>
      </c>
      <c r="F120" s="13" t="s">
        <v>1339</v>
      </c>
    </row>
    <row r="121" spans="1:8" x14ac:dyDescent="0.2">
      <c r="A121" s="2">
        <f t="shared" ref="A121:A131" si="11">A120+1</f>
        <v>69</v>
      </c>
      <c r="C121" s="96" t="s">
        <v>1519</v>
      </c>
      <c r="D121" s="61">
        <f t="shared" ref="D121:D128" si="12">$E$113*(F10/$F$20)</f>
        <v>50843240.355140783</v>
      </c>
      <c r="E121" s="61">
        <f t="shared" ref="E121:E128" si="13">$E$115*(F10/$F$20)</f>
        <v>51430205.227744743</v>
      </c>
      <c r="F121" s="13" t="s">
        <v>1339</v>
      </c>
    </row>
    <row r="122" spans="1:8" x14ac:dyDescent="0.2">
      <c r="A122" s="2">
        <f t="shared" si="11"/>
        <v>70</v>
      </c>
      <c r="C122" s="96" t="s">
        <v>1520</v>
      </c>
      <c r="D122" s="61">
        <f t="shared" si="12"/>
        <v>11718970.366657613</v>
      </c>
      <c r="E122" s="61">
        <f t="shared" si="13"/>
        <v>11854261.191952528</v>
      </c>
      <c r="F122" s="13" t="s">
        <v>1339</v>
      </c>
    </row>
    <row r="123" spans="1:8" x14ac:dyDescent="0.2">
      <c r="A123" s="2">
        <f t="shared" si="11"/>
        <v>71</v>
      </c>
      <c r="C123" s="96" t="s">
        <v>1521</v>
      </c>
      <c r="D123" s="61">
        <f t="shared" si="12"/>
        <v>0</v>
      </c>
      <c r="E123" s="61">
        <f t="shared" si="13"/>
        <v>0</v>
      </c>
      <c r="F123" s="13" t="s">
        <v>1339</v>
      </c>
    </row>
    <row r="124" spans="1:8" x14ac:dyDescent="0.2">
      <c r="A124" s="2">
        <f t="shared" si="11"/>
        <v>72</v>
      </c>
      <c r="C124" s="96" t="s">
        <v>1522</v>
      </c>
      <c r="D124" s="61">
        <f t="shared" si="12"/>
        <v>15134447.457757114</v>
      </c>
      <c r="E124" s="61">
        <f t="shared" si="13"/>
        <v>15309168.599877937</v>
      </c>
      <c r="F124" s="13" t="s">
        <v>1339</v>
      </c>
    </row>
    <row r="125" spans="1:8" x14ac:dyDescent="0.2">
      <c r="A125" s="2">
        <f t="shared" si="11"/>
        <v>73</v>
      </c>
      <c r="C125" s="96" t="s">
        <v>1523</v>
      </c>
      <c r="D125" s="61">
        <f t="shared" si="12"/>
        <v>693499.13958582981</v>
      </c>
      <c r="E125" s="61">
        <f t="shared" si="13"/>
        <v>701505.30975269235</v>
      </c>
      <c r="F125" s="13" t="s">
        <v>1339</v>
      </c>
    </row>
    <row r="126" spans="1:8" x14ac:dyDescent="0.2">
      <c r="A126" s="2">
        <f t="shared" si="11"/>
        <v>74</v>
      </c>
      <c r="C126" s="96" t="s">
        <v>1524</v>
      </c>
      <c r="D126" s="61">
        <f t="shared" si="12"/>
        <v>5785269.0530248834</v>
      </c>
      <c r="E126" s="61">
        <f t="shared" si="13"/>
        <v>5852057.6701344354</v>
      </c>
      <c r="F126" s="13" t="s">
        <v>1339</v>
      </c>
    </row>
    <row r="127" spans="1:8" x14ac:dyDescent="0.2">
      <c r="A127" s="2">
        <f t="shared" si="11"/>
        <v>75</v>
      </c>
      <c r="C127" s="96" t="s">
        <v>1525</v>
      </c>
      <c r="D127" s="61">
        <f t="shared" si="12"/>
        <v>1008433.4040804232</v>
      </c>
      <c r="E127" s="61">
        <f t="shared" si="13"/>
        <v>1020075.3643571701</v>
      </c>
      <c r="F127" s="13" t="s">
        <v>1339</v>
      </c>
    </row>
    <row r="128" spans="1:8" x14ac:dyDescent="0.2">
      <c r="A128" s="2">
        <f t="shared" si="11"/>
        <v>76</v>
      </c>
      <c r="C128" s="96" t="s">
        <v>1526</v>
      </c>
      <c r="D128" s="61">
        <f t="shared" si="12"/>
        <v>1291348.2483545577</v>
      </c>
      <c r="E128" s="61">
        <f t="shared" si="13"/>
        <v>1306256.3473425116</v>
      </c>
      <c r="F128" s="13" t="s">
        <v>1339</v>
      </c>
    </row>
    <row r="129" spans="1:8" x14ac:dyDescent="0.2">
      <c r="A129" s="2">
        <f t="shared" si="11"/>
        <v>77</v>
      </c>
      <c r="C129" s="476"/>
      <c r="D129" s="602" t="s">
        <v>86</v>
      </c>
      <c r="E129" s="602" t="s">
        <v>86</v>
      </c>
      <c r="F129" s="13" t="s">
        <v>1339</v>
      </c>
    </row>
    <row r="130" spans="1:8" x14ac:dyDescent="0.2">
      <c r="A130" s="2">
        <f t="shared" si="11"/>
        <v>78</v>
      </c>
      <c r="C130" s="476"/>
      <c r="D130" s="602" t="s">
        <v>86</v>
      </c>
      <c r="E130" s="602" t="s">
        <v>86</v>
      </c>
      <c r="F130" s="13" t="s">
        <v>1339</v>
      </c>
    </row>
    <row r="131" spans="1:8" x14ac:dyDescent="0.2">
      <c r="A131" s="2">
        <f t="shared" si="11"/>
        <v>79</v>
      </c>
      <c r="C131" s="96" t="s">
        <v>225</v>
      </c>
      <c r="D131" s="7">
        <f>SUM(D120:D130)</f>
        <v>41960675.609778441</v>
      </c>
      <c r="E131" s="7">
        <f>SUM(E120:E130)</f>
        <v>42445094.825423099</v>
      </c>
      <c r="F131" s="13" t="str">
        <f>"Sum of Lines "&amp;A120&amp;" to "&amp;A130&amp;""</f>
        <v>Sum of Lines 68 to 78</v>
      </c>
    </row>
    <row r="133" spans="1:8" x14ac:dyDescent="0.2">
      <c r="B133" s="1" t="s">
        <v>1921</v>
      </c>
    </row>
    <row r="134" spans="1:8" x14ac:dyDescent="0.2">
      <c r="B134" s="1"/>
    </row>
    <row r="135" spans="1:8" ht="15" x14ac:dyDescent="0.25">
      <c r="C135" s="388" t="s">
        <v>1717</v>
      </c>
    </row>
    <row r="136" spans="1:8" x14ac:dyDescent="0.2">
      <c r="E136" s="3" t="s">
        <v>199</v>
      </c>
      <c r="F136" s="3" t="s">
        <v>207</v>
      </c>
      <c r="H136" s="1"/>
    </row>
    <row r="137" spans="1:8" x14ac:dyDescent="0.2">
      <c r="A137" s="2">
        <f>A131+1</f>
        <v>80</v>
      </c>
      <c r="D137" s="96" t="s">
        <v>1527</v>
      </c>
      <c r="E137" s="7">
        <f>SUM(D64:D67)</f>
        <v>155443426.41694894</v>
      </c>
      <c r="F137" s="16" t="str">
        <f>"Sum Line "&amp;A64&amp;" to "&amp;A67&amp;""</f>
        <v>Sum Line 33 to 36</v>
      </c>
    </row>
    <row r="138" spans="1:8" x14ac:dyDescent="0.2">
      <c r="A138" s="2">
        <f t="shared" ref="A138:A145" si="14">A137+1</f>
        <v>81</v>
      </c>
      <c r="D138" s="624" t="s">
        <v>1913</v>
      </c>
      <c r="E138" s="7">
        <f>E113</f>
        <v>41960675.609778434</v>
      </c>
      <c r="F138" s="16" t="str">
        <f>"Line "&amp;A113&amp;""</f>
        <v>Line 65</v>
      </c>
    </row>
    <row r="139" spans="1:8" x14ac:dyDescent="0.2">
      <c r="A139" s="2">
        <f t="shared" si="14"/>
        <v>82</v>
      </c>
      <c r="D139" s="96" t="s">
        <v>1528</v>
      </c>
      <c r="E139" s="7">
        <f>SUM(E137:E138)</f>
        <v>197404102.02672738</v>
      </c>
      <c r="F139" s="16" t="str">
        <f>"Line "&amp;A137&amp;" + Line "&amp;A138&amp;""</f>
        <v>Line 80 + Line 81</v>
      </c>
    </row>
    <row r="140" spans="1:8" x14ac:dyDescent="0.2">
      <c r="A140" s="2">
        <f t="shared" si="14"/>
        <v>83</v>
      </c>
      <c r="D140" s="96" t="s">
        <v>1511</v>
      </c>
      <c r="E140" s="8">
        <f>'28-FFU'!D22</f>
        <v>9.1388000000000007E-3</v>
      </c>
      <c r="F140" s="47" t="str">
        <f>"28-FFU, Line "&amp;'28-FFU'!A22&amp;""</f>
        <v>28-FFU, Line 5</v>
      </c>
    </row>
    <row r="141" spans="1:8" x14ac:dyDescent="0.2">
      <c r="A141" s="2">
        <f t="shared" si="14"/>
        <v>84</v>
      </c>
      <c r="D141" s="96" t="s">
        <v>1512</v>
      </c>
      <c r="E141" s="8">
        <f>'28-FFU'!E22</f>
        <v>2.4058E-3</v>
      </c>
      <c r="F141" s="47" t="str">
        <f>"28-FFU, Line "&amp;'28-FFU'!A22&amp;""</f>
        <v>28-FFU, Line 5</v>
      </c>
    </row>
    <row r="142" spans="1:8" x14ac:dyDescent="0.2">
      <c r="A142" s="2">
        <f t="shared" si="14"/>
        <v>85</v>
      </c>
      <c r="D142" s="624" t="s">
        <v>1919</v>
      </c>
      <c r="E142" s="7">
        <f>E139*E140</f>
        <v>1804036.6076018563</v>
      </c>
      <c r="F142" s="16" t="str">
        <f>"Line "&amp;A139&amp;" * Line "&amp;A140&amp;""</f>
        <v>Line 82 * Line 83</v>
      </c>
    </row>
    <row r="143" spans="1:8" x14ac:dyDescent="0.2">
      <c r="A143" s="703">
        <f t="shared" si="14"/>
        <v>86</v>
      </c>
      <c r="D143" s="624" t="s">
        <v>1920</v>
      </c>
      <c r="E143" s="7">
        <f>E139*E141</f>
        <v>474914.78865590075</v>
      </c>
      <c r="F143" s="16" t="str">
        <f>"Line "&amp;A139&amp;" * Line "&amp;A141&amp;""</f>
        <v>Line 82 * Line 84</v>
      </c>
    </row>
    <row r="144" spans="1:8" x14ac:dyDescent="0.2">
      <c r="A144" s="703">
        <f t="shared" si="14"/>
        <v>87</v>
      </c>
      <c r="D144" s="96" t="s">
        <v>1529</v>
      </c>
      <c r="E144" s="7">
        <f>E139+E142+E143</f>
        <v>199683053.42298514</v>
      </c>
      <c r="F144" s="13" t="str">
        <f>"Line "&amp;A139&amp;" + Line "&amp;A142&amp;" + Line "&amp;A143&amp;""</f>
        <v>Line 82 + Line 85 + Line 86</v>
      </c>
    </row>
    <row r="145" spans="1:8" x14ac:dyDescent="0.2">
      <c r="A145" s="703">
        <f t="shared" si="14"/>
        <v>88</v>
      </c>
      <c r="D145" s="624" t="s">
        <v>1918</v>
      </c>
      <c r="E145" s="7">
        <f>E139+E142</f>
        <v>199208138.63432923</v>
      </c>
      <c r="F145" s="13" t="str">
        <f>"Line "&amp;A139&amp;" + Line "&amp;A142&amp;""</f>
        <v>Line 82 + Line 85</v>
      </c>
    </row>
    <row r="147" spans="1:8" ht="15" x14ac:dyDescent="0.25">
      <c r="C147" s="388" t="s">
        <v>1719</v>
      </c>
    </row>
    <row r="148" spans="1:8" ht="15" x14ac:dyDescent="0.25">
      <c r="C148" s="388"/>
      <c r="D148" s="86" t="s">
        <v>403</v>
      </c>
      <c r="E148" s="86" t="s">
        <v>387</v>
      </c>
      <c r="F148" s="86" t="s">
        <v>388</v>
      </c>
      <c r="G148" s="86" t="s">
        <v>389</v>
      </c>
    </row>
    <row r="149" spans="1:8" ht="12.75" customHeight="1" x14ac:dyDescent="0.25">
      <c r="D149" s="251" t="s">
        <v>1711</v>
      </c>
      <c r="E149" s="251" t="s">
        <v>1234</v>
      </c>
    </row>
    <row r="150" spans="1:8" ht="12.75" customHeight="1" x14ac:dyDescent="0.25">
      <c r="D150" s="3" t="s">
        <v>1915</v>
      </c>
      <c r="E150" s="3" t="s">
        <v>1915</v>
      </c>
      <c r="F150" s="3" t="s">
        <v>1720</v>
      </c>
      <c r="G150" s="253" t="s">
        <v>224</v>
      </c>
      <c r="H150" s="3" t="s">
        <v>207</v>
      </c>
    </row>
    <row r="151" spans="1:8" x14ac:dyDescent="0.2">
      <c r="A151" s="703">
        <f>A145+1</f>
        <v>89</v>
      </c>
      <c r="C151" s="96" t="s">
        <v>1518</v>
      </c>
      <c r="D151" s="7">
        <f t="shared" ref="D151:D159" si="15">D77+E77+F77</f>
        <v>129791922.68209824</v>
      </c>
      <c r="E151" s="7">
        <f t="shared" ref="E151:E159" si="16">D120</f>
        <v>-44514532.414822757</v>
      </c>
      <c r="F151" s="7">
        <f>(D151+E151)*('28-FFU'!$D$22+'28-FFU'!$E$22)</f>
        <v>984493.35967958858</v>
      </c>
      <c r="G151" s="7">
        <f>SUM(D151:F151)</f>
        <v>86261883.626955077</v>
      </c>
      <c r="H151" s="13" t="s">
        <v>1348</v>
      </c>
    </row>
    <row r="152" spans="1:8" x14ac:dyDescent="0.2">
      <c r="A152" s="703">
        <f t="shared" ref="A152:A162" si="17">A151+1</f>
        <v>90</v>
      </c>
      <c r="C152" s="96" t="s">
        <v>1519</v>
      </c>
      <c r="D152" s="7">
        <f t="shared" si="15"/>
        <v>18222245.938036356</v>
      </c>
      <c r="E152" s="7">
        <f t="shared" si="16"/>
        <v>50843240.355140783</v>
      </c>
      <c r="F152" s="7">
        <f>(D152+E152)*('28-FFU'!$D$22+'28-FFU'!$E$22)</f>
        <v>797333.41306021286</v>
      </c>
      <c r="G152" s="7">
        <f t="shared" ref="G152:G159" si="18">SUM(D152:F152)</f>
        <v>69862819.706237361</v>
      </c>
      <c r="H152" s="13" t="s">
        <v>1348</v>
      </c>
    </row>
    <row r="153" spans="1:8" x14ac:dyDescent="0.2">
      <c r="A153" s="703">
        <f t="shared" si="17"/>
        <v>91</v>
      </c>
      <c r="C153" s="96" t="s">
        <v>1520</v>
      </c>
      <c r="D153" s="7">
        <f t="shared" si="15"/>
        <v>3457721.1046940573</v>
      </c>
      <c r="E153" s="7">
        <f t="shared" si="16"/>
        <v>11718970.366657613</v>
      </c>
      <c r="F153" s="7">
        <f>(D153+E153)*('28-FFU'!$D$22+'28-FFU'!$E$22)</f>
        <v>175208.8323601665</v>
      </c>
      <c r="G153" s="7">
        <f t="shared" si="18"/>
        <v>15351900.303711837</v>
      </c>
      <c r="H153" s="13" t="s">
        <v>1348</v>
      </c>
    </row>
    <row r="154" spans="1:8" x14ac:dyDescent="0.2">
      <c r="A154" s="703">
        <f t="shared" si="17"/>
        <v>92</v>
      </c>
      <c r="C154" s="96" t="s">
        <v>1521</v>
      </c>
      <c r="D154" s="7">
        <f t="shared" si="15"/>
        <v>-8215.9347268633974</v>
      </c>
      <c r="E154" s="7">
        <f t="shared" si="16"/>
        <v>0</v>
      </c>
      <c r="F154" s="7">
        <f>(D154+E154)*('28-FFU'!$D$22+'28-FFU'!$E$22)</f>
        <v>-94.849680047747185</v>
      </c>
      <c r="G154" s="7">
        <f t="shared" si="18"/>
        <v>-8310.7844069111452</v>
      </c>
      <c r="H154" s="13" t="s">
        <v>1348</v>
      </c>
    </row>
    <row r="155" spans="1:8" x14ac:dyDescent="0.2">
      <c r="A155" s="703">
        <f t="shared" si="17"/>
        <v>93</v>
      </c>
      <c r="C155" s="96" t="s">
        <v>1522</v>
      </c>
      <c r="D155" s="7">
        <f t="shared" si="15"/>
        <v>1645497.96353217</v>
      </c>
      <c r="E155" s="7">
        <f t="shared" si="16"/>
        <v>15134447.457757114</v>
      </c>
      <c r="F155" s="7">
        <f>(D155+E155)*('28-FFU'!$D$22+'28-FFU'!$E$22)</f>
        <v>193717.75791061626</v>
      </c>
      <c r="G155" s="7">
        <f t="shared" si="18"/>
        <v>16973663.1791999</v>
      </c>
      <c r="H155" s="13" t="s">
        <v>1348</v>
      </c>
    </row>
    <row r="156" spans="1:8" x14ac:dyDescent="0.2">
      <c r="A156" s="703">
        <f t="shared" si="17"/>
        <v>94</v>
      </c>
      <c r="C156" s="96" t="s">
        <v>1523</v>
      </c>
      <c r="D156" s="7">
        <f t="shared" si="15"/>
        <v>324343.14945761854</v>
      </c>
      <c r="E156" s="7">
        <f t="shared" si="16"/>
        <v>693499.13958582981</v>
      </c>
      <c r="F156" s="7">
        <f>(D156+E156)*('28-FFU'!$D$22+'28-FFU'!$E$22)</f>
        <v>11750.582090090995</v>
      </c>
      <c r="G156" s="7">
        <f t="shared" si="18"/>
        <v>1029592.8711335394</v>
      </c>
      <c r="H156" s="13" t="s">
        <v>1348</v>
      </c>
    </row>
    <row r="157" spans="1:8" x14ac:dyDescent="0.2">
      <c r="A157" s="703">
        <f t="shared" si="17"/>
        <v>95</v>
      </c>
      <c r="C157" s="96" t="s">
        <v>1524</v>
      </c>
      <c r="D157" s="7">
        <f t="shared" si="15"/>
        <v>1228666.3576017623</v>
      </c>
      <c r="E157" s="7">
        <f t="shared" si="16"/>
        <v>5785269.0530248834</v>
      </c>
      <c r="F157" s="7">
        <f>(D157+E157)*('28-FFU'!$D$22+'28-FFU'!$E$22)</f>
        <v>80973.078741520381</v>
      </c>
      <c r="G157" s="7">
        <f t="shared" si="18"/>
        <v>7094908.4893681668</v>
      </c>
      <c r="H157" s="13" t="s">
        <v>1348</v>
      </c>
    </row>
    <row r="158" spans="1:8" x14ac:dyDescent="0.2">
      <c r="A158" s="703">
        <f t="shared" si="17"/>
        <v>96</v>
      </c>
      <c r="C158" s="96" t="s">
        <v>1525</v>
      </c>
      <c r="D158" s="7">
        <f t="shared" si="15"/>
        <v>240399.9525521163</v>
      </c>
      <c r="E158" s="7">
        <f t="shared" si="16"/>
        <v>1008433.4040804232</v>
      </c>
      <c r="F158" s="7">
        <f>(D158+E158)*('28-FFU'!$D$22+'28-FFU'!$E$22)</f>
        <v>14417.281568980017</v>
      </c>
      <c r="G158" s="7">
        <f t="shared" si="18"/>
        <v>1263250.6382015196</v>
      </c>
      <c r="H158" s="13" t="s">
        <v>1348</v>
      </c>
    </row>
    <row r="159" spans="1:8" x14ac:dyDescent="0.2">
      <c r="A159" s="703">
        <f t="shared" si="17"/>
        <v>97</v>
      </c>
      <c r="C159" s="96" t="s">
        <v>1526</v>
      </c>
      <c r="D159" s="7">
        <f t="shared" si="15"/>
        <v>540845.20370342059</v>
      </c>
      <c r="E159" s="7">
        <f t="shared" si="16"/>
        <v>1291348.2483545577</v>
      </c>
      <c r="F159" s="7">
        <f>(D159+E159)*('28-FFU'!$D$22+'28-FFU'!$E$22)</f>
        <v>21151.940526628536</v>
      </c>
      <c r="G159" s="7">
        <f t="shared" si="18"/>
        <v>1853345.3925846068</v>
      </c>
      <c r="H159" s="13" t="s">
        <v>1348</v>
      </c>
    </row>
    <row r="160" spans="1:8" x14ac:dyDescent="0.2">
      <c r="A160" s="703">
        <f t="shared" si="17"/>
        <v>98</v>
      </c>
      <c r="C160" s="476"/>
      <c r="D160" s="602" t="s">
        <v>86</v>
      </c>
      <c r="E160" s="602" t="s">
        <v>86</v>
      </c>
      <c r="F160" s="602" t="s">
        <v>86</v>
      </c>
      <c r="G160" s="602" t="s">
        <v>86</v>
      </c>
      <c r="H160" s="13" t="s">
        <v>1348</v>
      </c>
    </row>
    <row r="161" spans="1:8" x14ac:dyDescent="0.2">
      <c r="A161" s="703">
        <f t="shared" si="17"/>
        <v>99</v>
      </c>
      <c r="C161" s="476"/>
      <c r="D161" s="602" t="s">
        <v>86</v>
      </c>
      <c r="E161" s="602" t="s">
        <v>86</v>
      </c>
      <c r="F161" s="602" t="s">
        <v>86</v>
      </c>
      <c r="G161" s="602" t="s">
        <v>86</v>
      </c>
      <c r="H161" s="13" t="s">
        <v>1348</v>
      </c>
    </row>
    <row r="162" spans="1:8" x14ac:dyDescent="0.2">
      <c r="A162" s="703">
        <f t="shared" si="17"/>
        <v>100</v>
      </c>
      <c r="C162" s="96" t="s">
        <v>225</v>
      </c>
      <c r="D162" s="7">
        <f>SUM(D151:D161)</f>
        <v>155443426.41694888</v>
      </c>
      <c r="E162" s="7">
        <f>SUM(E151:E161)</f>
        <v>41960675.609778441</v>
      </c>
      <c r="F162" s="7">
        <f>SUM(F151:F161)</f>
        <v>2278951.3962577563</v>
      </c>
      <c r="G162" s="7">
        <f>SUM(G151:G161)</f>
        <v>199683053.42298508</v>
      </c>
    </row>
    <row r="164" spans="1:8" ht="15" x14ac:dyDescent="0.25">
      <c r="C164" s="388" t="s">
        <v>1914</v>
      </c>
    </row>
    <row r="165" spans="1:8" ht="15" x14ac:dyDescent="0.25">
      <c r="C165" s="388"/>
    </row>
    <row r="166" spans="1:8" x14ac:dyDescent="0.2">
      <c r="D166" s="86" t="s">
        <v>403</v>
      </c>
      <c r="E166" s="86" t="s">
        <v>387</v>
      </c>
      <c r="F166" s="86" t="s">
        <v>388</v>
      </c>
      <c r="G166" s="86" t="s">
        <v>389</v>
      </c>
    </row>
    <row r="167" spans="1:8" ht="12.75" customHeight="1" x14ac:dyDescent="0.25">
      <c r="D167" s="251" t="s">
        <v>1711</v>
      </c>
      <c r="E167" s="251" t="s">
        <v>1234</v>
      </c>
      <c r="F167" s="86"/>
      <c r="G167" s="86"/>
    </row>
    <row r="168" spans="1:8" ht="12.75" customHeight="1" x14ac:dyDescent="0.25">
      <c r="D168" s="3" t="s">
        <v>1915</v>
      </c>
      <c r="E168" s="3" t="s">
        <v>1915</v>
      </c>
      <c r="F168" s="3" t="s">
        <v>1770</v>
      </c>
      <c r="G168" s="253" t="s">
        <v>224</v>
      </c>
      <c r="H168" s="3" t="s">
        <v>207</v>
      </c>
    </row>
    <row r="169" spans="1:8" x14ac:dyDescent="0.2">
      <c r="A169" s="703">
        <f>A162+1</f>
        <v>101</v>
      </c>
      <c r="C169" s="96" t="s">
        <v>1518</v>
      </c>
      <c r="D169" s="7">
        <f t="shared" ref="D169:D177" si="19">D77+E77+F77</f>
        <v>129791922.68209824</v>
      </c>
      <c r="E169" s="7">
        <f t="shared" ref="E169:E177" si="20">D120</f>
        <v>-44514532.414822757</v>
      </c>
      <c r="F169" s="7">
        <f>(D169+E169)*('28-FFU'!$D$22)</f>
        <v>779333.0141745772</v>
      </c>
      <c r="G169" s="7">
        <f>SUM(D169:F169)</f>
        <v>86056723.281450063</v>
      </c>
      <c r="H169" s="630" t="s">
        <v>1349</v>
      </c>
    </row>
    <row r="170" spans="1:8" x14ac:dyDescent="0.2">
      <c r="A170" s="703">
        <f t="shared" ref="A170:A180" si="21">A169+1</f>
        <v>102</v>
      </c>
      <c r="C170" s="96" t="s">
        <v>1519</v>
      </c>
      <c r="D170" s="7">
        <f t="shared" si="19"/>
        <v>18222245.938036356</v>
      </c>
      <c r="E170" s="7">
        <f t="shared" si="20"/>
        <v>50843240.355140783</v>
      </c>
      <c r="F170" s="7">
        <f>(D170+E170)*('28-FFU'!$D$22)</f>
        <v>631175.66613608727</v>
      </c>
      <c r="G170" s="7">
        <f t="shared" ref="G170:G177" si="22">SUM(D170:F170)</f>
        <v>69696661.959313229</v>
      </c>
      <c r="H170" s="630" t="s">
        <v>1349</v>
      </c>
    </row>
    <row r="171" spans="1:8" x14ac:dyDescent="0.2">
      <c r="A171" s="703">
        <f t="shared" si="21"/>
        <v>103</v>
      </c>
      <c r="C171" s="96" t="s">
        <v>1520</v>
      </c>
      <c r="D171" s="7">
        <f t="shared" si="19"/>
        <v>3457721.1046940573</v>
      </c>
      <c r="E171" s="7">
        <f t="shared" si="20"/>
        <v>11718970.366657613</v>
      </c>
      <c r="F171" s="7">
        <f>(D171+E171)*('28-FFU'!$D$22)</f>
        <v>138696.74801838867</v>
      </c>
      <c r="G171" s="7">
        <f t="shared" si="22"/>
        <v>15315388.21937006</v>
      </c>
      <c r="H171" s="630" t="s">
        <v>1349</v>
      </c>
    </row>
    <row r="172" spans="1:8" x14ac:dyDescent="0.2">
      <c r="A172" s="703">
        <f t="shared" si="21"/>
        <v>104</v>
      </c>
      <c r="C172" s="96" t="s">
        <v>1521</v>
      </c>
      <c r="D172" s="7">
        <f t="shared" si="19"/>
        <v>-8215.9347268633974</v>
      </c>
      <c r="E172" s="7">
        <f t="shared" si="20"/>
        <v>0</v>
      </c>
      <c r="F172" s="7">
        <f>(D172+E172)*('28-FFU'!$D$22)</f>
        <v>-75.083784281859224</v>
      </c>
      <c r="G172" s="7">
        <f t="shared" si="22"/>
        <v>-8291.0185111452574</v>
      </c>
      <c r="H172" s="630" t="s">
        <v>1349</v>
      </c>
    </row>
    <row r="173" spans="1:8" x14ac:dyDescent="0.2">
      <c r="A173" s="703">
        <f t="shared" si="21"/>
        <v>105</v>
      </c>
      <c r="C173" s="96" t="s">
        <v>1522</v>
      </c>
      <c r="D173" s="7">
        <f t="shared" si="19"/>
        <v>1645497.96353217</v>
      </c>
      <c r="E173" s="7">
        <f t="shared" si="20"/>
        <v>15134447.457757114</v>
      </c>
      <c r="F173" s="7">
        <f>(D173+E173)*('28-FFU'!$D$22)</f>
        <v>153348.56521607851</v>
      </c>
      <c r="G173" s="7">
        <f t="shared" si="22"/>
        <v>16933293.986505363</v>
      </c>
      <c r="H173" s="630" t="s">
        <v>1349</v>
      </c>
    </row>
    <row r="174" spans="1:8" x14ac:dyDescent="0.2">
      <c r="A174" s="703">
        <f t="shared" si="21"/>
        <v>106</v>
      </c>
      <c r="C174" s="96" t="s">
        <v>1523</v>
      </c>
      <c r="D174" s="7">
        <f t="shared" si="19"/>
        <v>324343.14945761854</v>
      </c>
      <c r="E174" s="7">
        <f t="shared" si="20"/>
        <v>693499.13958582981</v>
      </c>
      <c r="F174" s="7">
        <f>(D174+E174)*('28-FFU'!$D$22)</f>
        <v>9301.8571111102665</v>
      </c>
      <c r="G174" s="7">
        <f t="shared" si="22"/>
        <v>1027144.1461545586</v>
      </c>
      <c r="H174" s="630" t="s">
        <v>1349</v>
      </c>
    </row>
    <row r="175" spans="1:8" x14ac:dyDescent="0.2">
      <c r="A175" s="703">
        <f t="shared" si="21"/>
        <v>107</v>
      </c>
      <c r="C175" s="96" t="s">
        <v>1524</v>
      </c>
      <c r="D175" s="7">
        <f t="shared" si="19"/>
        <v>1228666.3576017623</v>
      </c>
      <c r="E175" s="7">
        <f t="shared" si="20"/>
        <v>5785269.0530248834</v>
      </c>
      <c r="F175" s="7">
        <f>(D175+E175)*('28-FFU'!$D$22)</f>
        <v>64098.952930634798</v>
      </c>
      <c r="G175" s="7">
        <f t="shared" si="22"/>
        <v>7078034.363557281</v>
      </c>
      <c r="H175" s="630" t="s">
        <v>1349</v>
      </c>
    </row>
    <row r="176" spans="1:8" x14ac:dyDescent="0.2">
      <c r="A176" s="703">
        <f t="shared" si="21"/>
        <v>108</v>
      </c>
      <c r="C176" s="96" t="s">
        <v>1525</v>
      </c>
      <c r="D176" s="7">
        <f t="shared" si="19"/>
        <v>240399.9525521163</v>
      </c>
      <c r="E176" s="7">
        <f t="shared" si="20"/>
        <v>1008433.4040804232</v>
      </c>
      <c r="F176" s="7">
        <f>(D176+E176)*('28-FFU'!$D$22)</f>
        <v>11412.838279593454</v>
      </c>
      <c r="G176" s="7">
        <f t="shared" si="22"/>
        <v>1260246.194912133</v>
      </c>
      <c r="H176" s="630" t="s">
        <v>1349</v>
      </c>
    </row>
    <row r="177" spans="1:11" x14ac:dyDescent="0.2">
      <c r="A177" s="703">
        <f t="shared" si="21"/>
        <v>109</v>
      </c>
      <c r="C177" s="96" t="s">
        <v>1526</v>
      </c>
      <c r="D177" s="7">
        <f t="shared" si="19"/>
        <v>540845.20370342059</v>
      </c>
      <c r="E177" s="7">
        <f t="shared" si="20"/>
        <v>1291348.2483545577</v>
      </c>
      <c r="F177" s="7">
        <f>(D177+E177)*('28-FFU'!$D$22)</f>
        <v>16744.049519667453</v>
      </c>
      <c r="G177" s="7">
        <f t="shared" si="22"/>
        <v>1848937.5015776455</v>
      </c>
      <c r="H177" s="630" t="s">
        <v>1349</v>
      </c>
    </row>
    <row r="178" spans="1:11" x14ac:dyDescent="0.2">
      <c r="A178" s="703">
        <f t="shared" si="21"/>
        <v>110</v>
      </c>
      <c r="C178" s="476"/>
      <c r="D178" s="602" t="s">
        <v>86</v>
      </c>
      <c r="E178" s="602" t="s">
        <v>86</v>
      </c>
      <c r="F178" s="602" t="s">
        <v>86</v>
      </c>
      <c r="G178" s="602" t="s">
        <v>86</v>
      </c>
      <c r="H178" s="630" t="s">
        <v>1349</v>
      </c>
    </row>
    <row r="179" spans="1:11" x14ac:dyDescent="0.2">
      <c r="A179" s="703">
        <f t="shared" si="21"/>
        <v>111</v>
      </c>
      <c r="C179" s="476"/>
      <c r="D179" s="602" t="s">
        <v>86</v>
      </c>
      <c r="E179" s="602" t="s">
        <v>86</v>
      </c>
      <c r="F179" s="602" t="s">
        <v>86</v>
      </c>
      <c r="G179" s="602" t="s">
        <v>86</v>
      </c>
      <c r="H179" s="630" t="s">
        <v>1349</v>
      </c>
    </row>
    <row r="180" spans="1:11" x14ac:dyDescent="0.2">
      <c r="A180" s="703">
        <f t="shared" si="21"/>
        <v>112</v>
      </c>
      <c r="C180" s="96" t="s">
        <v>225</v>
      </c>
      <c r="D180" s="7">
        <f>SUM(D169:D179)</f>
        <v>155443426.41694888</v>
      </c>
      <c r="E180" s="7">
        <f>SUM(E169:E179)</f>
        <v>41960675.609778441</v>
      </c>
      <c r="F180" s="7">
        <f>SUM(F169:F179)</f>
        <v>1804036.6076018556</v>
      </c>
      <c r="G180" s="7">
        <f>SUM(G169:G179)</f>
        <v>199208138.6343292</v>
      </c>
    </row>
    <row r="182" spans="1:11" x14ac:dyDescent="0.2">
      <c r="B182" s="1" t="s">
        <v>265</v>
      </c>
    </row>
    <row r="183" spans="1:11" x14ac:dyDescent="0.2">
      <c r="B183" s="114" t="str">
        <f>"1) (Sum Lines "&amp;A64&amp;" to "&amp;A67&amp;") * (FF + U Factors from 28-FFU) for Prior Year TRR"</f>
        <v>1) (Sum Lines 33 to 36) * (FF + U Factors from 28-FFU) for Prior Year TRR</v>
      </c>
      <c r="C183" s="14"/>
      <c r="D183" s="14"/>
      <c r="E183" s="14"/>
      <c r="F183" s="14"/>
      <c r="G183" s="14"/>
      <c r="H183" s="14"/>
      <c r="I183" s="14"/>
      <c r="J183" s="14"/>
      <c r="K183" s="14"/>
    </row>
    <row r="184" spans="1:11" x14ac:dyDescent="0.2">
      <c r="B184" s="47" t="str">
        <f>"(Sum Lines "&amp;A65&amp;" to "&amp;A68&amp;") * (FF Factor from 28-FFU) for True Up TRR"</f>
        <v>(Sum Lines 34 to 37) * (FF Factor from 28-FFU) for True Up TRR</v>
      </c>
      <c r="C184" s="14"/>
      <c r="D184" s="14"/>
      <c r="E184" s="14"/>
      <c r="F184" s="14"/>
      <c r="G184" s="14"/>
      <c r="H184" s="14"/>
      <c r="I184" s="14"/>
      <c r="J184" s="14"/>
      <c r="K184" s="14"/>
    </row>
    <row r="185" spans="1:11" x14ac:dyDescent="0.2">
      <c r="B185" s="15" t="str">
        <f>"2) Project Cost of capital is a fraction of total Cost of Capital on Line "&amp;A26&amp;" based on fraction of project CWIP Balances on Lines "&amp;A9&amp;" to "&amp;A20&amp;", Col 1."</f>
        <v>2) Project Cost of capital is a fraction of total Cost of Capital on Line 15 based on fraction of project CWIP Balances on Lines 1 to 12, Col 1.</v>
      </c>
      <c r="C185" s="14"/>
      <c r="D185" s="14"/>
      <c r="E185" s="14"/>
      <c r="F185" s="14"/>
      <c r="G185" s="14"/>
      <c r="H185" s="14"/>
      <c r="I185" s="14"/>
      <c r="J185" s="14"/>
      <c r="K185" s="14"/>
    </row>
    <row r="186" spans="1:11" x14ac:dyDescent="0.2">
      <c r="B186" s="47" t="str">
        <f>"Project Income Taxes is a fraction of total Income on Line "&amp;A34&amp;" based on fraction of project CWIP Balances on Lines "&amp;A9&amp;" to "&amp;A20&amp;", Col 1."</f>
        <v>Project Income Taxes is a fraction of total Income on Line 19 based on fraction of project CWIP Balances on Lines 1 to 12, Col 1.</v>
      </c>
      <c r="C186" s="14"/>
      <c r="D186" s="14"/>
      <c r="E186" s="14"/>
      <c r="F186" s="14"/>
      <c r="G186" s="14"/>
      <c r="H186" s="14"/>
      <c r="I186" s="14"/>
      <c r="J186" s="14"/>
      <c r="K186" s="14"/>
    </row>
    <row r="187" spans="1:11" x14ac:dyDescent="0.2">
      <c r="B187" s="118" t="str">
        <f>"ROE Adder is from Lines "&amp;A66&amp;" and "&amp;A67&amp;".  FF&amp;U Expenses are based on FF&amp;U Factors on 28-FFU."</f>
        <v>ROE Adder is from Lines 35 and 36.  FF&amp;U Expenses are based on FF&amp;U Factors on 28-FFU.</v>
      </c>
      <c r="C187" s="14"/>
      <c r="D187" s="14"/>
      <c r="E187" s="14"/>
      <c r="F187" s="14"/>
      <c r="G187" s="14"/>
      <c r="H187" s="14"/>
      <c r="I187" s="14"/>
      <c r="J187" s="14"/>
      <c r="K187" s="14"/>
    </row>
    <row r="188" spans="1:11" x14ac:dyDescent="0.2">
      <c r="B188" s="15" t="str">
        <f>"3) Project Cost of capital is a fraction of total Cost of Capital on Line "&amp;A26&amp;" based on fraction of project CWIP Balances on Lines "&amp;A9&amp;" to "&amp;A20&amp;", Col 2."</f>
        <v>3) Project Cost of capital is a fraction of total Cost of Capital on Line 15 based on fraction of project CWIP Balances on Lines 1 to 12, Col 2.</v>
      </c>
      <c r="C188" s="14"/>
      <c r="D188" s="14"/>
      <c r="E188" s="14"/>
      <c r="F188" s="14"/>
      <c r="G188" s="14"/>
      <c r="H188" s="14"/>
      <c r="I188" s="14"/>
      <c r="J188" s="14"/>
      <c r="K188" s="14"/>
    </row>
    <row r="189" spans="1:11" x14ac:dyDescent="0.2">
      <c r="B189" s="47" t="str">
        <f>"Project Income Taxes is a fraction of total Income on Line "&amp;A34&amp;" based on fraction of project CWIP Balances on Lines "&amp;A9&amp;" to "&amp;A20&amp;", Col 2."</f>
        <v>Project Income Taxes is a fraction of total Income on Line 19 based on fraction of project CWIP Balances on Lines 1 to 12, Col 2.</v>
      </c>
      <c r="C189" s="14"/>
      <c r="D189" s="14"/>
      <c r="E189" s="14"/>
      <c r="F189" s="14"/>
      <c r="G189" s="14"/>
      <c r="H189" s="14"/>
      <c r="I189" s="14"/>
      <c r="J189" s="14"/>
      <c r="K189" s="14"/>
    </row>
    <row r="190" spans="1:11" x14ac:dyDescent="0.2">
      <c r="B190" s="118" t="str">
        <f>"ROE Adder is from Lines "&amp;A66&amp;" and "&amp;A67&amp;".  FF Expenses is based on FF Factor on 28-FFU."</f>
        <v>ROE Adder is from Lines 35 and 36.  FF Expenses is based on FF Factor on 28-FFU.</v>
      </c>
      <c r="C190" s="14"/>
      <c r="D190" s="14"/>
      <c r="E190" s="14"/>
      <c r="F190" s="14"/>
      <c r="G190" s="14"/>
      <c r="H190" s="14"/>
      <c r="I190" s="14"/>
      <c r="J190" s="14"/>
      <c r="K190" s="14"/>
    </row>
    <row r="191" spans="1:11" x14ac:dyDescent="0.2">
      <c r="B191" s="15" t="str">
        <f>"4) Project contribution to total IFPTRR is based on fraction of Forecast Period CWIP Balances on Lines "&amp;A9&amp;" to "&amp;A20&amp;", Col 3."</f>
        <v>4) Project contribution to total IFPTRR is based on fraction of Forecast Period CWIP Balances on Lines 1 to 12, Col 3.</v>
      </c>
      <c r="C191" s="14"/>
      <c r="D191" s="14"/>
      <c r="E191" s="14"/>
      <c r="F191" s="14"/>
      <c r="G191" s="14"/>
      <c r="H191" s="14"/>
      <c r="I191" s="14"/>
      <c r="J191" s="14"/>
      <c r="K191" s="14"/>
    </row>
    <row r="192" spans="1:11" x14ac:dyDescent="0.2">
      <c r="B192" s="15" t="str">
        <f>"5) Column 1 is from Lines "&amp;A77&amp;" to "&amp;A87&amp;", Sum of Column 1-3 (no FF&amp;U)."</f>
        <v>5) Column 1 is from Lines 39 to 49, Sum of Column 1-3 (no FF&amp;U).</v>
      </c>
      <c r="C192" s="14"/>
      <c r="D192" s="14"/>
      <c r="E192" s="14"/>
      <c r="F192" s="14"/>
      <c r="G192" s="14"/>
      <c r="H192" s="14"/>
      <c r="I192" s="14"/>
      <c r="J192" s="14"/>
      <c r="K192" s="14"/>
    </row>
    <row r="193" spans="2:11" x14ac:dyDescent="0.2">
      <c r="B193" s="47" t="str">
        <f>"Column 2 is from Lines "&amp;A120&amp;" to "&amp;A130&amp;" (no FF&amp;U)."</f>
        <v>Column 2 is from Lines 68 to 78 (no FF&amp;U).</v>
      </c>
      <c r="C193" s="14"/>
      <c r="D193" s="14"/>
      <c r="E193" s="14"/>
      <c r="F193" s="14"/>
      <c r="G193" s="14"/>
      <c r="H193" s="14"/>
      <c r="I193" s="14"/>
      <c r="J193" s="14"/>
      <c r="K193" s="14"/>
    </row>
    <row r="194" spans="2:11" x14ac:dyDescent="0.2">
      <c r="B194" s="625" t="str">
        <f>"Column 3 is the product of (C1 + C2) and the sum of FF and U factors (28-FFU, L"&amp;'28-FFU'!A22&amp;")"</f>
        <v>Column 3 is the product of (C1 + C2) and the sum of FF and U factors (28-FFU, L5)</v>
      </c>
      <c r="C194" s="14"/>
      <c r="D194" s="14"/>
      <c r="E194" s="14"/>
      <c r="F194" s="14"/>
      <c r="G194" s="14"/>
      <c r="H194" s="14"/>
      <c r="I194" s="14"/>
      <c r="J194" s="14"/>
      <c r="K194" s="14"/>
    </row>
    <row r="195" spans="2:11" x14ac:dyDescent="0.2">
      <c r="B195" s="628" t="s">
        <v>1917</v>
      </c>
      <c r="C195" s="14"/>
      <c r="D195" s="14"/>
      <c r="E195" s="14"/>
      <c r="F195" s="14"/>
      <c r="G195" s="14"/>
      <c r="H195" s="14"/>
      <c r="I195" s="14"/>
      <c r="J195" s="14"/>
      <c r="K195" s="14"/>
    </row>
  </sheetData>
  <pageMargins left="0.7" right="0.7" top="0.75" bottom="0.75" header="0.3" footer="0.3"/>
  <pageSetup scale="70" orientation="portrait" cellComments="asDisplayed" r:id="rId1"/>
  <headerFooter>
    <oddHeader xml:space="preserve">&amp;CSchedule 24
CWIP TRR
&amp;"Arial,Bold"Exhibit G-2&amp;"Arial,Regular"
</oddHeader>
    <oddFooter>&amp;R24-CWIPTRR</oddFooter>
  </headerFooter>
  <rowBreaks count="2" manualBreakCount="2">
    <brk id="70" max="16383" man="1"/>
    <brk id="13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zoomScaleNormal="100" workbookViewId="0"/>
  </sheetViews>
  <sheetFormatPr defaultRowHeight="12.75" x14ac:dyDescent="0.2"/>
  <cols>
    <col min="1" max="1" width="2.7109375" customWidth="1"/>
    <col min="2" max="2" width="18.7109375" customWidth="1"/>
    <col min="3" max="3" width="10.7109375" customWidth="1"/>
    <col min="4" max="4" width="66.7109375" customWidth="1"/>
  </cols>
  <sheetData>
    <row r="1" spans="1:4" x14ac:dyDescent="0.2">
      <c r="A1" s="1" t="s">
        <v>1283</v>
      </c>
      <c r="C1" s="1"/>
    </row>
    <row r="3" spans="1:4" x14ac:dyDescent="0.2">
      <c r="B3" s="3" t="s">
        <v>1284</v>
      </c>
      <c r="C3" s="3" t="s">
        <v>1459</v>
      </c>
      <c r="D3" s="428" t="s">
        <v>590</v>
      </c>
    </row>
    <row r="4" spans="1:4" x14ac:dyDescent="0.2">
      <c r="B4" s="393" t="s">
        <v>1223</v>
      </c>
      <c r="C4" s="63"/>
      <c r="D4" s="12" t="s">
        <v>1286</v>
      </c>
    </row>
    <row r="5" spans="1:4" x14ac:dyDescent="0.2">
      <c r="B5" s="836" t="s">
        <v>1285</v>
      </c>
      <c r="C5" s="63">
        <v>1</v>
      </c>
      <c r="D5" s="626" t="s">
        <v>2879</v>
      </c>
    </row>
    <row r="6" spans="1:4" x14ac:dyDescent="0.2">
      <c r="B6" s="836" t="s">
        <v>1234</v>
      </c>
      <c r="C6" s="63">
        <v>2</v>
      </c>
      <c r="D6" s="12" t="s">
        <v>1293</v>
      </c>
    </row>
    <row r="7" spans="1:4" x14ac:dyDescent="0.2">
      <c r="B7" s="836" t="s">
        <v>1235</v>
      </c>
      <c r="C7" s="63">
        <v>3</v>
      </c>
      <c r="D7" s="12" t="s">
        <v>1294</v>
      </c>
    </row>
    <row r="8" spans="1:4" x14ac:dyDescent="0.2">
      <c r="B8" s="836" t="s">
        <v>1934</v>
      </c>
      <c r="C8" s="63">
        <v>4</v>
      </c>
      <c r="D8" s="626" t="s">
        <v>1935</v>
      </c>
    </row>
    <row r="9" spans="1:4" x14ac:dyDescent="0.2">
      <c r="B9" s="836" t="s">
        <v>1224</v>
      </c>
      <c r="C9" s="63">
        <v>5</v>
      </c>
      <c r="D9" s="12" t="s">
        <v>1287</v>
      </c>
    </row>
    <row r="10" spans="1:4" x14ac:dyDescent="0.2">
      <c r="B10" s="836" t="s">
        <v>1227</v>
      </c>
      <c r="C10" s="63">
        <v>6</v>
      </c>
      <c r="D10" s="12" t="s">
        <v>1290</v>
      </c>
    </row>
    <row r="11" spans="1:4" x14ac:dyDescent="0.2">
      <c r="B11" s="836" t="s">
        <v>1228</v>
      </c>
      <c r="C11" s="63">
        <v>7</v>
      </c>
      <c r="D11" s="12" t="s">
        <v>1755</v>
      </c>
    </row>
    <row r="12" spans="1:4" x14ac:dyDescent="0.2">
      <c r="B12" s="836" t="s">
        <v>1237</v>
      </c>
      <c r="C12" s="63">
        <v>8</v>
      </c>
      <c r="D12" s="12" t="s">
        <v>1295</v>
      </c>
    </row>
    <row r="13" spans="1:4" x14ac:dyDescent="0.2">
      <c r="B13" s="836" t="s">
        <v>229</v>
      </c>
      <c r="C13" s="63">
        <v>9</v>
      </c>
      <c r="D13" s="12" t="s">
        <v>110</v>
      </c>
    </row>
    <row r="14" spans="1:4" x14ac:dyDescent="0.2">
      <c r="B14" s="836" t="s">
        <v>1</v>
      </c>
      <c r="C14" s="63">
        <v>10</v>
      </c>
      <c r="D14" s="626" t="s">
        <v>2880</v>
      </c>
    </row>
    <row r="15" spans="1:4" x14ac:dyDescent="0.2">
      <c r="B15" s="836" t="s">
        <v>1229</v>
      </c>
      <c r="C15" s="63">
        <v>11</v>
      </c>
      <c r="D15" s="12" t="s">
        <v>1443</v>
      </c>
    </row>
    <row r="16" spans="1:4" x14ac:dyDescent="0.2">
      <c r="B16" s="836" t="s">
        <v>1230</v>
      </c>
      <c r="C16" s="63">
        <v>12</v>
      </c>
      <c r="D16" s="12" t="s">
        <v>1291</v>
      </c>
    </row>
    <row r="17" spans="2:4" x14ac:dyDescent="0.2">
      <c r="B17" s="836" t="s">
        <v>1236</v>
      </c>
      <c r="C17" s="63">
        <v>13</v>
      </c>
      <c r="D17" s="12" t="s">
        <v>1305</v>
      </c>
    </row>
    <row r="18" spans="2:4" x14ac:dyDescent="0.2">
      <c r="B18" s="836" t="s">
        <v>1231</v>
      </c>
      <c r="C18" s="63">
        <v>14</v>
      </c>
      <c r="D18" s="12" t="s">
        <v>1292</v>
      </c>
    </row>
    <row r="19" spans="2:4" x14ac:dyDescent="0.2">
      <c r="B19" s="836" t="s">
        <v>1232</v>
      </c>
      <c r="C19" s="63">
        <v>15</v>
      </c>
      <c r="D19" s="626" t="s">
        <v>2193</v>
      </c>
    </row>
    <row r="20" spans="2:4" x14ac:dyDescent="0.2">
      <c r="B20" s="836" t="s">
        <v>1233</v>
      </c>
      <c r="C20" s="63">
        <v>16</v>
      </c>
      <c r="D20" s="12" t="s">
        <v>1451</v>
      </c>
    </row>
    <row r="21" spans="2:4" x14ac:dyDescent="0.2">
      <c r="B21" s="836" t="s">
        <v>1225</v>
      </c>
      <c r="C21" s="63">
        <v>17</v>
      </c>
      <c r="D21" s="12" t="s">
        <v>1288</v>
      </c>
    </row>
    <row r="22" spans="2:4" x14ac:dyDescent="0.2">
      <c r="B22" s="836" t="s">
        <v>1226</v>
      </c>
      <c r="C22" s="63">
        <v>18</v>
      </c>
      <c r="D22" s="12" t="s">
        <v>1289</v>
      </c>
    </row>
    <row r="23" spans="2:4" x14ac:dyDescent="0.2">
      <c r="B23" s="836" t="s">
        <v>1238</v>
      </c>
      <c r="C23" s="63">
        <v>19</v>
      </c>
      <c r="D23" s="12" t="s">
        <v>1296</v>
      </c>
    </row>
    <row r="24" spans="2:4" x14ac:dyDescent="0.2">
      <c r="B24" s="836" t="s">
        <v>1239</v>
      </c>
      <c r="C24" s="63">
        <v>20</v>
      </c>
      <c r="D24" s="626" t="s">
        <v>317</v>
      </c>
    </row>
    <row r="25" spans="2:4" x14ac:dyDescent="0.2">
      <c r="B25" s="836" t="s">
        <v>1262</v>
      </c>
      <c r="C25" s="63">
        <v>21</v>
      </c>
      <c r="D25" s="12" t="s">
        <v>1297</v>
      </c>
    </row>
    <row r="26" spans="2:4" x14ac:dyDescent="0.2">
      <c r="B26" s="836" t="s">
        <v>1263</v>
      </c>
      <c r="C26" s="63">
        <v>22</v>
      </c>
      <c r="D26" s="12" t="s">
        <v>1450</v>
      </c>
    </row>
    <row r="27" spans="2:4" x14ac:dyDescent="0.2">
      <c r="B27" s="836" t="s">
        <v>1264</v>
      </c>
      <c r="C27" s="63">
        <v>23</v>
      </c>
      <c r="D27" s="12" t="s">
        <v>1298</v>
      </c>
    </row>
    <row r="28" spans="2:4" ht="12.75" customHeight="1" x14ac:dyDescent="0.2">
      <c r="B28" s="836" t="s">
        <v>1737</v>
      </c>
      <c r="C28" s="63">
        <v>24</v>
      </c>
      <c r="D28" s="12" t="s">
        <v>1738</v>
      </c>
    </row>
    <row r="29" spans="2:4" x14ac:dyDescent="0.2">
      <c r="B29" s="836" t="s">
        <v>1675</v>
      </c>
      <c r="C29" s="63">
        <v>25</v>
      </c>
      <c r="D29" s="12" t="s">
        <v>1676</v>
      </c>
    </row>
    <row r="30" spans="2:4" x14ac:dyDescent="0.2">
      <c r="B30" s="836" t="s">
        <v>1267</v>
      </c>
      <c r="C30" s="63">
        <v>26</v>
      </c>
      <c r="D30" s="12" t="s">
        <v>1299</v>
      </c>
    </row>
    <row r="31" spans="2:4" x14ac:dyDescent="0.2">
      <c r="B31" s="836" t="s">
        <v>1266</v>
      </c>
      <c r="C31" s="63">
        <v>27</v>
      </c>
      <c r="D31" s="12" t="s">
        <v>230</v>
      </c>
    </row>
    <row r="32" spans="2:4" x14ac:dyDescent="0.2">
      <c r="B32" s="836" t="s">
        <v>1265</v>
      </c>
      <c r="C32" s="63">
        <v>28</v>
      </c>
      <c r="D32" s="12" t="s">
        <v>1300</v>
      </c>
    </row>
    <row r="33" spans="2:4" x14ac:dyDescent="0.2">
      <c r="B33" s="836" t="s">
        <v>1268</v>
      </c>
      <c r="C33" s="63">
        <v>29</v>
      </c>
      <c r="D33" s="12" t="s">
        <v>1301</v>
      </c>
    </row>
    <row r="34" spans="2:4" x14ac:dyDescent="0.2">
      <c r="B34" s="836" t="s">
        <v>1269</v>
      </c>
      <c r="C34" s="63">
        <v>30</v>
      </c>
      <c r="D34" s="12" t="s">
        <v>1452</v>
      </c>
    </row>
    <row r="35" spans="2:4" x14ac:dyDescent="0.2">
      <c r="B35" s="836" t="s">
        <v>1270</v>
      </c>
      <c r="C35" s="63">
        <v>31</v>
      </c>
      <c r="D35" s="12" t="s">
        <v>1302</v>
      </c>
    </row>
    <row r="36" spans="2:4" x14ac:dyDescent="0.2">
      <c r="B36" s="836" t="s">
        <v>1271</v>
      </c>
      <c r="C36" s="63">
        <v>32</v>
      </c>
      <c r="D36" s="12" t="s">
        <v>1303</v>
      </c>
    </row>
    <row r="37" spans="2:4" x14ac:dyDescent="0.2">
      <c r="B37" s="836" t="s">
        <v>1272</v>
      </c>
      <c r="C37" s="607">
        <v>33</v>
      </c>
      <c r="D37" s="12" t="s">
        <v>1304</v>
      </c>
    </row>
    <row r="38" spans="2:4" x14ac:dyDescent="0.2">
      <c r="B38" s="1015" t="s">
        <v>2708</v>
      </c>
      <c r="C38" s="1016">
        <v>34</v>
      </c>
      <c r="D38" s="628" t="s">
        <v>2767</v>
      </c>
    </row>
    <row r="39" spans="2:4" x14ac:dyDescent="0.2">
      <c r="B39" s="1015" t="s">
        <v>544</v>
      </c>
      <c r="C39" s="1016">
        <v>35</v>
      </c>
      <c r="D39" s="628" t="s">
        <v>2698</v>
      </c>
    </row>
    <row r="40" spans="2:4" x14ac:dyDescent="0.2">
      <c r="B40" s="12"/>
    </row>
    <row r="41" spans="2:4" x14ac:dyDescent="0.2">
      <c r="B41" s="12"/>
    </row>
    <row r="42" spans="2:4" x14ac:dyDescent="0.2">
      <c r="B42" s="12"/>
    </row>
    <row r="43" spans="2:4" x14ac:dyDescent="0.2">
      <c r="B43" s="12"/>
    </row>
  </sheetData>
  <hyperlinks>
    <hyperlink ref="B9" location="'5-ROR-1'!A1" display="ROR"/>
    <hyperlink ref="B4" location="Overview!A1" display="Overview"/>
    <hyperlink ref="B5" location="'1-BaseTRR'!A1" display="BaseTRR"/>
    <hyperlink ref="B21" location="'17-Depreciation'!A1" display="Depreciation"/>
    <hyperlink ref="B22" location="'18-DepRates'!A1" display="DepRates"/>
    <hyperlink ref="B10" location="'6-PlantInService'!A1" display="PlantInService"/>
    <hyperlink ref="B11" location="'7-PlantStudy'!A1" display="PlantStudy"/>
    <hyperlink ref="B15" location="'11-PHFU'!A1" display="PHFU"/>
    <hyperlink ref="B16" location="'12-AbandonedPlant'!A1" display="AbandonedPlant"/>
    <hyperlink ref="B18" location="'14-IncentivePlant'!A1" display="IncentivePlant"/>
    <hyperlink ref="B19" location="'15-IncentiveAdder'!A1" display="IncentiveAdder"/>
    <hyperlink ref="B20" location="'16-PlantAdditions'!A1" display="PlantAdditions"/>
    <hyperlink ref="B14" location="'10-CWIP'!A1" display="CWIP"/>
    <hyperlink ref="B6" location="'2-IFPTRR'!A1" display="IFPTRR"/>
    <hyperlink ref="B8" location="'4-TUTRR'!A1" display="TUTRR"/>
    <hyperlink ref="B7" location="'3-TrueUpAdjust'!A1" display="TrueUpAdjust"/>
    <hyperlink ref="B17" location="'13-WorkCap'!A1" display="WorkCap"/>
    <hyperlink ref="B12" location="'8-AccDep'!A1" display="AccDep"/>
    <hyperlink ref="B23" location="'19-OandM'!A1" display="OandM"/>
    <hyperlink ref="B24" location="'20-AandG'!A1" display="AandG"/>
    <hyperlink ref="B13" location="'9-ADIT'!A1" display="ADIT"/>
    <hyperlink ref="B25" location="'21-RevenueCredits'!A1" display="RevenueCredits"/>
    <hyperlink ref="B26" location="'22-NUCs'!A1" display="NUCs"/>
    <hyperlink ref="B27" location="'23-RegAssets'!A1" display="RegAssets"/>
    <hyperlink ref="B29" location="'25-WholesaleDifference'!A1" display="WholesaleDifference"/>
    <hyperlink ref="B30" location="'26-TaxRates'!A1" display="TaxRates"/>
    <hyperlink ref="B31" location="'27-Allocators'!A1" display="Allocators"/>
    <hyperlink ref="B32" location="'28-FFU'!A1" display="FFU"/>
    <hyperlink ref="B33" location="'29-WholesaleTRRs'!A1" display="WholesaleTRRs"/>
    <hyperlink ref="B34" location="'30-WholesaleRates'!A1" display="Wholesale Rates"/>
    <hyperlink ref="B35" location="'31-HVLV'!A1" display="HVLV"/>
    <hyperlink ref="B36" location="'32-GrossLoad'!A1" display="GrossLoad"/>
    <hyperlink ref="B37" location="'33-RetailRates'!A1" display="RetailRates"/>
    <hyperlink ref="B28" location="'24-CWIPTRR'!A1" display="CWIPTRR"/>
    <hyperlink ref="B39" location="'35-PBOPs'!A1" display="PBOPs"/>
  </hyperlinks>
  <pageMargins left="0.7" right="0.7" top="0.75" bottom="0.75" header="0.3" footer="0.3"/>
  <pageSetup scale="90" orientation="portrait" cellComments="asDisplayed" r:id="rId1"/>
  <headerFooter>
    <oddHeader>&amp;C&amp;"Arial,Bold"Exhibit G-2</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2"/>
  <sheetViews>
    <sheetView zoomScale="85" zoomScaleNormal="85" workbookViewId="0"/>
  </sheetViews>
  <sheetFormatPr defaultRowHeight="12.75" x14ac:dyDescent="0.2"/>
  <cols>
    <col min="1" max="1" width="4.7109375" customWidth="1"/>
    <col min="6" max="6" width="11.7109375" customWidth="1"/>
    <col min="7" max="7" width="21.7109375" customWidth="1"/>
    <col min="8" max="9" width="14.7109375" customWidth="1"/>
  </cols>
  <sheetData>
    <row r="1" spans="1:12" x14ac:dyDescent="0.2">
      <c r="A1" s="1" t="s">
        <v>1636</v>
      </c>
      <c r="B1" s="238"/>
      <c r="C1" s="238"/>
      <c r="D1" s="238"/>
      <c r="E1" s="238"/>
      <c r="F1" s="238"/>
      <c r="G1" s="238"/>
      <c r="H1" s="238"/>
      <c r="I1" s="238"/>
      <c r="J1" s="238"/>
      <c r="K1" s="238"/>
      <c r="L1" s="238"/>
    </row>
    <row r="2" spans="1:12" x14ac:dyDescent="0.2">
      <c r="A2" s="1"/>
      <c r="B2" s="238"/>
      <c r="C2" s="238"/>
      <c r="D2" s="238"/>
      <c r="E2" s="238"/>
      <c r="F2" s="238"/>
      <c r="G2" s="238"/>
      <c r="H2" s="587" t="s">
        <v>17</v>
      </c>
      <c r="I2" s="457"/>
      <c r="J2" s="238"/>
      <c r="K2" s="238"/>
      <c r="L2" s="238"/>
    </row>
    <row r="3" spans="1:12" x14ac:dyDescent="0.2">
      <c r="A3" s="1"/>
      <c r="B3" s="238" t="s">
        <v>1637</v>
      </c>
      <c r="C3" s="238"/>
      <c r="D3" s="238"/>
      <c r="E3" s="238"/>
      <c r="F3" s="238"/>
      <c r="G3" s="238"/>
      <c r="H3" s="248"/>
      <c r="I3" s="248"/>
      <c r="J3" s="238"/>
      <c r="K3" s="238"/>
      <c r="L3" s="238"/>
    </row>
    <row r="4" spans="1:12" x14ac:dyDescent="0.2">
      <c r="A4" s="45"/>
      <c r="B4" s="248" t="s">
        <v>2452</v>
      </c>
      <c r="C4" s="248"/>
      <c r="D4" s="248"/>
      <c r="E4" s="248"/>
      <c r="F4" s="248"/>
      <c r="G4" s="248"/>
      <c r="H4" s="248"/>
      <c r="I4" s="248"/>
      <c r="J4" s="238"/>
      <c r="K4" s="238"/>
      <c r="L4" s="238"/>
    </row>
    <row r="5" spans="1:12" x14ac:dyDescent="0.2">
      <c r="A5" s="45"/>
      <c r="B5" s="248" t="s">
        <v>2259</v>
      </c>
      <c r="C5" s="248"/>
      <c r="D5" s="248"/>
      <c r="E5" s="248"/>
      <c r="F5" s="248"/>
      <c r="G5" s="248"/>
      <c r="H5" s="248"/>
      <c r="I5" s="248"/>
      <c r="J5" s="238"/>
      <c r="K5" s="238"/>
      <c r="L5" s="238"/>
    </row>
    <row r="6" spans="1:12" x14ac:dyDescent="0.2">
      <c r="A6" s="45"/>
      <c r="B6" s="248"/>
      <c r="C6" s="248"/>
      <c r="D6" s="248"/>
      <c r="E6" s="248"/>
      <c r="F6" s="248"/>
      <c r="G6" s="248"/>
      <c r="H6" s="248"/>
      <c r="I6" s="248"/>
      <c r="J6" s="238"/>
      <c r="K6" s="238"/>
      <c r="L6" s="238"/>
    </row>
    <row r="7" spans="1:12" x14ac:dyDescent="0.2">
      <c r="A7" s="45"/>
      <c r="B7" s="248" t="s">
        <v>2453</v>
      </c>
      <c r="C7" s="248"/>
      <c r="D7" s="248"/>
      <c r="E7" s="248"/>
      <c r="F7" s="248"/>
      <c r="G7" s="248"/>
      <c r="H7" s="248"/>
      <c r="I7" s="248"/>
      <c r="J7" s="238"/>
      <c r="K7" s="238"/>
      <c r="L7" s="238"/>
    </row>
    <row r="8" spans="1:12" x14ac:dyDescent="0.2">
      <c r="A8" s="45"/>
      <c r="B8" s="248" t="s">
        <v>1638</v>
      </c>
      <c r="C8" s="248"/>
      <c r="D8" s="248"/>
      <c r="E8" s="248"/>
      <c r="F8" s="248"/>
      <c r="G8" s="248"/>
      <c r="H8" s="248"/>
      <c r="I8" s="248"/>
      <c r="J8" s="238"/>
      <c r="K8" s="238"/>
      <c r="L8" s="238"/>
    </row>
    <row r="9" spans="1:12" x14ac:dyDescent="0.2">
      <c r="A9" s="45"/>
      <c r="B9" s="248" t="s">
        <v>1639</v>
      </c>
      <c r="C9" s="248"/>
      <c r="D9" s="248"/>
      <c r="E9" s="248"/>
      <c r="F9" s="248"/>
      <c r="G9" s="248"/>
      <c r="H9" s="248"/>
      <c r="I9" s="248"/>
      <c r="J9" s="238"/>
      <c r="K9" s="238"/>
      <c r="L9" s="238"/>
    </row>
    <row r="10" spans="1:12" x14ac:dyDescent="0.2">
      <c r="A10" s="45"/>
      <c r="B10" s="248"/>
      <c r="C10" s="248"/>
      <c r="D10" s="248"/>
      <c r="E10" s="248"/>
      <c r="F10" s="248"/>
      <c r="G10" s="248"/>
      <c r="H10" s="588" t="s">
        <v>1640</v>
      </c>
      <c r="I10" s="248"/>
      <c r="J10" s="238"/>
      <c r="K10" s="238"/>
      <c r="L10" s="238"/>
    </row>
    <row r="11" spans="1:12" ht="15" x14ac:dyDescent="0.25">
      <c r="A11" s="45"/>
      <c r="B11" s="248"/>
      <c r="C11" s="248"/>
      <c r="D11" s="248"/>
      <c r="E11" s="248"/>
      <c r="F11" s="248"/>
      <c r="G11" s="588" t="s">
        <v>201</v>
      </c>
      <c r="H11" s="1124" t="s">
        <v>1641</v>
      </c>
      <c r="I11" s="588" t="s">
        <v>363</v>
      </c>
      <c r="J11" s="238"/>
      <c r="K11" s="238"/>
      <c r="L11" s="238"/>
    </row>
    <row r="12" spans="1:12" x14ac:dyDescent="0.2">
      <c r="A12" s="1036" t="s">
        <v>369</v>
      </c>
      <c r="B12" s="248"/>
      <c r="C12" s="248"/>
      <c r="D12" s="248"/>
      <c r="E12" s="248"/>
      <c r="F12" s="248"/>
      <c r="G12" s="589" t="s">
        <v>326</v>
      </c>
      <c r="H12" s="589" t="s">
        <v>326</v>
      </c>
      <c r="I12" s="589" t="s">
        <v>1642</v>
      </c>
      <c r="J12" s="238"/>
      <c r="K12" s="238"/>
      <c r="L12" s="238"/>
    </row>
    <row r="13" spans="1:12" x14ac:dyDescent="0.2">
      <c r="A13" s="115">
        <v>1</v>
      </c>
      <c r="B13" s="248" t="s">
        <v>1643</v>
      </c>
      <c r="C13" s="248"/>
      <c r="D13" s="248"/>
      <c r="E13" s="248"/>
      <c r="F13" s="248"/>
      <c r="G13" s="590" t="s">
        <v>255</v>
      </c>
      <c r="H13" s="590" t="s">
        <v>255</v>
      </c>
      <c r="I13" s="1016" t="s">
        <v>257</v>
      </c>
      <c r="J13" s="238"/>
      <c r="K13" s="238"/>
      <c r="L13" s="238"/>
    </row>
    <row r="14" spans="1:12" x14ac:dyDescent="0.2">
      <c r="A14" s="115">
        <f>A13+1</f>
        <v>2</v>
      </c>
      <c r="B14" s="248" t="s">
        <v>1644</v>
      </c>
      <c r="C14" s="248"/>
      <c r="D14" s="248"/>
      <c r="E14" s="248"/>
      <c r="F14" s="248"/>
      <c r="G14" s="590" t="s">
        <v>255</v>
      </c>
      <c r="H14" s="590" t="s">
        <v>255</v>
      </c>
      <c r="I14" s="590" t="s">
        <v>255</v>
      </c>
      <c r="J14" s="238"/>
      <c r="K14" s="238"/>
      <c r="L14" s="238"/>
    </row>
    <row r="15" spans="1:12" x14ac:dyDescent="0.2">
      <c r="A15" s="115">
        <f>A14+1</f>
        <v>3</v>
      </c>
      <c r="B15" s="248" t="s">
        <v>1953</v>
      </c>
      <c r="C15" s="248"/>
      <c r="D15" s="248"/>
      <c r="E15" s="248"/>
      <c r="F15" s="248"/>
      <c r="G15" s="590" t="s">
        <v>255</v>
      </c>
      <c r="H15" s="590" t="s">
        <v>255</v>
      </c>
      <c r="I15" s="590" t="s">
        <v>255</v>
      </c>
      <c r="J15" s="238"/>
      <c r="K15" s="238"/>
      <c r="L15" s="238"/>
    </row>
    <row r="16" spans="1:12" x14ac:dyDescent="0.2">
      <c r="A16" s="115">
        <f>A15+1</f>
        <v>4</v>
      </c>
      <c r="B16" s="248" t="s">
        <v>1645</v>
      </c>
      <c r="C16" s="248"/>
      <c r="D16" s="248"/>
      <c r="E16" s="248"/>
      <c r="F16" s="248"/>
      <c r="G16" s="590" t="s">
        <v>255</v>
      </c>
      <c r="H16" s="590" t="s">
        <v>255</v>
      </c>
      <c r="I16" s="590" t="s">
        <v>257</v>
      </c>
      <c r="J16" s="238"/>
      <c r="K16" s="238"/>
      <c r="L16" s="238"/>
    </row>
    <row r="17" spans="1:12" x14ac:dyDescent="0.2">
      <c r="A17" s="115">
        <f>A16+1</f>
        <v>5</v>
      </c>
      <c r="B17" s="248" t="s">
        <v>1646</v>
      </c>
      <c r="C17" s="248"/>
      <c r="D17" s="248"/>
      <c r="E17" s="248"/>
      <c r="F17" s="248"/>
      <c r="G17" s="590" t="s">
        <v>257</v>
      </c>
      <c r="H17" s="590" t="s">
        <v>255</v>
      </c>
      <c r="I17" s="590" t="s">
        <v>257</v>
      </c>
      <c r="J17" s="238"/>
      <c r="K17" s="238"/>
      <c r="L17" s="238"/>
    </row>
    <row r="18" spans="1:12" x14ac:dyDescent="0.2">
      <c r="A18" s="115">
        <f>A17+1</f>
        <v>6</v>
      </c>
      <c r="B18" s="248" t="s">
        <v>2745</v>
      </c>
      <c r="C18" s="248"/>
      <c r="D18" s="248"/>
      <c r="E18" s="248"/>
      <c r="F18" s="248"/>
      <c r="G18" s="590" t="s">
        <v>257</v>
      </c>
      <c r="H18" s="590" t="s">
        <v>255</v>
      </c>
      <c r="I18" s="590" t="s">
        <v>257</v>
      </c>
      <c r="J18" s="238"/>
      <c r="K18" s="238"/>
      <c r="L18" s="238"/>
    </row>
    <row r="19" spans="1:12" x14ac:dyDescent="0.2">
      <c r="A19" s="238"/>
      <c r="B19" s="238"/>
      <c r="C19" s="591"/>
      <c r="D19" s="248"/>
      <c r="E19" s="248"/>
      <c r="F19" s="248"/>
      <c r="G19" s="238"/>
      <c r="H19" s="238"/>
      <c r="I19" s="238"/>
      <c r="J19" s="238"/>
      <c r="K19" s="238"/>
      <c r="L19" s="238"/>
    </row>
    <row r="20" spans="1:12" x14ac:dyDescent="0.2">
      <c r="A20" s="238"/>
      <c r="B20" s="456" t="s">
        <v>1647</v>
      </c>
      <c r="C20" s="396"/>
      <c r="D20" s="248"/>
      <c r="E20" s="248"/>
      <c r="F20" s="248"/>
      <c r="G20" s="238"/>
      <c r="H20" s="238"/>
      <c r="I20" s="238"/>
      <c r="J20" s="238"/>
      <c r="K20" s="238"/>
      <c r="L20" s="238"/>
    </row>
    <row r="21" spans="1:12" x14ac:dyDescent="0.2">
      <c r="A21" s="238"/>
      <c r="B21" s="456"/>
      <c r="C21" s="396"/>
      <c r="D21" s="248"/>
      <c r="E21" s="248"/>
      <c r="F21" s="248"/>
      <c r="G21" s="238"/>
      <c r="H21" s="238"/>
      <c r="I21" s="238"/>
      <c r="J21" s="238"/>
      <c r="K21" s="238"/>
      <c r="L21" s="238"/>
    </row>
    <row r="22" spans="1:12" x14ac:dyDescent="0.2">
      <c r="A22" s="238"/>
      <c r="B22" s="592" t="s">
        <v>1648</v>
      </c>
      <c r="C22" s="398"/>
      <c r="D22" s="248"/>
      <c r="E22" s="248"/>
      <c r="F22" s="248"/>
      <c r="G22" s="238"/>
      <c r="H22" s="238"/>
      <c r="I22" s="238"/>
      <c r="J22" s="238"/>
      <c r="K22" s="238"/>
      <c r="L22" s="238"/>
    </row>
    <row r="23" spans="1:12" x14ac:dyDescent="0.2">
      <c r="A23" s="238"/>
      <c r="B23" s="258" t="s">
        <v>1649</v>
      </c>
      <c r="C23" s="398"/>
      <c r="D23" s="248"/>
      <c r="E23" s="248"/>
      <c r="F23" s="248"/>
      <c r="G23" s="238"/>
      <c r="H23" s="238"/>
      <c r="I23" s="238"/>
      <c r="J23" s="238"/>
      <c r="K23" s="238"/>
      <c r="L23" s="238"/>
    </row>
    <row r="24" spans="1:12" x14ac:dyDescent="0.2">
      <c r="A24" s="238"/>
      <c r="B24" s="258" t="s">
        <v>1650</v>
      </c>
      <c r="C24" s="238"/>
      <c r="D24" s="238"/>
      <c r="E24" s="238"/>
      <c r="F24" s="238"/>
      <c r="G24" s="238"/>
      <c r="H24" s="238"/>
      <c r="I24" s="238"/>
      <c r="J24" s="238"/>
      <c r="K24" s="238"/>
      <c r="L24" s="238"/>
    </row>
    <row r="25" spans="1:12" x14ac:dyDescent="0.2">
      <c r="A25" s="238"/>
      <c r="B25" s="238"/>
      <c r="C25" s="238"/>
      <c r="D25" s="238"/>
      <c r="E25" s="238"/>
      <c r="F25" s="238"/>
      <c r="G25" s="238"/>
      <c r="H25" s="86" t="s">
        <v>403</v>
      </c>
      <c r="I25" s="86" t="s">
        <v>387</v>
      </c>
      <c r="J25" s="238"/>
      <c r="K25" s="238"/>
      <c r="L25" s="238"/>
    </row>
    <row r="26" spans="1:12" x14ac:dyDescent="0.2">
      <c r="A26" s="238"/>
      <c r="B26" s="238"/>
      <c r="C26" s="238"/>
      <c r="D26" s="238"/>
      <c r="E26" s="238"/>
      <c r="F26" s="238"/>
      <c r="G26" s="238"/>
      <c r="H26" s="593" t="s">
        <v>1651</v>
      </c>
      <c r="I26" s="238"/>
      <c r="J26" s="238"/>
      <c r="K26" s="238"/>
      <c r="L26" s="238"/>
    </row>
    <row r="27" spans="1:12" x14ac:dyDescent="0.2">
      <c r="A27" s="238"/>
      <c r="B27" s="238"/>
      <c r="C27" s="238"/>
      <c r="D27" s="238"/>
      <c r="E27" s="238"/>
      <c r="F27" s="238"/>
      <c r="G27" s="238"/>
      <c r="H27" s="593" t="s">
        <v>326</v>
      </c>
      <c r="I27" s="241" t="s">
        <v>1652</v>
      </c>
      <c r="J27" s="238"/>
      <c r="K27" s="238"/>
      <c r="L27" s="238"/>
    </row>
    <row r="28" spans="1:12" x14ac:dyDescent="0.2">
      <c r="A28" s="238"/>
      <c r="B28" s="238"/>
      <c r="C28" s="238"/>
      <c r="D28" s="238"/>
      <c r="E28" s="238"/>
      <c r="F28" s="238"/>
      <c r="G28" s="26" t="s">
        <v>222</v>
      </c>
      <c r="H28" s="241" t="s">
        <v>1653</v>
      </c>
      <c r="I28" s="241" t="s">
        <v>1654</v>
      </c>
      <c r="J28" s="238"/>
      <c r="K28" s="238"/>
      <c r="L28" s="238"/>
    </row>
    <row r="29" spans="1:12" ht="15" x14ac:dyDescent="0.25">
      <c r="A29" s="53"/>
      <c r="B29" s="238"/>
      <c r="C29" s="238"/>
      <c r="D29" s="238"/>
      <c r="E29" s="238"/>
      <c r="F29" s="238"/>
      <c r="G29" s="25" t="s">
        <v>207</v>
      </c>
      <c r="H29" s="594" t="s">
        <v>1655</v>
      </c>
      <c r="I29" s="253" t="s">
        <v>1641</v>
      </c>
      <c r="J29" s="386"/>
      <c r="K29" s="238"/>
      <c r="L29" s="238"/>
    </row>
    <row r="30" spans="1:12" x14ac:dyDescent="0.2">
      <c r="A30" s="115">
        <f>A18+1</f>
        <v>7</v>
      </c>
      <c r="B30" s="238"/>
      <c r="C30" s="238" t="s">
        <v>1656</v>
      </c>
      <c r="D30" s="238"/>
      <c r="E30" s="238"/>
      <c r="F30" s="238"/>
      <c r="G30" s="13" t="s">
        <v>1657</v>
      </c>
      <c r="H30" s="242">
        <v>31556000</v>
      </c>
      <c r="I30" s="240">
        <v>-2176300</v>
      </c>
      <c r="J30" s="238"/>
      <c r="K30" s="238"/>
      <c r="L30" s="238"/>
    </row>
    <row r="31" spans="1:12" x14ac:dyDescent="0.2">
      <c r="A31" s="115">
        <f>A30+1</f>
        <v>8</v>
      </c>
      <c r="B31" s="238"/>
      <c r="C31" s="238" t="s">
        <v>1658</v>
      </c>
      <c r="D31" s="238"/>
      <c r="E31" s="238"/>
      <c r="F31" s="238"/>
      <c r="G31" s="13" t="s">
        <v>1657</v>
      </c>
      <c r="H31" s="240">
        <v>-35044000</v>
      </c>
      <c r="I31" s="240">
        <v>2503000</v>
      </c>
      <c r="J31" s="238"/>
      <c r="K31" s="238"/>
      <c r="L31" s="238"/>
    </row>
    <row r="32" spans="1:12" x14ac:dyDescent="0.2">
      <c r="A32" s="115">
        <f>A31+1</f>
        <v>9</v>
      </c>
      <c r="B32" s="248"/>
      <c r="C32" s="248" t="s">
        <v>1954</v>
      </c>
      <c r="D32" s="248"/>
      <c r="E32" s="248"/>
      <c r="F32" s="248"/>
      <c r="G32" s="47" t="s">
        <v>1657</v>
      </c>
      <c r="H32" s="242">
        <v>-624650</v>
      </c>
      <c r="I32" s="242">
        <v>43100</v>
      </c>
      <c r="J32" s="238"/>
      <c r="K32" s="238"/>
      <c r="L32" s="238"/>
    </row>
    <row r="33" spans="1:12" x14ac:dyDescent="0.2">
      <c r="A33" s="115">
        <f>A32+1</f>
        <v>10</v>
      </c>
      <c r="B33" s="238"/>
      <c r="C33" s="238" t="s">
        <v>1659</v>
      </c>
      <c r="D33" s="238"/>
      <c r="E33" s="238"/>
      <c r="F33" s="238"/>
      <c r="G33" s="13" t="s">
        <v>1657</v>
      </c>
      <c r="H33" s="385">
        <v>-7410000</v>
      </c>
      <c r="I33" s="595">
        <v>511200</v>
      </c>
      <c r="J33" s="238"/>
      <c r="K33" s="238"/>
      <c r="L33" s="238"/>
    </row>
    <row r="34" spans="1:12" x14ac:dyDescent="0.2">
      <c r="A34" s="115">
        <f>A33+1</f>
        <v>11</v>
      </c>
      <c r="B34" s="238"/>
      <c r="C34" s="238"/>
      <c r="D34" s="238"/>
      <c r="E34" s="238"/>
      <c r="G34" s="239" t="s">
        <v>225</v>
      </c>
      <c r="H34" s="240">
        <f>SUM(H30:H33)</f>
        <v>-11522650</v>
      </c>
      <c r="I34" s="240">
        <f>SUM(I30:I33)</f>
        <v>881000</v>
      </c>
      <c r="J34" s="238"/>
      <c r="K34" s="238"/>
      <c r="L34" s="238"/>
    </row>
    <row r="35" spans="1:12" x14ac:dyDescent="0.2">
      <c r="A35" s="115"/>
      <c r="B35" s="238"/>
      <c r="C35" s="238"/>
      <c r="D35" s="238"/>
      <c r="E35" s="238"/>
      <c r="G35" s="239"/>
      <c r="H35" s="240"/>
      <c r="I35" s="240"/>
      <c r="J35" s="238"/>
      <c r="K35" s="238"/>
      <c r="L35" s="238"/>
    </row>
    <row r="36" spans="1:12" x14ac:dyDescent="0.2">
      <c r="A36" s="115"/>
      <c r="B36" s="592" t="s">
        <v>1660</v>
      </c>
      <c r="C36" s="238"/>
      <c r="D36" s="238"/>
      <c r="E36" s="238"/>
      <c r="G36" s="239"/>
      <c r="H36" s="240"/>
      <c r="I36" s="240"/>
      <c r="J36" s="238"/>
      <c r="K36" s="238"/>
      <c r="L36" s="238"/>
    </row>
    <row r="37" spans="1:12" x14ac:dyDescent="0.2">
      <c r="A37" s="115"/>
      <c r="B37" s="258" t="s">
        <v>2100</v>
      </c>
      <c r="C37" s="238"/>
      <c r="D37" s="238"/>
      <c r="E37" s="238"/>
      <c r="G37" s="239"/>
      <c r="H37" s="240"/>
      <c r="I37" s="240"/>
      <c r="J37" s="238"/>
      <c r="K37" s="238"/>
      <c r="L37" s="238"/>
    </row>
    <row r="38" spans="1:12" x14ac:dyDescent="0.2">
      <c r="A38" s="115"/>
      <c r="B38" s="258" t="s">
        <v>1661</v>
      </c>
      <c r="C38" s="238"/>
      <c r="D38" s="238"/>
      <c r="E38" s="238"/>
      <c r="G38" s="239"/>
      <c r="H38" s="240"/>
      <c r="I38" s="240"/>
      <c r="J38" s="238"/>
      <c r="K38" s="238"/>
      <c r="L38" s="238"/>
    </row>
    <row r="39" spans="1:12" x14ac:dyDescent="0.2">
      <c r="A39" s="588"/>
      <c r="B39" s="238"/>
      <c r="C39" s="238"/>
      <c r="D39" s="238"/>
      <c r="E39" s="238"/>
      <c r="F39" s="238"/>
      <c r="G39" s="26" t="s">
        <v>222</v>
      </c>
      <c r="H39" s="238"/>
      <c r="I39" s="238"/>
      <c r="J39" s="238"/>
      <c r="K39" s="238"/>
      <c r="L39" s="238"/>
    </row>
    <row r="40" spans="1:12" x14ac:dyDescent="0.2">
      <c r="A40" s="588"/>
      <c r="B40" s="596"/>
      <c r="C40" s="396"/>
      <c r="D40" s="248"/>
      <c r="E40" s="248"/>
      <c r="F40" s="248"/>
      <c r="G40" s="25" t="s">
        <v>207</v>
      </c>
      <c r="H40" s="3" t="s">
        <v>199</v>
      </c>
      <c r="I40" s="597" t="s">
        <v>1662</v>
      </c>
      <c r="J40" s="238"/>
      <c r="K40" s="238"/>
      <c r="L40" s="238"/>
    </row>
    <row r="41" spans="1:12" x14ac:dyDescent="0.2">
      <c r="A41" s="115">
        <f>A34+1</f>
        <v>12</v>
      </c>
      <c r="B41" s="258" t="s">
        <v>1663</v>
      </c>
      <c r="C41" s="238"/>
      <c r="D41" s="238"/>
      <c r="E41" s="248"/>
      <c r="F41" s="238"/>
      <c r="G41" s="599" t="str">
        <f>"2-IFPTRR Line "&amp;'2-IFPTRR'!A25&amp;""</f>
        <v>2-IFPTRR Line 16</v>
      </c>
      <c r="H41" s="384">
        <f>'2-IFPTRR'!D25</f>
        <v>0.11210486178555115</v>
      </c>
      <c r="I41" s="260">
        <v>1</v>
      </c>
      <c r="J41" s="238"/>
      <c r="K41" s="238"/>
      <c r="L41" s="238"/>
    </row>
    <row r="42" spans="1:12" x14ac:dyDescent="0.2">
      <c r="A42" s="115">
        <f>A41+1</f>
        <v>13</v>
      </c>
      <c r="B42" s="258" t="s">
        <v>73</v>
      </c>
      <c r="C42" s="238"/>
      <c r="D42" s="238"/>
      <c r="E42" s="248"/>
      <c r="F42" s="238"/>
      <c r="G42" s="258"/>
      <c r="H42" s="598">
        <v>2011</v>
      </c>
      <c r="I42" s="260">
        <v>2</v>
      </c>
      <c r="J42" s="238"/>
      <c r="K42" s="238"/>
      <c r="L42" s="238"/>
    </row>
    <row r="43" spans="1:12" x14ac:dyDescent="0.2">
      <c r="A43" s="115">
        <f>A42+1</f>
        <v>14</v>
      </c>
      <c r="B43" s="258" t="s">
        <v>1664</v>
      </c>
      <c r="C43" s="238"/>
      <c r="D43" s="238"/>
      <c r="E43" s="238"/>
      <c r="F43" s="238"/>
      <c r="G43" s="240"/>
      <c r="H43" s="240">
        <f>H34+ (I34*(H42-2010))</f>
        <v>-10641650</v>
      </c>
      <c r="I43" s="260">
        <v>3</v>
      </c>
      <c r="J43" s="238"/>
      <c r="K43" s="238"/>
      <c r="L43" s="238"/>
    </row>
    <row r="44" spans="1:12" x14ac:dyDescent="0.2">
      <c r="A44" s="115">
        <f>A43+1</f>
        <v>15</v>
      </c>
      <c r="B44" s="258" t="s">
        <v>1665</v>
      </c>
      <c r="C44" s="396"/>
      <c r="D44" s="248"/>
      <c r="E44" s="248"/>
      <c r="F44" s="248"/>
      <c r="G44" s="13" t="str">
        <f>"Line "&amp;A43&amp;" * Line "&amp;A41&amp;""</f>
        <v>Line 14 * Line 12</v>
      </c>
      <c r="H44" s="240">
        <f xml:space="preserve"> H43*H41</f>
        <v>-1192980.7024202105</v>
      </c>
      <c r="I44" s="238"/>
      <c r="J44" s="238"/>
      <c r="K44" s="238"/>
      <c r="L44" s="238"/>
    </row>
    <row r="45" spans="1:12" x14ac:dyDescent="0.2">
      <c r="L45" s="238"/>
    </row>
    <row r="46" spans="1:12" x14ac:dyDescent="0.2">
      <c r="B46" s="456" t="s">
        <v>1959</v>
      </c>
      <c r="L46" s="238"/>
    </row>
    <row r="47" spans="1:12" x14ac:dyDescent="0.2">
      <c r="L47" s="238"/>
    </row>
    <row r="48" spans="1:12" x14ac:dyDescent="0.2">
      <c r="B48" s="238" t="str">
        <f>"The annual Wholesale Expense Difference impact is the negative of amounts stated in Lines "&amp;A30&amp;" to "&amp;A33&amp;" above, Column 2."</f>
        <v>The annual Wholesale Expense Difference impact is the negative of amounts stated in Lines 7 to 10 above, Column 2.</v>
      </c>
      <c r="L48" s="238"/>
    </row>
    <row r="49" spans="1:12" x14ac:dyDescent="0.2">
      <c r="B49" s="238" t="s">
        <v>1692</v>
      </c>
      <c r="L49" s="238"/>
    </row>
    <row r="50" spans="1:12" x14ac:dyDescent="0.2">
      <c r="A50" s="238"/>
      <c r="B50" s="238" t="s">
        <v>2101</v>
      </c>
      <c r="C50" s="238"/>
      <c r="D50" s="238"/>
      <c r="E50" s="238"/>
      <c r="F50" s="238"/>
      <c r="G50" s="238"/>
      <c r="H50" s="238"/>
      <c r="I50" s="238"/>
      <c r="J50" s="238"/>
      <c r="K50" s="238"/>
      <c r="L50" s="238"/>
    </row>
    <row r="52" spans="1:12" x14ac:dyDescent="0.2">
      <c r="A52" s="238"/>
      <c r="B52" s="72" t="s">
        <v>1666</v>
      </c>
      <c r="C52" s="238"/>
      <c r="D52" s="238"/>
      <c r="E52" s="238"/>
      <c r="F52" s="238"/>
      <c r="G52" s="238"/>
      <c r="H52" s="238"/>
      <c r="I52" s="238"/>
      <c r="J52" s="238"/>
      <c r="K52" s="238"/>
      <c r="L52" s="238"/>
    </row>
    <row r="53" spans="1:12" x14ac:dyDescent="0.2">
      <c r="A53" s="238"/>
      <c r="B53" s="238"/>
      <c r="C53" s="238"/>
      <c r="D53" s="238"/>
      <c r="E53" s="238"/>
      <c r="F53" s="238"/>
      <c r="G53" s="26"/>
      <c r="H53" s="238"/>
      <c r="I53" s="238"/>
      <c r="J53" s="238"/>
      <c r="K53" s="238"/>
      <c r="L53" s="238"/>
    </row>
    <row r="54" spans="1:12" x14ac:dyDescent="0.2">
      <c r="B54" s="238"/>
      <c r="C54" s="238"/>
      <c r="D54" s="238"/>
      <c r="E54" s="238"/>
      <c r="F54" s="238"/>
      <c r="G54" s="25" t="s">
        <v>207</v>
      </c>
      <c r="H54" s="3" t="s">
        <v>199</v>
      </c>
      <c r="I54" s="238"/>
      <c r="J54" s="386"/>
      <c r="K54" s="238"/>
      <c r="L54" s="238"/>
    </row>
    <row r="55" spans="1:12" x14ac:dyDescent="0.2">
      <c r="A55" s="115">
        <f>A44+1</f>
        <v>16</v>
      </c>
      <c r="B55" s="599" t="s">
        <v>1667</v>
      </c>
      <c r="C55" s="248"/>
      <c r="D55" s="248"/>
      <c r="E55" s="248"/>
      <c r="F55" s="248"/>
      <c r="G55" s="47" t="str">
        <f>"Line "&amp;A31&amp;""</f>
        <v>Line 8</v>
      </c>
      <c r="H55" s="242">
        <f>I31</f>
        <v>2503000</v>
      </c>
      <c r="I55" s="238"/>
      <c r="J55" s="238"/>
      <c r="K55" s="238"/>
      <c r="L55" s="238"/>
    </row>
    <row r="56" spans="1:12" x14ac:dyDescent="0.2">
      <c r="A56" s="115">
        <f>A55+1</f>
        <v>17</v>
      </c>
      <c r="B56" s="47" t="s">
        <v>328</v>
      </c>
      <c r="C56" s="248"/>
      <c r="D56" s="248"/>
      <c r="E56" s="248"/>
      <c r="F56" s="248"/>
      <c r="G56" s="599" t="str">
        <f>"1-BaseTRR L "&amp;'1-BaseTRR'!A102&amp;""</f>
        <v>1-BaseTRR L 58</v>
      </c>
      <c r="H56" s="1029">
        <f>'1-BaseTRR'!K102</f>
        <v>0.40886310376909896</v>
      </c>
      <c r="I56" s="238"/>
      <c r="J56" s="238"/>
      <c r="K56" s="238"/>
      <c r="L56" s="238"/>
    </row>
    <row r="57" spans="1:12" x14ac:dyDescent="0.2">
      <c r="A57" s="115">
        <f>A56+1</f>
        <v>18</v>
      </c>
      <c r="B57" s="47" t="s">
        <v>1691</v>
      </c>
      <c r="C57" s="248"/>
      <c r="D57" s="248"/>
      <c r="E57" s="248"/>
      <c r="F57" s="248"/>
      <c r="G57" s="71" t="s">
        <v>327</v>
      </c>
      <c r="H57" s="1126">
        <f>1/(1-H56)</f>
        <v>1.691655530852527</v>
      </c>
      <c r="I57" s="238"/>
      <c r="J57" s="238"/>
      <c r="K57" s="238"/>
      <c r="L57" s="238"/>
    </row>
    <row r="58" spans="1:12" x14ac:dyDescent="0.2">
      <c r="A58" s="115">
        <f>A57+1</f>
        <v>19</v>
      </c>
      <c r="B58" s="47" t="s">
        <v>371</v>
      </c>
      <c r="C58" s="248"/>
      <c r="D58" s="248"/>
      <c r="E58" s="248"/>
      <c r="F58" s="248"/>
      <c r="G58" s="248"/>
      <c r="H58" s="248"/>
      <c r="I58" s="238"/>
      <c r="J58" s="238"/>
      <c r="K58" s="238"/>
      <c r="L58" s="238"/>
    </row>
    <row r="59" spans="1:12" x14ac:dyDescent="0.2">
      <c r="A59" s="115">
        <f>A58+1</f>
        <v>20</v>
      </c>
      <c r="B59" s="47" t="s">
        <v>370</v>
      </c>
      <c r="C59" s="248"/>
      <c r="D59" s="248"/>
      <c r="E59" s="248"/>
      <c r="F59" s="248"/>
      <c r="G59" s="47" t="str">
        <f>"- Line "&amp;A55&amp;" * Line "&amp;A57&amp;""</f>
        <v>- Line 16 * Line 18</v>
      </c>
      <c r="H59" s="1077">
        <f>-H57*H55</f>
        <v>-4234213.7937238747</v>
      </c>
      <c r="I59" s="238"/>
      <c r="J59" s="238"/>
      <c r="K59" s="238"/>
      <c r="L59" s="238"/>
    </row>
    <row r="60" spans="1:12" x14ac:dyDescent="0.2">
      <c r="A60" s="14"/>
      <c r="B60" s="14"/>
      <c r="C60" s="14"/>
      <c r="D60" s="14"/>
      <c r="E60" s="14"/>
      <c r="F60" s="14"/>
      <c r="G60" s="14"/>
      <c r="H60" s="14"/>
    </row>
    <row r="61" spans="1:12" x14ac:dyDescent="0.2">
      <c r="A61" s="14"/>
      <c r="B61" s="1037" t="s">
        <v>1956</v>
      </c>
      <c r="C61" s="14"/>
      <c r="D61" s="14"/>
      <c r="E61" s="14"/>
      <c r="F61" s="14"/>
      <c r="G61" s="14"/>
      <c r="H61" s="14"/>
    </row>
    <row r="62" spans="1:12" x14ac:dyDescent="0.2">
      <c r="A62" s="14"/>
      <c r="B62" s="14"/>
      <c r="C62" s="14"/>
      <c r="D62" s="14"/>
      <c r="E62" s="14"/>
      <c r="F62" s="14"/>
      <c r="G62" s="14"/>
      <c r="H62" s="14"/>
    </row>
    <row r="63" spans="1:12" x14ac:dyDescent="0.2">
      <c r="A63" s="14"/>
      <c r="B63" s="14"/>
      <c r="C63" s="14"/>
      <c r="D63" s="14"/>
      <c r="E63" s="14"/>
      <c r="F63" s="14"/>
      <c r="G63" s="29" t="s">
        <v>207</v>
      </c>
      <c r="H63" s="129" t="s">
        <v>199</v>
      </c>
    </row>
    <row r="64" spans="1:12" x14ac:dyDescent="0.2">
      <c r="A64" s="115">
        <f>A59+1</f>
        <v>21</v>
      </c>
      <c r="B64" s="599" t="s">
        <v>1955</v>
      </c>
      <c r="C64" s="14"/>
      <c r="D64" s="14"/>
      <c r="E64" s="14"/>
      <c r="F64" s="14"/>
      <c r="G64" s="47" t="str">
        <f>"Line "&amp;A32&amp;""</f>
        <v>Line 9</v>
      </c>
      <c r="H64" s="65">
        <f>I32</f>
        <v>43100</v>
      </c>
    </row>
    <row r="65" spans="1:12" x14ac:dyDescent="0.2">
      <c r="A65" s="115">
        <f>A64+1</f>
        <v>22</v>
      </c>
      <c r="B65" s="47" t="s">
        <v>1691</v>
      </c>
      <c r="C65" s="248"/>
      <c r="D65" s="248"/>
      <c r="E65" s="248"/>
      <c r="F65" s="248"/>
      <c r="G65" s="47" t="str">
        <f>"Line "&amp;A57&amp;""</f>
        <v>Line 18</v>
      </c>
      <c r="H65" s="1126">
        <f>H57</f>
        <v>1.691655530852527</v>
      </c>
    </row>
    <row r="66" spans="1:12" x14ac:dyDescent="0.2">
      <c r="A66" s="115">
        <f>A65+1</f>
        <v>23</v>
      </c>
      <c r="B66" s="599" t="s">
        <v>1957</v>
      </c>
      <c r="C66" s="14"/>
      <c r="D66" s="14"/>
      <c r="E66" s="14"/>
      <c r="F66" s="14"/>
      <c r="G66" s="47" t="str">
        <f>"- Line "&amp;A64&amp;" * Line "&amp;A65&amp;""</f>
        <v>- Line 21 * Line 22</v>
      </c>
      <c r="H66" s="65">
        <f>-H64*H65</f>
        <v>-72910.353379743916</v>
      </c>
    </row>
    <row r="67" spans="1:12" x14ac:dyDescent="0.2">
      <c r="A67" s="115">
        <f t="shared" ref="A67:A74" si="0">A66+1</f>
        <v>24</v>
      </c>
      <c r="B67" s="599"/>
      <c r="C67" s="14"/>
      <c r="D67" s="14"/>
      <c r="E67" s="14"/>
      <c r="F67" s="14"/>
      <c r="G67" s="47"/>
      <c r="H67" s="65"/>
    </row>
    <row r="68" spans="1:12" x14ac:dyDescent="0.2">
      <c r="A68" s="115">
        <f t="shared" si="0"/>
        <v>25</v>
      </c>
      <c r="B68" s="1037" t="s">
        <v>2746</v>
      </c>
      <c r="C68" s="14"/>
      <c r="D68" s="14"/>
      <c r="E68" s="14"/>
      <c r="F68" s="14"/>
      <c r="G68" s="47"/>
      <c r="H68" s="65"/>
    </row>
    <row r="69" spans="1:12" x14ac:dyDescent="0.2">
      <c r="A69" s="115">
        <f t="shared" si="0"/>
        <v>26</v>
      </c>
      <c r="B69" s="599"/>
      <c r="C69" s="14"/>
      <c r="D69" s="14"/>
      <c r="E69" s="14"/>
      <c r="F69" s="14"/>
      <c r="G69" s="29" t="s">
        <v>207</v>
      </c>
      <c r="H69" s="65"/>
    </row>
    <row r="70" spans="1:12" x14ac:dyDescent="0.2">
      <c r="A70" s="115">
        <f t="shared" si="0"/>
        <v>27</v>
      </c>
      <c r="B70" s="599" t="s">
        <v>2454</v>
      </c>
      <c r="C70" s="14"/>
      <c r="D70" s="14"/>
      <c r="E70" s="14"/>
      <c r="F70" s="14"/>
      <c r="G70" s="625" t="s">
        <v>33</v>
      </c>
      <c r="H70" s="111">
        <v>2084516.25</v>
      </c>
    </row>
    <row r="71" spans="1:12" x14ac:dyDescent="0.2">
      <c r="A71" s="115">
        <f t="shared" si="0"/>
        <v>28</v>
      </c>
      <c r="B71" s="599" t="s">
        <v>2747</v>
      </c>
      <c r="C71" s="14"/>
      <c r="D71" s="14"/>
      <c r="E71" s="14"/>
      <c r="F71" s="14"/>
      <c r="G71" s="625" t="s">
        <v>33</v>
      </c>
      <c r="H71" s="111">
        <v>1446992</v>
      </c>
    </row>
    <row r="72" spans="1:12" x14ac:dyDescent="0.2">
      <c r="A72" s="115">
        <f t="shared" si="0"/>
        <v>29</v>
      </c>
      <c r="B72" s="599" t="s">
        <v>2749</v>
      </c>
      <c r="C72" s="14"/>
      <c r="D72" s="14"/>
      <c r="E72" s="14"/>
      <c r="F72" s="14"/>
      <c r="G72" s="1065" t="str">
        <f>"Line "&amp;A70&amp;" + "&amp;A71&amp;""</f>
        <v>Line 27 + 28</v>
      </c>
      <c r="H72" s="1104">
        <f>SUM(H70:H71)</f>
        <v>3531508.25</v>
      </c>
    </row>
    <row r="73" spans="1:12" x14ac:dyDescent="0.2">
      <c r="A73" s="115">
        <f t="shared" si="0"/>
        <v>30</v>
      </c>
      <c r="B73" s="599" t="s">
        <v>105</v>
      </c>
      <c r="C73" s="14"/>
      <c r="D73" s="14"/>
      <c r="E73" s="14"/>
      <c r="F73" s="14"/>
      <c r="G73" s="599" t="str">
        <f>"27-Allocators, Line "&amp;'27-Allocators'!A15&amp;""</f>
        <v>27-Allocators, Line 9</v>
      </c>
      <c r="H73" s="50">
        <f>'27-Allocators'!G15</f>
        <v>3.9273273898169321E-2</v>
      </c>
    </row>
    <row r="74" spans="1:12" x14ac:dyDescent="0.2">
      <c r="A74" s="115">
        <f t="shared" si="0"/>
        <v>31</v>
      </c>
      <c r="B74" s="599" t="s">
        <v>2748</v>
      </c>
      <c r="C74" s="14"/>
      <c r="D74" s="14"/>
      <c r="E74" s="14"/>
      <c r="F74" s="14"/>
      <c r="G74" s="1065" t="str">
        <f>"Line "&amp;A72&amp;" * "&amp;A73&amp;""</f>
        <v>Line 29 * 30</v>
      </c>
      <c r="H74" s="65">
        <f>H72*H73</f>
        <v>138693.89077589463</v>
      </c>
    </row>
    <row r="76" spans="1:12" x14ac:dyDescent="0.2">
      <c r="A76" s="248"/>
      <c r="B76" s="1127" t="s">
        <v>2455</v>
      </c>
      <c r="C76" s="248"/>
      <c r="D76" s="248"/>
      <c r="E76" s="248"/>
      <c r="F76" s="248"/>
      <c r="G76" s="248"/>
      <c r="H76" s="248"/>
      <c r="I76" s="597" t="s">
        <v>1662</v>
      </c>
      <c r="J76" s="238"/>
      <c r="K76" s="238"/>
      <c r="L76" s="238"/>
    </row>
    <row r="77" spans="1:12" x14ac:dyDescent="0.2">
      <c r="A77" s="115">
        <f>A74+1</f>
        <v>32</v>
      </c>
      <c r="B77" s="591" t="s">
        <v>1976</v>
      </c>
      <c r="C77" s="248"/>
      <c r="D77" s="248"/>
      <c r="E77" s="248"/>
      <c r="F77" s="248"/>
      <c r="G77" s="599" t="str">
        <f>" - Line "&amp;A30&amp;", Col. 2"</f>
        <v xml:space="preserve"> - Line 7, Col. 2</v>
      </c>
      <c r="H77" s="242">
        <f>-I30</f>
        <v>2176300</v>
      </c>
      <c r="I77" s="238"/>
      <c r="J77" s="238"/>
      <c r="K77" s="238"/>
      <c r="L77" s="238"/>
    </row>
    <row r="78" spans="1:12" x14ac:dyDescent="0.2">
      <c r="A78" s="115">
        <f>A77+1</f>
        <v>33</v>
      </c>
      <c r="B78" s="591" t="s">
        <v>1658</v>
      </c>
      <c r="C78" s="248"/>
      <c r="D78" s="248"/>
      <c r="E78" s="248"/>
      <c r="F78" s="248"/>
      <c r="G78" s="599" t="str">
        <f>"Line "&amp;A59&amp;""</f>
        <v>Line 20</v>
      </c>
      <c r="H78" s="242">
        <f>H59</f>
        <v>-4234213.7937238747</v>
      </c>
      <c r="I78" s="238"/>
      <c r="J78" s="238"/>
      <c r="K78" s="238"/>
      <c r="L78" s="238"/>
    </row>
    <row r="79" spans="1:12" x14ac:dyDescent="0.2">
      <c r="A79" s="115">
        <f>A78+1</f>
        <v>34</v>
      </c>
      <c r="B79" s="591" t="s">
        <v>1954</v>
      </c>
      <c r="C79" s="248"/>
      <c r="D79" s="248"/>
      <c r="E79" s="248"/>
      <c r="F79" s="248"/>
      <c r="G79" s="599" t="str">
        <f>"Line "&amp;A66&amp;""</f>
        <v>Line 23</v>
      </c>
      <c r="H79" s="242">
        <f>H66</f>
        <v>-72910.353379743916</v>
      </c>
      <c r="I79" s="238"/>
      <c r="J79" s="238"/>
      <c r="K79" s="238"/>
      <c r="L79" s="238"/>
    </row>
    <row r="80" spans="1:12" x14ac:dyDescent="0.2">
      <c r="A80" s="115">
        <f>A79+1</f>
        <v>35</v>
      </c>
      <c r="B80" s="591" t="s">
        <v>1659</v>
      </c>
      <c r="C80" s="248"/>
      <c r="D80" s="248"/>
      <c r="E80" s="248"/>
      <c r="F80" s="248"/>
      <c r="G80" s="599" t="str">
        <f>"- Line "&amp;A33&amp;", Col. 2"</f>
        <v>- Line 10, Col. 2</v>
      </c>
      <c r="H80" s="242">
        <f>-I33</f>
        <v>-511200</v>
      </c>
      <c r="I80" s="238"/>
      <c r="J80" s="238"/>
      <c r="K80" s="238"/>
      <c r="L80" s="238"/>
    </row>
    <row r="81" spans="1:12" x14ac:dyDescent="0.2">
      <c r="A81" s="115">
        <f t="shared" ref="A81:A82" si="1">A80+1</f>
        <v>36</v>
      </c>
      <c r="B81" s="591" t="s">
        <v>2750</v>
      </c>
      <c r="C81" s="248"/>
      <c r="D81" s="248"/>
      <c r="E81" s="248"/>
      <c r="F81" s="248"/>
      <c r="G81" s="1065" t="str">
        <f>" - Line "&amp;A74&amp;""</f>
        <v xml:space="preserve"> - Line 31</v>
      </c>
      <c r="H81" s="595">
        <f>-H74</f>
        <v>-138693.89077589463</v>
      </c>
      <c r="I81" s="238"/>
      <c r="J81" s="238"/>
      <c r="K81" s="238"/>
      <c r="L81" s="238"/>
    </row>
    <row r="82" spans="1:12" x14ac:dyDescent="0.2">
      <c r="A82" s="115">
        <f t="shared" si="1"/>
        <v>37</v>
      </c>
      <c r="B82" s="248"/>
      <c r="C82" s="248"/>
      <c r="D82" s="248"/>
      <c r="E82" s="248"/>
      <c r="F82" s="248"/>
      <c r="G82" s="1024" t="s">
        <v>1668</v>
      </c>
      <c r="H82" s="242">
        <f>SUM(H77:H81)</f>
        <v>-2780718.0378795136</v>
      </c>
      <c r="I82" s="238"/>
      <c r="J82" s="238"/>
      <c r="K82" s="238"/>
      <c r="L82" s="238"/>
    </row>
    <row r="83" spans="1:12" x14ac:dyDescent="0.2">
      <c r="A83" s="248"/>
      <c r="B83" s="248"/>
      <c r="C83" s="248"/>
      <c r="D83" s="248"/>
      <c r="E83" s="248"/>
      <c r="F83" s="248"/>
      <c r="G83" s="248"/>
      <c r="H83" s="248"/>
      <c r="I83" s="238"/>
      <c r="J83" s="238"/>
      <c r="K83" s="238"/>
      <c r="L83" s="238"/>
    </row>
    <row r="84" spans="1:12" x14ac:dyDescent="0.2">
      <c r="A84" s="248"/>
      <c r="B84" s="1128" t="s">
        <v>1669</v>
      </c>
      <c r="C84" s="248"/>
      <c r="D84" s="248"/>
      <c r="E84" s="248"/>
      <c r="F84" s="248"/>
      <c r="G84" s="248"/>
      <c r="H84" s="248"/>
      <c r="I84" s="238"/>
      <c r="J84" s="238"/>
      <c r="K84" s="238"/>
      <c r="L84" s="238"/>
    </row>
    <row r="85" spans="1:12" x14ac:dyDescent="0.2">
      <c r="A85" s="248"/>
      <c r="B85" s="14"/>
      <c r="C85" s="248"/>
      <c r="D85" s="248"/>
      <c r="E85" s="248"/>
      <c r="F85" s="248"/>
      <c r="G85" s="29" t="s">
        <v>207</v>
      </c>
      <c r="H85" s="129" t="s">
        <v>199</v>
      </c>
      <c r="I85" s="238"/>
      <c r="J85" s="238"/>
      <c r="K85" s="238"/>
      <c r="L85" s="238"/>
    </row>
    <row r="86" spans="1:12" x14ac:dyDescent="0.2">
      <c r="A86" s="115">
        <f>A82+1</f>
        <v>38</v>
      </c>
      <c r="B86" s="1035" t="s">
        <v>1665</v>
      </c>
      <c r="C86" s="248"/>
      <c r="D86" s="248"/>
      <c r="E86" s="248"/>
      <c r="F86" s="248"/>
      <c r="G86" s="599" t="str">
        <f>"Line "&amp;A44&amp;""</f>
        <v>Line 15</v>
      </c>
      <c r="H86" s="242">
        <f>H44</f>
        <v>-1192980.7024202105</v>
      </c>
      <c r="I86" s="238"/>
      <c r="J86" s="238"/>
      <c r="K86" s="238"/>
      <c r="L86" s="238"/>
    </row>
    <row r="87" spans="1:12" x14ac:dyDescent="0.2">
      <c r="A87" s="115">
        <f>A86+1</f>
        <v>39</v>
      </c>
      <c r="B87" s="248" t="s">
        <v>1670</v>
      </c>
      <c r="C87" s="248"/>
      <c r="D87" s="248"/>
      <c r="E87" s="248"/>
      <c r="F87" s="248"/>
      <c r="G87" s="599" t="str">
        <f>"Line "&amp;A82&amp;""</f>
        <v>Line 37</v>
      </c>
      <c r="H87" s="242">
        <f>H82</f>
        <v>-2780718.0378795136</v>
      </c>
      <c r="I87" s="238"/>
      <c r="J87" s="238"/>
      <c r="K87" s="238"/>
      <c r="L87" s="238"/>
    </row>
    <row r="88" spans="1:12" x14ac:dyDescent="0.2">
      <c r="A88" s="115">
        <f>A87+1</f>
        <v>40</v>
      </c>
      <c r="B88" s="15" t="s">
        <v>1760</v>
      </c>
      <c r="C88" s="248"/>
      <c r="D88" s="248"/>
      <c r="E88" s="248"/>
      <c r="F88" s="248"/>
      <c r="G88" s="599" t="str">
        <f>"- 1-Base TRR, L "&amp;'1-BaseTRR'!A139&amp;""</f>
        <v>- 1-Base TRR, L 79</v>
      </c>
      <c r="H88" s="242">
        <f>-'1-BaseTRR'!K139</f>
        <v>-1384727.1127568891</v>
      </c>
      <c r="I88" s="238"/>
      <c r="J88" s="238"/>
      <c r="K88" s="238"/>
      <c r="L88" s="238"/>
    </row>
    <row r="89" spans="1:12" x14ac:dyDescent="0.2">
      <c r="A89" s="115">
        <f t="shared" ref="A89:A92" si="2">A88+1</f>
        <v>41</v>
      </c>
      <c r="B89" s="15" t="s">
        <v>1761</v>
      </c>
      <c r="C89" s="248"/>
      <c r="D89" s="248"/>
      <c r="E89" s="248"/>
      <c r="F89" s="248"/>
      <c r="G89" s="599" t="str">
        <f>"- 2-IFPTRR, L "&amp;'2-IFPTRR'!A89&amp;""</f>
        <v>- 2-IFPTRR, L 80</v>
      </c>
      <c r="H89" s="595">
        <f>-'2-IFPTRR'!D89</f>
        <v>-486719.22037242568</v>
      </c>
      <c r="I89" s="238"/>
      <c r="J89" s="238"/>
      <c r="K89" s="238"/>
      <c r="L89" s="238"/>
    </row>
    <row r="90" spans="1:12" x14ac:dyDescent="0.2">
      <c r="A90" s="115">
        <f t="shared" si="2"/>
        <v>42</v>
      </c>
      <c r="B90" s="15" t="s">
        <v>109</v>
      </c>
      <c r="C90" s="248"/>
      <c r="D90" s="248"/>
      <c r="E90" s="248"/>
      <c r="F90" s="248"/>
      <c r="G90" s="47" t="str">
        <f>"Sum Line "&amp;A86&amp;" to Line "&amp;A89&amp;""</f>
        <v>Sum Line 38 to Line 41</v>
      </c>
      <c r="H90" s="242">
        <f>SUM(H86:H89)</f>
        <v>-5845145.0734290387</v>
      </c>
      <c r="I90" s="238"/>
      <c r="J90" s="238"/>
      <c r="K90" s="238"/>
      <c r="L90" s="238"/>
    </row>
    <row r="91" spans="1:12" x14ac:dyDescent="0.2">
      <c r="A91" s="115">
        <f t="shared" si="2"/>
        <v>43</v>
      </c>
      <c r="B91" s="15" t="s">
        <v>1677</v>
      </c>
      <c r="C91" s="248"/>
      <c r="D91" s="248"/>
      <c r="E91" s="248"/>
      <c r="F91" s="248"/>
      <c r="G91" s="14"/>
      <c r="H91" s="595">
        <f>'28-FFU'!D22*SUM(H86+H87)</f>
        <v>-36314.838047851124</v>
      </c>
      <c r="I91" s="258" t="s">
        <v>1339</v>
      </c>
      <c r="J91" s="238"/>
      <c r="K91" s="238"/>
      <c r="L91" s="238"/>
    </row>
    <row r="92" spans="1:12" x14ac:dyDescent="0.2">
      <c r="A92" s="115">
        <f t="shared" si="2"/>
        <v>44</v>
      </c>
      <c r="B92" s="14" t="s">
        <v>1671</v>
      </c>
      <c r="C92" s="248"/>
      <c r="D92" s="248"/>
      <c r="E92" s="248"/>
      <c r="F92" s="248"/>
      <c r="G92" s="47" t="str">
        <f>"Line "&amp;A90&amp;" + Line "&amp;A91&amp;""</f>
        <v>Line 42 + Line 43</v>
      </c>
      <c r="H92" s="242">
        <f>H90+H91</f>
        <v>-5881459.9114768896</v>
      </c>
      <c r="I92" s="238"/>
      <c r="J92" s="238"/>
      <c r="K92" s="238"/>
      <c r="L92" s="238"/>
    </row>
    <row r="93" spans="1:12" x14ac:dyDescent="0.2">
      <c r="A93" s="238"/>
      <c r="C93" s="238"/>
      <c r="D93" s="238"/>
      <c r="E93" s="238"/>
      <c r="F93" s="238"/>
      <c r="G93" s="238"/>
      <c r="H93" s="238"/>
      <c r="I93" s="238"/>
      <c r="J93" s="238"/>
      <c r="K93" s="238"/>
      <c r="L93" s="238"/>
    </row>
    <row r="94" spans="1:12" x14ac:dyDescent="0.2">
      <c r="A94" s="238"/>
      <c r="B94" s="456" t="s">
        <v>1672</v>
      </c>
      <c r="C94" s="238"/>
      <c r="D94" s="238"/>
      <c r="E94" s="238"/>
      <c r="F94" s="238"/>
      <c r="G94" s="238"/>
      <c r="H94" s="238"/>
      <c r="I94" s="238"/>
      <c r="J94" s="238"/>
      <c r="K94" s="238"/>
      <c r="L94" s="238"/>
    </row>
    <row r="95" spans="1:12" x14ac:dyDescent="0.2">
      <c r="A95" s="238"/>
      <c r="B95" s="238" t="s">
        <v>1673</v>
      </c>
      <c r="C95" s="238"/>
      <c r="D95" s="238"/>
      <c r="E95" s="238"/>
      <c r="F95" s="238"/>
      <c r="G95" s="238"/>
      <c r="H95" s="238"/>
      <c r="I95" s="238"/>
      <c r="J95" s="238"/>
      <c r="K95" s="238"/>
      <c r="L95" s="238"/>
    </row>
    <row r="96" spans="1:12" x14ac:dyDescent="0.2">
      <c r="A96" s="238"/>
      <c r="B96" s="238" t="s">
        <v>1674</v>
      </c>
      <c r="C96" s="238"/>
      <c r="D96" s="238"/>
      <c r="E96" s="238"/>
      <c r="F96" s="238"/>
      <c r="G96" s="238"/>
      <c r="H96" s="238"/>
      <c r="I96" s="238"/>
      <c r="J96" s="238"/>
      <c r="K96" s="238"/>
      <c r="L96" s="238"/>
    </row>
    <row r="97" spans="1:12" x14ac:dyDescent="0.2">
      <c r="A97" s="238"/>
      <c r="B97" s="238" t="str">
        <f>"2) Input Prior Year for this Informational Filing in Line "&amp;A42&amp;"."</f>
        <v>2) Input Prior Year for this Informational Filing in Line 13.</v>
      </c>
      <c r="I97" s="238"/>
      <c r="J97" s="238"/>
      <c r="K97" s="238"/>
      <c r="L97" s="238"/>
    </row>
    <row r="98" spans="1:12" x14ac:dyDescent="0.2">
      <c r="A98" s="238"/>
      <c r="B98" s="238" t="str">
        <f>"3) Calculation: (Line "&amp;A34&amp;", "&amp;H25&amp;") + ((Line "&amp;A34&amp;", "&amp;I25&amp;") * (Line "&amp;A42&amp;" - 2010))."</f>
        <v>3) Calculation: (Line 11, Col 1) + ((Line 11, Col 2) * (Line 13 - 2010)).</v>
      </c>
      <c r="I98" s="238"/>
      <c r="J98" s="238"/>
      <c r="K98" s="238"/>
      <c r="L98" s="238"/>
    </row>
    <row r="99" spans="1:12" x14ac:dyDescent="0.2">
      <c r="A99" s="238"/>
      <c r="B99" s="238" t="str">
        <f>"4) Franchise Fee Exclusion is equal to the Franchise Fee Factor on the 28-FFU Line "&amp;'28-FFU'!A22&amp;""</f>
        <v>4) Franchise Fee Exclusion is equal to the Franchise Fee Factor on the 28-FFU Line 5</v>
      </c>
      <c r="C99" s="238"/>
      <c r="D99" s="238"/>
      <c r="E99" s="238"/>
      <c r="F99" s="238"/>
      <c r="G99" s="248"/>
      <c r="H99" s="238"/>
      <c r="I99" s="238"/>
      <c r="J99" s="238"/>
      <c r="K99" s="238"/>
      <c r="L99" s="238"/>
    </row>
    <row r="100" spans="1:12" x14ac:dyDescent="0.2">
      <c r="A100" s="238"/>
      <c r="B100" s="238" t="str">
        <f>"times Line "&amp;A86&amp;" + "&amp;A87&amp;"."</f>
        <v>times Line 38 + 39.</v>
      </c>
      <c r="C100" s="238"/>
      <c r="D100" s="238"/>
      <c r="E100" s="238"/>
      <c r="F100" s="238"/>
      <c r="G100" s="238"/>
      <c r="H100" s="238"/>
      <c r="I100" s="238"/>
      <c r="J100" s="238"/>
      <c r="K100" s="238"/>
      <c r="L100" s="238"/>
    </row>
    <row r="101" spans="1:12" x14ac:dyDescent="0.2">
      <c r="A101" s="238"/>
      <c r="B101" s="238"/>
      <c r="C101" s="238"/>
      <c r="D101" s="238"/>
      <c r="E101" s="238"/>
      <c r="F101" s="238"/>
      <c r="G101" s="238"/>
      <c r="H101" s="238"/>
      <c r="I101" s="238"/>
      <c r="J101" s="238"/>
      <c r="K101" s="238"/>
      <c r="L101" s="238"/>
    </row>
    <row r="102" spans="1:12" x14ac:dyDescent="0.2">
      <c r="A102" s="238"/>
      <c r="B102" s="238"/>
      <c r="C102" s="238"/>
      <c r="D102" s="238"/>
      <c r="E102" s="238"/>
      <c r="F102" s="238"/>
      <c r="G102" s="238"/>
      <c r="H102" s="238"/>
      <c r="I102" s="238"/>
      <c r="J102" s="238"/>
      <c r="K102" s="238"/>
      <c r="L102" s="238"/>
    </row>
    <row r="103" spans="1:12" x14ac:dyDescent="0.2">
      <c r="A103" s="238"/>
      <c r="B103" s="238"/>
      <c r="C103" s="238"/>
      <c r="D103" s="238"/>
      <c r="E103" s="238"/>
      <c r="F103" s="238"/>
      <c r="G103" s="238"/>
      <c r="H103" s="238"/>
      <c r="I103" s="238"/>
      <c r="J103" s="238"/>
      <c r="K103" s="238"/>
      <c r="L103" s="238"/>
    </row>
    <row r="104" spans="1:12" x14ac:dyDescent="0.2">
      <c r="A104" s="238"/>
      <c r="B104" s="238"/>
      <c r="C104" s="238"/>
      <c r="D104" s="238"/>
      <c r="E104" s="238"/>
      <c r="F104" s="238"/>
      <c r="G104" s="238"/>
      <c r="H104" s="238"/>
      <c r="I104" s="238"/>
      <c r="J104" s="238"/>
      <c r="K104" s="238"/>
      <c r="L104" s="238"/>
    </row>
    <row r="105" spans="1:12" x14ac:dyDescent="0.2">
      <c r="A105" s="238"/>
      <c r="B105" s="238"/>
      <c r="C105" s="238"/>
      <c r="D105" s="238"/>
      <c r="E105" s="238"/>
      <c r="F105" s="238"/>
      <c r="G105" s="238"/>
      <c r="H105" s="238"/>
      <c r="I105" s="238"/>
      <c r="J105" s="238"/>
      <c r="K105" s="238"/>
      <c r="L105" s="238"/>
    </row>
    <row r="106" spans="1:12" x14ac:dyDescent="0.2">
      <c r="A106" s="238"/>
      <c r="B106" s="238"/>
      <c r="C106" s="238"/>
      <c r="D106" s="238"/>
      <c r="E106" s="238"/>
      <c r="F106" s="238"/>
      <c r="G106" s="238"/>
      <c r="H106" s="238"/>
      <c r="I106" s="238"/>
      <c r="J106" s="238"/>
      <c r="K106" s="238"/>
      <c r="L106" s="238"/>
    </row>
    <row r="107" spans="1:12" x14ac:dyDescent="0.2">
      <c r="A107" s="238"/>
      <c r="B107" s="238"/>
      <c r="C107" s="238"/>
      <c r="D107" s="238"/>
      <c r="E107" s="238"/>
      <c r="F107" s="238"/>
      <c r="G107" s="238"/>
      <c r="H107" s="238"/>
      <c r="I107" s="238"/>
      <c r="J107" s="238"/>
      <c r="K107" s="238"/>
      <c r="L107" s="238"/>
    </row>
    <row r="108" spans="1:12" x14ac:dyDescent="0.2">
      <c r="A108" s="238"/>
      <c r="B108" s="238"/>
      <c r="C108" s="238"/>
      <c r="D108" s="238"/>
      <c r="E108" s="238"/>
      <c r="F108" s="238"/>
      <c r="G108" s="238"/>
      <c r="H108" s="238"/>
      <c r="I108" s="238"/>
      <c r="J108" s="238"/>
      <c r="K108" s="238"/>
      <c r="L108" s="238"/>
    </row>
    <row r="109" spans="1:12" x14ac:dyDescent="0.2">
      <c r="A109" s="238"/>
      <c r="B109" s="238"/>
      <c r="C109" s="238"/>
      <c r="D109" s="238"/>
      <c r="E109" s="238"/>
      <c r="F109" s="238"/>
      <c r="G109" s="238"/>
      <c r="H109" s="238"/>
      <c r="I109" s="238"/>
      <c r="J109" s="238"/>
      <c r="K109" s="238"/>
      <c r="L109" s="238"/>
    </row>
    <row r="110" spans="1:12" x14ac:dyDescent="0.2">
      <c r="A110" s="238"/>
      <c r="B110" s="238"/>
      <c r="C110" s="238"/>
      <c r="D110" s="238"/>
      <c r="E110" s="238"/>
      <c r="F110" s="238"/>
      <c r="G110" s="238"/>
      <c r="H110" s="238"/>
      <c r="I110" s="238"/>
      <c r="J110" s="238"/>
      <c r="K110" s="238"/>
      <c r="L110" s="238"/>
    </row>
    <row r="111" spans="1:12" x14ac:dyDescent="0.2">
      <c r="A111" s="238"/>
      <c r="B111" s="238"/>
      <c r="C111" s="238"/>
      <c r="D111" s="238"/>
      <c r="E111" s="238"/>
      <c r="F111" s="238"/>
      <c r="G111" s="238"/>
      <c r="H111" s="238"/>
      <c r="I111" s="238"/>
      <c r="J111" s="238"/>
      <c r="K111" s="238"/>
      <c r="L111" s="238"/>
    </row>
    <row r="112" spans="1:12" x14ac:dyDescent="0.2">
      <c r="A112" s="238"/>
      <c r="B112" s="238"/>
      <c r="C112" s="238"/>
      <c r="D112" s="238"/>
      <c r="E112" s="238"/>
      <c r="F112" s="238"/>
      <c r="G112" s="238"/>
      <c r="H112" s="238"/>
      <c r="I112" s="238"/>
      <c r="J112" s="238"/>
      <c r="K112" s="238"/>
      <c r="L112" s="238"/>
    </row>
    <row r="113" spans="1:12" x14ac:dyDescent="0.2">
      <c r="A113" s="238"/>
      <c r="B113" s="238"/>
      <c r="C113" s="238"/>
      <c r="D113" s="238"/>
      <c r="E113" s="238"/>
      <c r="F113" s="238"/>
      <c r="G113" s="238"/>
      <c r="H113" s="238"/>
      <c r="I113" s="238"/>
      <c r="J113" s="238"/>
      <c r="K113" s="238"/>
      <c r="L113" s="238"/>
    </row>
    <row r="114" spans="1:12" x14ac:dyDescent="0.2">
      <c r="A114" s="238"/>
      <c r="B114" s="238"/>
      <c r="C114" s="238"/>
      <c r="D114" s="238"/>
      <c r="E114" s="238"/>
      <c r="F114" s="238"/>
      <c r="G114" s="238"/>
      <c r="H114" s="238"/>
      <c r="I114" s="238"/>
      <c r="J114" s="238"/>
      <c r="K114" s="238"/>
      <c r="L114" s="238"/>
    </row>
    <row r="115" spans="1:12" x14ac:dyDescent="0.2">
      <c r="A115" s="238"/>
      <c r="B115" s="238"/>
      <c r="C115" s="238"/>
      <c r="D115" s="238"/>
      <c r="E115" s="238"/>
      <c r="F115" s="238"/>
      <c r="G115" s="238"/>
      <c r="H115" s="238"/>
      <c r="I115" s="238"/>
      <c r="J115" s="238"/>
      <c r="K115" s="238"/>
      <c r="L115" s="238"/>
    </row>
    <row r="116" spans="1:12" x14ac:dyDescent="0.2">
      <c r="A116" s="238"/>
      <c r="B116" s="238"/>
      <c r="C116" s="238"/>
      <c r="D116" s="238"/>
      <c r="E116" s="238"/>
      <c r="F116" s="238"/>
      <c r="G116" s="238"/>
      <c r="H116" s="238"/>
      <c r="I116" s="238"/>
      <c r="J116" s="238"/>
      <c r="K116" s="238"/>
      <c r="L116" s="238"/>
    </row>
    <row r="117" spans="1:12" x14ac:dyDescent="0.2">
      <c r="A117" s="238"/>
      <c r="B117" s="238"/>
      <c r="C117" s="238"/>
      <c r="D117" s="238"/>
      <c r="E117" s="238"/>
      <c r="F117" s="238"/>
      <c r="G117" s="238"/>
      <c r="H117" s="238"/>
      <c r="I117" s="238"/>
      <c r="J117" s="238"/>
      <c r="K117" s="238"/>
      <c r="L117" s="238"/>
    </row>
    <row r="118" spans="1:12" x14ac:dyDescent="0.2">
      <c r="A118" s="238"/>
      <c r="B118" s="238"/>
      <c r="C118" s="238"/>
      <c r="D118" s="238"/>
      <c r="E118" s="238"/>
      <c r="F118" s="238"/>
      <c r="G118" s="238"/>
      <c r="H118" s="238"/>
      <c r="I118" s="238"/>
      <c r="J118" s="238"/>
      <c r="K118" s="238"/>
      <c r="L118" s="238"/>
    </row>
    <row r="119" spans="1:12" x14ac:dyDescent="0.2">
      <c r="A119" s="238"/>
      <c r="B119" s="238"/>
      <c r="C119" s="238"/>
      <c r="D119" s="238"/>
      <c r="E119" s="238"/>
      <c r="F119" s="238"/>
      <c r="G119" s="238"/>
      <c r="H119" s="238"/>
      <c r="I119" s="238"/>
      <c r="J119" s="238"/>
      <c r="K119" s="238"/>
      <c r="L119" s="238"/>
    </row>
    <row r="120" spans="1:12" x14ac:dyDescent="0.2">
      <c r="A120" s="238"/>
      <c r="B120" s="238"/>
      <c r="C120" s="238"/>
      <c r="D120" s="238"/>
      <c r="E120" s="238"/>
      <c r="F120" s="238"/>
      <c r="G120" s="238"/>
      <c r="H120" s="238"/>
      <c r="I120" s="238"/>
      <c r="J120" s="238"/>
      <c r="K120" s="238"/>
      <c r="L120" s="238"/>
    </row>
    <row r="121" spans="1:12" x14ac:dyDescent="0.2">
      <c r="A121" s="238"/>
      <c r="B121" s="238"/>
      <c r="C121" s="238"/>
      <c r="D121" s="238"/>
      <c r="E121" s="238"/>
      <c r="F121" s="238"/>
      <c r="G121" s="238"/>
      <c r="H121" s="238"/>
      <c r="I121" s="238"/>
      <c r="J121" s="238"/>
      <c r="K121" s="238"/>
      <c r="L121" s="238"/>
    </row>
    <row r="122" spans="1:12" x14ac:dyDescent="0.2">
      <c r="A122" s="238"/>
      <c r="B122" s="238"/>
      <c r="C122" s="238"/>
      <c r="D122" s="238"/>
      <c r="E122" s="238"/>
      <c r="F122" s="238"/>
      <c r="G122" s="238"/>
      <c r="H122" s="238"/>
      <c r="I122" s="238"/>
      <c r="J122" s="238"/>
      <c r="K122" s="238"/>
      <c r="L122" s="238"/>
    </row>
    <row r="123" spans="1:12" x14ac:dyDescent="0.2">
      <c r="A123" s="238"/>
      <c r="B123" s="238"/>
      <c r="C123" s="238"/>
      <c r="D123" s="238"/>
      <c r="E123" s="238"/>
      <c r="F123" s="238"/>
      <c r="G123" s="238"/>
      <c r="H123" s="238"/>
      <c r="I123" s="238"/>
      <c r="J123" s="238"/>
      <c r="K123" s="238"/>
      <c r="L123" s="238"/>
    </row>
    <row r="124" spans="1:12" x14ac:dyDescent="0.2">
      <c r="A124" s="238"/>
      <c r="B124" s="238"/>
      <c r="C124" s="238"/>
      <c r="D124" s="238"/>
      <c r="E124" s="238"/>
      <c r="F124" s="238"/>
      <c r="G124" s="238"/>
      <c r="H124" s="238"/>
      <c r="I124" s="238"/>
      <c r="J124" s="238"/>
      <c r="K124" s="238"/>
      <c r="L124" s="238"/>
    </row>
    <row r="125" spans="1:12" x14ac:dyDescent="0.2">
      <c r="A125" s="238"/>
      <c r="B125" s="238"/>
      <c r="C125" s="238"/>
      <c r="D125" s="238"/>
      <c r="E125" s="238"/>
      <c r="F125" s="238"/>
      <c r="G125" s="238"/>
      <c r="H125" s="238"/>
      <c r="I125" s="238"/>
      <c r="J125" s="238"/>
      <c r="K125" s="238"/>
      <c r="L125" s="238"/>
    </row>
    <row r="126" spans="1:12" x14ac:dyDescent="0.2">
      <c r="A126" s="238"/>
      <c r="B126" s="238"/>
      <c r="C126" s="238"/>
      <c r="D126" s="238"/>
      <c r="E126" s="238"/>
      <c r="F126" s="238"/>
      <c r="G126" s="238"/>
      <c r="H126" s="238"/>
      <c r="I126" s="238"/>
      <c r="J126" s="238"/>
      <c r="K126" s="238"/>
      <c r="L126" s="238"/>
    </row>
    <row r="127" spans="1:12" x14ac:dyDescent="0.2">
      <c r="A127" s="238"/>
      <c r="B127" s="238"/>
      <c r="C127" s="238"/>
      <c r="D127" s="238"/>
      <c r="E127" s="238"/>
      <c r="F127" s="238"/>
      <c r="G127" s="238"/>
      <c r="H127" s="238"/>
      <c r="I127" s="238"/>
      <c r="J127" s="238"/>
      <c r="K127" s="238"/>
      <c r="L127" s="238"/>
    </row>
    <row r="128" spans="1:12" x14ac:dyDescent="0.2">
      <c r="A128" s="238"/>
      <c r="B128" s="238"/>
      <c r="C128" s="238"/>
      <c r="D128" s="238"/>
      <c r="E128" s="238"/>
      <c r="F128" s="238"/>
      <c r="G128" s="238"/>
      <c r="H128" s="238"/>
      <c r="I128" s="238"/>
      <c r="J128" s="238"/>
      <c r="K128" s="238"/>
      <c r="L128" s="238"/>
    </row>
    <row r="129" spans="1:12" x14ac:dyDescent="0.2">
      <c r="A129" s="238"/>
      <c r="B129" s="238"/>
      <c r="C129" s="238"/>
      <c r="D129" s="238"/>
      <c r="E129" s="238"/>
      <c r="F129" s="238"/>
      <c r="G129" s="238"/>
      <c r="H129" s="238"/>
      <c r="I129" s="238"/>
      <c r="J129" s="238"/>
      <c r="K129" s="238"/>
      <c r="L129" s="238"/>
    </row>
    <row r="130" spans="1:12" x14ac:dyDescent="0.2">
      <c r="A130" s="238"/>
      <c r="B130" s="238"/>
      <c r="C130" s="238"/>
      <c r="D130" s="238"/>
      <c r="E130" s="238"/>
      <c r="F130" s="238"/>
      <c r="G130" s="238"/>
      <c r="H130" s="238"/>
      <c r="I130" s="238"/>
      <c r="J130" s="238"/>
      <c r="K130" s="238"/>
      <c r="L130" s="238"/>
    </row>
    <row r="131" spans="1:12" x14ac:dyDescent="0.2">
      <c r="A131" s="238"/>
      <c r="B131" s="238"/>
      <c r="C131" s="238"/>
      <c r="D131" s="238"/>
      <c r="E131" s="238"/>
      <c r="F131" s="238"/>
      <c r="G131" s="238"/>
      <c r="H131" s="238"/>
      <c r="I131" s="238"/>
      <c r="J131" s="238"/>
      <c r="K131" s="238"/>
      <c r="L131" s="238"/>
    </row>
    <row r="132" spans="1:12" x14ac:dyDescent="0.2">
      <c r="A132" s="238"/>
      <c r="B132" s="238"/>
      <c r="C132" s="238"/>
      <c r="D132" s="238"/>
      <c r="E132" s="238"/>
      <c r="F132" s="238"/>
      <c r="G132" s="238"/>
      <c r="H132" s="238"/>
      <c r="I132" s="238"/>
      <c r="J132" s="238"/>
      <c r="K132" s="238"/>
      <c r="L132" s="238"/>
    </row>
    <row r="133" spans="1:12" x14ac:dyDescent="0.2">
      <c r="A133" s="238"/>
      <c r="B133" s="238"/>
      <c r="C133" s="238"/>
      <c r="D133" s="238"/>
      <c r="E133" s="238"/>
      <c r="F133" s="238"/>
      <c r="G133" s="238"/>
      <c r="H133" s="238"/>
      <c r="I133" s="238"/>
      <c r="J133" s="238"/>
      <c r="K133" s="238"/>
      <c r="L133" s="238"/>
    </row>
    <row r="134" spans="1:12" x14ac:dyDescent="0.2">
      <c r="A134" s="238"/>
      <c r="B134" s="238"/>
      <c r="C134" s="238"/>
      <c r="D134" s="238"/>
      <c r="E134" s="238"/>
      <c r="F134" s="238"/>
      <c r="G134" s="238"/>
      <c r="H134" s="238"/>
      <c r="I134" s="238"/>
      <c r="J134" s="238"/>
      <c r="K134" s="238"/>
      <c r="L134" s="238"/>
    </row>
    <row r="135" spans="1:12" x14ac:dyDescent="0.2">
      <c r="A135" s="238"/>
      <c r="B135" s="238"/>
      <c r="C135" s="238"/>
      <c r="D135" s="238"/>
      <c r="E135" s="238"/>
      <c r="F135" s="238"/>
      <c r="G135" s="238"/>
      <c r="H135" s="238"/>
      <c r="I135" s="238"/>
      <c r="J135" s="238"/>
      <c r="K135" s="238"/>
      <c r="L135" s="238"/>
    </row>
    <row r="136" spans="1:12" x14ac:dyDescent="0.2">
      <c r="A136" s="238"/>
      <c r="B136" s="238"/>
      <c r="C136" s="238"/>
      <c r="D136" s="238"/>
      <c r="E136" s="238"/>
      <c r="F136" s="238"/>
      <c r="G136" s="238"/>
      <c r="H136" s="238"/>
      <c r="I136" s="238"/>
      <c r="J136" s="238"/>
      <c r="K136" s="238"/>
      <c r="L136" s="238"/>
    </row>
    <row r="137" spans="1:12" x14ac:dyDescent="0.2">
      <c r="A137" s="238"/>
      <c r="B137" s="238"/>
      <c r="C137" s="238"/>
      <c r="D137" s="238"/>
      <c r="E137" s="238"/>
      <c r="F137" s="238"/>
      <c r="G137" s="238"/>
      <c r="H137" s="238"/>
      <c r="I137" s="238"/>
      <c r="J137" s="238"/>
      <c r="K137" s="238"/>
      <c r="L137" s="238"/>
    </row>
    <row r="138" spans="1:12" x14ac:dyDescent="0.2">
      <c r="A138" s="238"/>
      <c r="B138" s="238"/>
      <c r="C138" s="238"/>
      <c r="D138" s="238"/>
      <c r="E138" s="238"/>
      <c r="F138" s="238"/>
      <c r="G138" s="238"/>
      <c r="H138" s="238"/>
      <c r="I138" s="238"/>
      <c r="J138" s="238"/>
      <c r="K138" s="238"/>
      <c r="L138" s="238"/>
    </row>
    <row r="139" spans="1:12" x14ac:dyDescent="0.2">
      <c r="A139" s="238"/>
      <c r="B139" s="238"/>
      <c r="C139" s="238"/>
      <c r="D139" s="238"/>
      <c r="E139" s="238"/>
      <c r="F139" s="238"/>
      <c r="G139" s="238"/>
      <c r="H139" s="238"/>
      <c r="I139" s="238"/>
      <c r="J139" s="238"/>
      <c r="K139" s="238"/>
      <c r="L139" s="238"/>
    </row>
    <row r="140" spans="1:12" x14ac:dyDescent="0.2">
      <c r="A140" s="238"/>
      <c r="B140" s="238"/>
      <c r="C140" s="238"/>
      <c r="D140" s="238"/>
      <c r="E140" s="238"/>
      <c r="F140" s="238"/>
      <c r="G140" s="238"/>
      <c r="H140" s="238"/>
      <c r="I140" s="238"/>
      <c r="J140" s="238"/>
      <c r="K140" s="238"/>
      <c r="L140" s="238"/>
    </row>
    <row r="141" spans="1:12" x14ac:dyDescent="0.2">
      <c r="A141" s="238"/>
      <c r="B141" s="238"/>
      <c r="C141" s="238"/>
      <c r="D141" s="238"/>
      <c r="E141" s="238"/>
      <c r="F141" s="238"/>
      <c r="G141" s="238"/>
      <c r="H141" s="238"/>
      <c r="I141" s="238"/>
      <c r="J141" s="238"/>
      <c r="K141" s="238"/>
      <c r="L141" s="238"/>
    </row>
    <row r="142" spans="1:12" x14ac:dyDescent="0.2">
      <c r="A142" s="238"/>
      <c r="B142" s="238"/>
      <c r="C142" s="238"/>
      <c r="D142" s="238"/>
      <c r="E142" s="238"/>
      <c r="F142" s="238"/>
      <c r="G142" s="238"/>
      <c r="H142" s="238"/>
      <c r="I142" s="238"/>
      <c r="J142" s="238"/>
      <c r="K142" s="238"/>
      <c r="L142" s="238"/>
    </row>
    <row r="143" spans="1:12" x14ac:dyDescent="0.2">
      <c r="A143" s="238"/>
      <c r="B143" s="238"/>
      <c r="C143" s="238"/>
      <c r="D143" s="238"/>
      <c r="E143" s="238"/>
      <c r="F143" s="238"/>
      <c r="G143" s="238"/>
      <c r="H143" s="238"/>
      <c r="I143" s="238"/>
      <c r="J143" s="238"/>
      <c r="K143" s="238"/>
      <c r="L143" s="238"/>
    </row>
    <row r="144" spans="1:12" x14ac:dyDescent="0.2">
      <c r="A144" s="238"/>
      <c r="B144" s="238"/>
      <c r="C144" s="238"/>
      <c r="D144" s="238"/>
      <c r="E144" s="238"/>
      <c r="F144" s="238"/>
      <c r="G144" s="238"/>
      <c r="H144" s="238"/>
      <c r="I144" s="238"/>
      <c r="J144" s="238"/>
      <c r="K144" s="238"/>
      <c r="L144" s="238"/>
    </row>
    <row r="145" spans="1:12" x14ac:dyDescent="0.2">
      <c r="A145" s="238"/>
      <c r="B145" s="238"/>
      <c r="C145" s="238"/>
      <c r="D145" s="238"/>
      <c r="E145" s="238"/>
      <c r="F145" s="238"/>
      <c r="G145" s="238"/>
      <c r="H145" s="238"/>
      <c r="I145" s="238"/>
      <c r="J145" s="238"/>
      <c r="K145" s="238"/>
      <c r="L145" s="238"/>
    </row>
    <row r="146" spans="1:12" x14ac:dyDescent="0.2">
      <c r="A146" s="238"/>
      <c r="B146" s="238"/>
      <c r="C146" s="238"/>
      <c r="D146" s="238"/>
      <c r="E146" s="238"/>
      <c r="F146" s="238"/>
      <c r="G146" s="238"/>
      <c r="H146" s="238"/>
      <c r="I146" s="238"/>
      <c r="J146" s="238"/>
      <c r="K146" s="238"/>
      <c r="L146" s="238"/>
    </row>
    <row r="147" spans="1:12" x14ac:dyDescent="0.2">
      <c r="A147" s="238"/>
      <c r="B147" s="238"/>
      <c r="C147" s="238"/>
      <c r="D147" s="238"/>
      <c r="E147" s="238"/>
      <c r="F147" s="238"/>
      <c r="G147" s="238"/>
      <c r="H147" s="238"/>
      <c r="I147" s="238"/>
      <c r="J147" s="238"/>
      <c r="K147" s="238"/>
      <c r="L147" s="238"/>
    </row>
    <row r="148" spans="1:12" x14ac:dyDescent="0.2">
      <c r="A148" s="238"/>
      <c r="B148" s="238"/>
      <c r="C148" s="238"/>
      <c r="D148" s="238"/>
      <c r="E148" s="238"/>
      <c r="F148" s="238"/>
      <c r="G148" s="238"/>
      <c r="H148" s="238"/>
      <c r="I148" s="238"/>
      <c r="J148" s="238"/>
      <c r="K148" s="238"/>
      <c r="L148" s="238"/>
    </row>
    <row r="149" spans="1:12" x14ac:dyDescent="0.2">
      <c r="A149" s="238"/>
      <c r="B149" s="238"/>
      <c r="C149" s="238"/>
      <c r="D149" s="238"/>
      <c r="E149" s="238"/>
      <c r="F149" s="238"/>
      <c r="G149" s="238"/>
      <c r="H149" s="238"/>
      <c r="I149" s="238"/>
      <c r="J149" s="238"/>
      <c r="K149" s="238"/>
      <c r="L149" s="238"/>
    </row>
    <row r="150" spans="1:12" x14ac:dyDescent="0.2">
      <c r="A150" s="238"/>
      <c r="B150" s="238"/>
      <c r="C150" s="238"/>
      <c r="D150" s="238"/>
      <c r="E150" s="238"/>
      <c r="F150" s="238"/>
      <c r="G150" s="238"/>
      <c r="H150" s="238"/>
      <c r="I150" s="238"/>
      <c r="J150" s="238"/>
      <c r="K150" s="238"/>
      <c r="L150" s="238"/>
    </row>
    <row r="151" spans="1:12" x14ac:dyDescent="0.2">
      <c r="A151" s="238"/>
      <c r="B151" s="238"/>
      <c r="C151" s="238"/>
      <c r="D151" s="238"/>
      <c r="E151" s="238"/>
      <c r="F151" s="238"/>
      <c r="G151" s="238"/>
      <c r="H151" s="238"/>
      <c r="I151" s="238"/>
      <c r="J151" s="238"/>
      <c r="K151" s="238"/>
      <c r="L151" s="238"/>
    </row>
    <row r="152" spans="1:12" x14ac:dyDescent="0.2">
      <c r="A152" s="238"/>
      <c r="B152" s="238"/>
      <c r="C152" s="238"/>
      <c r="D152" s="238"/>
      <c r="E152" s="238"/>
      <c r="F152" s="238"/>
      <c r="G152" s="238"/>
      <c r="H152" s="238"/>
      <c r="I152" s="238"/>
      <c r="J152" s="238"/>
      <c r="K152" s="238"/>
      <c r="L152" s="238"/>
    </row>
  </sheetData>
  <pageMargins left="0.7" right="0.7" top="0.75" bottom="0.75" header="0.3" footer="0.3"/>
  <pageSetup scale="80" orientation="portrait" cellComments="asDisplayed" r:id="rId1"/>
  <headerFooter>
    <oddHeader>&amp;CSchedule 25
Wholesale Differences to Base TRR
&amp;"Arial,Bold"Exhibit G-2</oddHeader>
    <oddFooter>&amp;R&amp;A</oddFooter>
  </headerFooter>
  <rowBreaks count="1" manualBreakCount="1">
    <brk id="67" max="9"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zoomScaleNormal="100" workbookViewId="0"/>
  </sheetViews>
  <sheetFormatPr defaultRowHeight="12.75" x14ac:dyDescent="0.2"/>
  <cols>
    <col min="1" max="1" width="4.7109375" customWidth="1"/>
    <col min="2" max="2" width="3.7109375" customWidth="1"/>
    <col min="3" max="3" width="18.7109375" customWidth="1"/>
    <col min="4" max="4" width="14.7109375" customWidth="1"/>
    <col min="5" max="5" width="45.7109375" customWidth="1"/>
    <col min="6" max="6" width="12.140625" bestFit="1" customWidth="1"/>
  </cols>
  <sheetData>
    <row r="1" spans="1:5" x14ac:dyDescent="0.2">
      <c r="A1" s="1" t="s">
        <v>460</v>
      </c>
    </row>
    <row r="3" spans="1:5" x14ac:dyDescent="0.2">
      <c r="B3" s="1" t="s">
        <v>43</v>
      </c>
      <c r="E3" s="99" t="s">
        <v>17</v>
      </c>
    </row>
    <row r="4" spans="1:5" x14ac:dyDescent="0.2">
      <c r="D4" s="2" t="s">
        <v>44</v>
      </c>
    </row>
    <row r="5" spans="1:5" x14ac:dyDescent="0.2">
      <c r="C5" s="2" t="s">
        <v>455</v>
      </c>
      <c r="D5" s="2" t="s">
        <v>457</v>
      </c>
    </row>
    <row r="6" spans="1:5" x14ac:dyDescent="0.2">
      <c r="A6" s="3" t="s">
        <v>369</v>
      </c>
      <c r="C6" s="3" t="s">
        <v>221</v>
      </c>
      <c r="D6" s="3" t="s">
        <v>461</v>
      </c>
      <c r="E6" s="3" t="s">
        <v>207</v>
      </c>
    </row>
    <row r="7" spans="1:5" x14ac:dyDescent="0.2">
      <c r="A7" s="2">
        <v>1</v>
      </c>
      <c r="C7" s="156">
        <v>2011</v>
      </c>
      <c r="D7" s="835">
        <f>D71</f>
        <v>0.35</v>
      </c>
      <c r="E7" s="1095" t="s">
        <v>2313</v>
      </c>
    </row>
    <row r="8" spans="1:5" x14ac:dyDescent="0.2">
      <c r="A8" s="2">
        <f>A7+1</f>
        <v>2</v>
      </c>
      <c r="E8" s="625"/>
    </row>
    <row r="9" spans="1:5" x14ac:dyDescent="0.2">
      <c r="A9" s="2">
        <f t="shared" ref="A9:A58" si="0">A8+1</f>
        <v>3</v>
      </c>
      <c r="B9" s="1" t="s">
        <v>45</v>
      </c>
      <c r="E9" s="14"/>
    </row>
    <row r="10" spans="1:5" x14ac:dyDescent="0.2">
      <c r="A10" s="2">
        <f t="shared" si="0"/>
        <v>4</v>
      </c>
      <c r="B10" s="1"/>
      <c r="D10" s="2"/>
      <c r="E10" s="14"/>
    </row>
    <row r="11" spans="1:5" x14ac:dyDescent="0.2">
      <c r="A11" s="2">
        <f t="shared" si="0"/>
        <v>5</v>
      </c>
      <c r="D11" s="2" t="s">
        <v>319</v>
      </c>
      <c r="E11" s="14"/>
    </row>
    <row r="12" spans="1:5" x14ac:dyDescent="0.2">
      <c r="A12" s="2">
        <f t="shared" si="0"/>
        <v>6</v>
      </c>
      <c r="C12" s="2" t="s">
        <v>455</v>
      </c>
      <c r="D12" s="2" t="s">
        <v>457</v>
      </c>
      <c r="E12" s="14"/>
    </row>
    <row r="13" spans="1:5" x14ac:dyDescent="0.2">
      <c r="A13" s="2">
        <f t="shared" si="0"/>
        <v>7</v>
      </c>
      <c r="C13" s="3" t="s">
        <v>221</v>
      </c>
      <c r="D13" s="3" t="s">
        <v>458</v>
      </c>
      <c r="E13" s="129" t="s">
        <v>207</v>
      </c>
    </row>
    <row r="14" spans="1:5" x14ac:dyDescent="0.2">
      <c r="A14" s="2">
        <f t="shared" si="0"/>
        <v>8</v>
      </c>
      <c r="C14" s="156">
        <v>2011</v>
      </c>
      <c r="D14" s="69">
        <f>D51</f>
        <v>9.0558621183229229E-2</v>
      </c>
      <c r="E14" s="47" t="str">
        <f>"1) See calculation below on Line "&amp;A51&amp;" based on inputs"</f>
        <v>1) See calculation below on Line 45 based on inputs</v>
      </c>
    </row>
    <row r="15" spans="1:5" x14ac:dyDescent="0.2">
      <c r="A15" s="2">
        <f t="shared" si="0"/>
        <v>9</v>
      </c>
      <c r="C15" s="56"/>
      <c r="D15" s="14"/>
      <c r="E15" s="47" t="s">
        <v>329</v>
      </c>
    </row>
    <row r="16" spans="1:5" x14ac:dyDescent="0.2">
      <c r="A16" s="2">
        <f t="shared" si="0"/>
        <v>10</v>
      </c>
      <c r="C16" s="56"/>
      <c r="D16" s="14"/>
      <c r="E16" s="118" t="s">
        <v>459</v>
      </c>
    </row>
    <row r="17" spans="1:5" x14ac:dyDescent="0.2">
      <c r="A17" s="2">
        <f t="shared" si="0"/>
        <v>11</v>
      </c>
      <c r="C17" s="63"/>
      <c r="E17" s="118"/>
    </row>
    <row r="18" spans="1:5" x14ac:dyDescent="0.2">
      <c r="A18" s="2">
        <f t="shared" si="0"/>
        <v>12</v>
      </c>
      <c r="C18" s="1" t="s">
        <v>417</v>
      </c>
      <c r="E18" s="118"/>
    </row>
    <row r="19" spans="1:5" x14ac:dyDescent="0.2">
      <c r="A19" s="2">
        <f t="shared" si="0"/>
        <v>13</v>
      </c>
      <c r="E19" s="118"/>
    </row>
    <row r="20" spans="1:5" x14ac:dyDescent="0.2">
      <c r="A20" s="2">
        <f t="shared" si="0"/>
        <v>14</v>
      </c>
      <c r="C20" s="2"/>
      <c r="D20" s="2" t="s">
        <v>35</v>
      </c>
      <c r="E20" s="14"/>
    </row>
    <row r="21" spans="1:5" x14ac:dyDescent="0.2">
      <c r="A21" s="2">
        <f t="shared" si="0"/>
        <v>15</v>
      </c>
      <c r="C21" s="3" t="s">
        <v>41</v>
      </c>
      <c r="D21" s="3" t="s">
        <v>462</v>
      </c>
      <c r="E21" s="129" t="s">
        <v>207</v>
      </c>
    </row>
    <row r="22" spans="1:5" x14ac:dyDescent="0.2">
      <c r="A22" s="2">
        <f t="shared" si="0"/>
        <v>16</v>
      </c>
      <c r="C22" t="s">
        <v>37</v>
      </c>
      <c r="D22" s="51">
        <v>0.967445</v>
      </c>
      <c r="E22" s="1129" t="s">
        <v>454</v>
      </c>
    </row>
    <row r="23" spans="1:5" x14ac:dyDescent="0.2">
      <c r="A23" s="2">
        <f t="shared" si="0"/>
        <v>17</v>
      </c>
      <c r="C23" t="s">
        <v>38</v>
      </c>
      <c r="D23" s="51">
        <v>8.5360000000000002E-3</v>
      </c>
      <c r="E23" s="586"/>
    </row>
    <row r="24" spans="1:5" x14ac:dyDescent="0.2">
      <c r="A24" s="2">
        <f t="shared" si="0"/>
        <v>18</v>
      </c>
      <c r="C24" t="s">
        <v>39</v>
      </c>
      <c r="D24" s="51">
        <v>2.3751999999999999E-2</v>
      </c>
      <c r="E24" s="1023"/>
    </row>
    <row r="25" spans="1:5" x14ac:dyDescent="0.2">
      <c r="A25" s="2">
        <f t="shared" si="0"/>
        <v>19</v>
      </c>
      <c r="C25" t="s">
        <v>40</v>
      </c>
      <c r="D25" s="51">
        <v>5.1E-5</v>
      </c>
      <c r="E25" s="1130"/>
    </row>
    <row r="26" spans="1:5" x14ac:dyDescent="0.2">
      <c r="A26" s="2">
        <f t="shared" si="0"/>
        <v>20</v>
      </c>
      <c r="D26" s="69"/>
      <c r="E26" s="1130"/>
    </row>
    <row r="27" spans="1:5" x14ac:dyDescent="0.2">
      <c r="A27" s="2">
        <f t="shared" si="0"/>
        <v>21</v>
      </c>
      <c r="D27" s="2" t="s">
        <v>42</v>
      </c>
      <c r="E27" s="14"/>
    </row>
    <row r="28" spans="1:5" x14ac:dyDescent="0.2">
      <c r="A28" s="2">
        <f t="shared" si="0"/>
        <v>22</v>
      </c>
      <c r="C28" s="3" t="s">
        <v>41</v>
      </c>
      <c r="D28" s="3" t="s">
        <v>456</v>
      </c>
      <c r="E28" s="14"/>
    </row>
    <row r="29" spans="1:5" x14ac:dyDescent="0.2">
      <c r="A29" s="2">
        <f t="shared" si="0"/>
        <v>23</v>
      </c>
      <c r="C29" t="s">
        <v>37</v>
      </c>
      <c r="D29" s="51">
        <v>8.8400000000000006E-2</v>
      </c>
      <c r="E29" s="586" t="s">
        <v>562</v>
      </c>
    </row>
    <row r="30" spans="1:5" x14ac:dyDescent="0.2">
      <c r="A30" s="2">
        <f t="shared" si="0"/>
        <v>24</v>
      </c>
      <c r="C30" t="s">
        <v>38</v>
      </c>
      <c r="D30" s="51">
        <v>7.5999999999999998E-2</v>
      </c>
      <c r="E30" s="1131" t="s">
        <v>2276</v>
      </c>
    </row>
    <row r="31" spans="1:5" x14ac:dyDescent="0.2">
      <c r="A31" s="2">
        <f t="shared" si="0"/>
        <v>25</v>
      </c>
      <c r="C31" t="s">
        <v>39</v>
      </c>
      <c r="D31" s="51">
        <v>6.9680000000000006E-2</v>
      </c>
    </row>
    <row r="32" spans="1:5" x14ac:dyDescent="0.2">
      <c r="A32" s="2">
        <f t="shared" si="0"/>
        <v>26</v>
      </c>
      <c r="C32" t="s">
        <v>40</v>
      </c>
      <c r="D32" s="466">
        <v>9.9750000000000005E-2</v>
      </c>
    </row>
    <row r="33" spans="1:5" x14ac:dyDescent="0.2">
      <c r="A33" s="2">
        <f t="shared" si="0"/>
        <v>27</v>
      </c>
    </row>
    <row r="34" spans="1:5" x14ac:dyDescent="0.2">
      <c r="A34" s="620">
        <f t="shared" si="0"/>
        <v>28</v>
      </c>
      <c r="D34" s="2" t="s">
        <v>1487</v>
      </c>
    </row>
    <row r="35" spans="1:5" x14ac:dyDescent="0.2">
      <c r="A35" s="620">
        <f t="shared" si="0"/>
        <v>29</v>
      </c>
      <c r="D35" s="620" t="s">
        <v>1767</v>
      </c>
    </row>
    <row r="36" spans="1:5" x14ac:dyDescent="0.2">
      <c r="A36" s="620">
        <f t="shared" si="0"/>
        <v>30</v>
      </c>
      <c r="D36" s="468" t="s">
        <v>1768</v>
      </c>
    </row>
    <row r="37" spans="1:5" x14ac:dyDescent="0.2">
      <c r="A37" s="620">
        <f t="shared" si="0"/>
        <v>31</v>
      </c>
      <c r="D37" s="620" t="s">
        <v>37</v>
      </c>
    </row>
    <row r="38" spans="1:5" x14ac:dyDescent="0.2">
      <c r="A38" s="620">
        <f t="shared" si="0"/>
        <v>32</v>
      </c>
      <c r="C38" s="3" t="s">
        <v>41</v>
      </c>
      <c r="D38" s="3" t="s">
        <v>1769</v>
      </c>
    </row>
    <row r="39" spans="1:5" x14ac:dyDescent="0.2">
      <c r="A39" s="620">
        <f t="shared" si="0"/>
        <v>33</v>
      </c>
      <c r="C39" t="s">
        <v>37</v>
      </c>
      <c r="D39" s="51">
        <v>1</v>
      </c>
      <c r="E39" s="586" t="s">
        <v>1623</v>
      </c>
    </row>
    <row r="40" spans="1:5" x14ac:dyDescent="0.2">
      <c r="A40" s="620">
        <f t="shared" si="0"/>
        <v>34</v>
      </c>
      <c r="C40" t="s">
        <v>38</v>
      </c>
      <c r="D40" s="51">
        <v>-0.152251</v>
      </c>
      <c r="E40" s="14" t="s">
        <v>1624</v>
      </c>
    </row>
    <row r="41" spans="1:5" x14ac:dyDescent="0.2">
      <c r="A41" s="620">
        <f t="shared" si="0"/>
        <v>35</v>
      </c>
      <c r="C41" t="s">
        <v>39</v>
      </c>
      <c r="D41" s="51">
        <v>3.0982270000000001</v>
      </c>
    </row>
    <row r="42" spans="1:5" x14ac:dyDescent="0.2">
      <c r="A42" s="620">
        <f t="shared" si="0"/>
        <v>36</v>
      </c>
      <c r="C42" t="s">
        <v>40</v>
      </c>
      <c r="D42" s="466">
        <v>1.487298</v>
      </c>
    </row>
    <row r="43" spans="1:5" x14ac:dyDescent="0.2">
      <c r="A43" s="620">
        <f t="shared" si="0"/>
        <v>37</v>
      </c>
      <c r="D43" s="467"/>
    </row>
    <row r="44" spans="1:5" x14ac:dyDescent="0.2">
      <c r="A44" s="620">
        <f t="shared" si="0"/>
        <v>38</v>
      </c>
      <c r="D44" s="2" t="s">
        <v>1485</v>
      </c>
    </row>
    <row r="45" spans="1:5" x14ac:dyDescent="0.2">
      <c r="A45" s="620">
        <f t="shared" si="0"/>
        <v>39</v>
      </c>
      <c r="C45" s="3" t="s">
        <v>41</v>
      </c>
      <c r="D45" s="3" t="s">
        <v>1486</v>
      </c>
    </row>
    <row r="46" spans="1:5" x14ac:dyDescent="0.2">
      <c r="A46" s="620">
        <f t="shared" si="0"/>
        <v>40</v>
      </c>
      <c r="C46" t="s">
        <v>37</v>
      </c>
      <c r="D46" s="69">
        <f>D22*D29*D39</f>
        <v>8.5522138000000011E-2</v>
      </c>
      <c r="E46" s="13" t="str">
        <f>"Line "&amp;A22&amp;" * Line "&amp;A29&amp;" * Line "&amp;A39&amp;""</f>
        <v>Line 16 * Line 23 * Line 33</v>
      </c>
    </row>
    <row r="47" spans="1:5" x14ac:dyDescent="0.2">
      <c r="A47" s="620">
        <f t="shared" si="0"/>
        <v>41</v>
      </c>
      <c r="C47" t="s">
        <v>38</v>
      </c>
      <c r="D47" s="69">
        <f>D23*D30*D40</f>
        <v>-9.8770704736000003E-5</v>
      </c>
      <c r="E47" s="13" t="str">
        <f>"Line "&amp;A23&amp;" * Line "&amp;A30&amp;" * Line "&amp;A40&amp;""</f>
        <v>Line 17 * Line 24 * Line 34</v>
      </c>
    </row>
    <row r="48" spans="1:5" x14ac:dyDescent="0.2">
      <c r="A48" s="620">
        <f t="shared" si="0"/>
        <v>42</v>
      </c>
      <c r="C48" t="s">
        <v>39</v>
      </c>
      <c r="D48" s="69">
        <f>D24*D31*D41</f>
        <v>5.1276876312147208E-3</v>
      </c>
      <c r="E48" s="13" t="str">
        <f>"Line "&amp;A24&amp;" * Line "&amp;A31&amp;" * Line "&amp;A41&amp;""</f>
        <v>Line 18 * Line 25 * Line 35</v>
      </c>
    </row>
    <row r="49" spans="1:9" x14ac:dyDescent="0.2">
      <c r="A49" s="620">
        <f t="shared" si="0"/>
        <v>43</v>
      </c>
      <c r="C49" t="s">
        <v>40</v>
      </c>
      <c r="D49" s="69">
        <f>D25*D32*D42</f>
        <v>7.5662567505000001E-6</v>
      </c>
      <c r="E49" s="13" t="str">
        <f>"Line "&amp;A25&amp;" * Line "&amp;A32&amp;" * Line "&amp;A42&amp;""</f>
        <v>Line 19 * Line 26 * Line 36</v>
      </c>
    </row>
    <row r="50" spans="1:9" x14ac:dyDescent="0.2">
      <c r="A50" s="620">
        <f t="shared" si="0"/>
        <v>44</v>
      </c>
      <c r="C50" s="70" t="s">
        <v>319</v>
      </c>
    </row>
    <row r="51" spans="1:9" x14ac:dyDescent="0.2">
      <c r="A51" s="620">
        <f t="shared" si="0"/>
        <v>45</v>
      </c>
      <c r="C51" s="70" t="s">
        <v>318</v>
      </c>
      <c r="D51" s="467">
        <f>SUM(D46:D49)</f>
        <v>9.0558621183229229E-2</v>
      </c>
      <c r="E51" s="13" t="str">
        <f>"Sum of Lines "&amp;A46&amp;" to "&amp;A49&amp;""</f>
        <v>Sum of Lines 40 to 43</v>
      </c>
    </row>
    <row r="52" spans="1:9" x14ac:dyDescent="0.2">
      <c r="A52" s="789">
        <f t="shared" si="0"/>
        <v>46</v>
      </c>
      <c r="E52" s="13"/>
    </row>
    <row r="53" spans="1:9" ht="12.75" customHeight="1" x14ac:dyDescent="0.2">
      <c r="A53" s="789">
        <f t="shared" si="0"/>
        <v>47</v>
      </c>
      <c r="B53" s="1" t="s">
        <v>2130</v>
      </c>
      <c r="E53" s="16"/>
    </row>
    <row r="54" spans="1:9" ht="12.75" customHeight="1" x14ac:dyDescent="0.2">
      <c r="A54" s="789">
        <f t="shared" si="0"/>
        <v>48</v>
      </c>
      <c r="E54" s="119"/>
      <c r="F54" s="3" t="s">
        <v>203</v>
      </c>
    </row>
    <row r="55" spans="1:9" ht="12.75" customHeight="1" x14ac:dyDescent="0.2">
      <c r="A55" s="115">
        <f t="shared" si="0"/>
        <v>49</v>
      </c>
      <c r="B55" s="14"/>
      <c r="C55" s="14" t="str">
        <f>"Total Electric Payroll Tax Expense (From 1-BaseTRR, Line "&amp;'1-BaseTRR'!A52&amp;")"</f>
        <v>Total Electric Payroll Tax Expense (From 1-BaseTRR, Line 30)</v>
      </c>
      <c r="D55" s="14"/>
      <c r="E55" s="14"/>
      <c r="F55" s="7">
        <f>'1-BaseTRR'!K52</f>
        <v>137181202</v>
      </c>
      <c r="G55" s="12"/>
    </row>
    <row r="56" spans="1:9" ht="12.75" customHeight="1" x14ac:dyDescent="0.2">
      <c r="A56" s="115">
        <f t="shared" si="0"/>
        <v>50</v>
      </c>
      <c r="B56" s="14"/>
      <c r="C56" s="628" t="s">
        <v>2417</v>
      </c>
      <c r="D56" s="14"/>
      <c r="E56" s="14"/>
      <c r="F56" s="840">
        <v>0.33508472975765297</v>
      </c>
      <c r="G56" s="12"/>
    </row>
    <row r="57" spans="1:9" ht="12.75" customHeight="1" x14ac:dyDescent="0.2">
      <c r="A57" s="115">
        <f t="shared" si="0"/>
        <v>51</v>
      </c>
      <c r="B57" s="14"/>
      <c r="C57" s="628" t="str">
        <f>"Capitalized Overhead portion of Electric Payroll Tax Expense (Line "&amp;A55&amp;" * Line "&amp;A56&amp;")"</f>
        <v>Capitalized Overhead portion of Electric Payroll Tax Expense (Line 49 * Line 50)</v>
      </c>
      <c r="D57" s="14"/>
      <c r="E57" s="14"/>
      <c r="F57" s="595">
        <f>F55*F56</f>
        <v>45967326</v>
      </c>
      <c r="G57" s="628"/>
      <c r="H57" s="14"/>
      <c r="I57" s="628"/>
    </row>
    <row r="58" spans="1:9" x14ac:dyDescent="0.2">
      <c r="A58" s="115">
        <f t="shared" si="0"/>
        <v>52</v>
      </c>
      <c r="B58" s="14"/>
      <c r="C58" s="628" t="str">
        <f>"Non-Capitalized Overhead portion of Electric Payroll Tax Expense (Line "&amp;A55&amp;" - Line "&amp;A57&amp;")"</f>
        <v>Non-Capitalized Overhead portion of Electric Payroll Tax Expense (Line 49 - Line 51)</v>
      </c>
      <c r="D58" s="14"/>
      <c r="E58" s="14"/>
      <c r="F58" s="7">
        <f>F55-F57</f>
        <v>91213876</v>
      </c>
      <c r="G58" s="12"/>
      <c r="H58" s="14"/>
    </row>
    <row r="60" spans="1:9" x14ac:dyDescent="0.2">
      <c r="B60" s="53" t="s">
        <v>265</v>
      </c>
    </row>
    <row r="61" spans="1:9" x14ac:dyDescent="0.2">
      <c r="B61" s="615" t="s">
        <v>1754</v>
      </c>
    </row>
    <row r="62" spans="1:9" x14ac:dyDescent="0.2">
      <c r="B62" s="615" t="s">
        <v>1751</v>
      </c>
    </row>
    <row r="63" spans="1:9" x14ac:dyDescent="0.2">
      <c r="B63" s="12" t="s">
        <v>1753</v>
      </c>
    </row>
    <row r="64" spans="1:9" x14ac:dyDescent="0.2">
      <c r="B64" s="616" t="s">
        <v>1752</v>
      </c>
    </row>
    <row r="65" spans="2:6" x14ac:dyDescent="0.2">
      <c r="B65" s="616"/>
      <c r="C65" s="628" t="s">
        <v>2304</v>
      </c>
      <c r="D65" s="14"/>
      <c r="E65" s="14"/>
      <c r="F65" s="14"/>
    </row>
    <row r="66" spans="2:6" x14ac:dyDescent="0.2">
      <c r="B66" s="616"/>
      <c r="C66" s="628"/>
      <c r="D66" s="14"/>
      <c r="E66" s="14"/>
      <c r="F66" s="14"/>
    </row>
    <row r="67" spans="2:6" x14ac:dyDescent="0.2">
      <c r="B67" s="616"/>
      <c r="C67" s="1040" t="s">
        <v>2312</v>
      </c>
      <c r="D67" s="1040" t="s">
        <v>2311</v>
      </c>
      <c r="E67" s="14"/>
      <c r="F67" s="14"/>
    </row>
    <row r="68" spans="2:6" x14ac:dyDescent="0.2">
      <c r="B68" s="129"/>
      <c r="C68" s="394" t="s">
        <v>2305</v>
      </c>
      <c r="D68" s="394" t="s">
        <v>2306</v>
      </c>
      <c r="E68" s="46" t="s">
        <v>2307</v>
      </c>
      <c r="F68" s="14"/>
    </row>
    <row r="69" spans="2:6" x14ac:dyDescent="0.2">
      <c r="B69" s="929" t="s">
        <v>2185</v>
      </c>
      <c r="C69" s="834">
        <v>0.35</v>
      </c>
      <c r="D69" s="99">
        <v>365</v>
      </c>
      <c r="E69" s="628" t="s">
        <v>2308</v>
      </c>
      <c r="F69" s="14"/>
    </row>
    <row r="70" spans="2:6" x14ac:dyDescent="0.2">
      <c r="B70" s="929" t="s">
        <v>2186</v>
      </c>
      <c r="C70" s="644"/>
      <c r="D70" s="99"/>
      <c r="E70" s="628" t="s">
        <v>2309</v>
      </c>
      <c r="F70" s="14"/>
    </row>
    <row r="71" spans="2:6" x14ac:dyDescent="0.2">
      <c r="B71" s="929" t="s">
        <v>2187</v>
      </c>
      <c r="C71" s="1021" t="s">
        <v>2310</v>
      </c>
      <c r="D71" s="80">
        <f>((C69*D69)+(C70*D70))/365</f>
        <v>0.35</v>
      </c>
      <c r="E71" s="838" t="s">
        <v>2314</v>
      </c>
      <c r="F71" s="14"/>
    </row>
    <row r="72" spans="2:6" x14ac:dyDescent="0.2">
      <c r="B72" s="1132" t="s">
        <v>2281</v>
      </c>
      <c r="C72" s="14"/>
      <c r="D72" s="99" t="s">
        <v>3184</v>
      </c>
      <c r="E72" s="99"/>
      <c r="F72" s="99"/>
    </row>
    <row r="73" spans="2:6" x14ac:dyDescent="0.2">
      <c r="B73" s="1132" t="s">
        <v>2282</v>
      </c>
      <c r="C73" s="14"/>
      <c r="D73" s="14"/>
      <c r="E73" s="14"/>
      <c r="F73" s="14"/>
    </row>
    <row r="74" spans="2:6" x14ac:dyDescent="0.2">
      <c r="B74" s="947" t="s">
        <v>2280</v>
      </c>
      <c r="C74" s="14"/>
      <c r="D74" s="99" t="s">
        <v>3185</v>
      </c>
      <c r="E74" s="99"/>
      <c r="F74" s="99"/>
    </row>
    <row r="75" spans="2:6" x14ac:dyDescent="0.2">
      <c r="B75" s="947" t="s">
        <v>2277</v>
      </c>
      <c r="C75" s="14"/>
      <c r="D75" s="644" t="s">
        <v>3186</v>
      </c>
      <c r="E75" s="99"/>
      <c r="F75" s="99"/>
    </row>
    <row r="76" spans="2:6" x14ac:dyDescent="0.2">
      <c r="B76" s="947" t="s">
        <v>2278</v>
      </c>
      <c r="C76" s="14"/>
      <c r="D76" s="644" t="s">
        <v>3187</v>
      </c>
      <c r="E76" s="99"/>
      <c r="F76" s="99"/>
    </row>
    <row r="77" spans="2:6" x14ac:dyDescent="0.2">
      <c r="B77" s="947" t="s">
        <v>2279</v>
      </c>
      <c r="C77" s="14"/>
      <c r="D77" s="644" t="s">
        <v>3188</v>
      </c>
      <c r="E77" s="99"/>
      <c r="F77" s="99"/>
    </row>
    <row r="78" spans="2:6" x14ac:dyDescent="0.2">
      <c r="B78" s="628" t="s">
        <v>2418</v>
      </c>
      <c r="C78" s="14"/>
      <c r="D78" s="14"/>
      <c r="E78" s="99" t="s">
        <v>3183</v>
      </c>
    </row>
    <row r="79" spans="2:6" x14ac:dyDescent="0.2">
      <c r="B79" s="625" t="s">
        <v>2419</v>
      </c>
      <c r="C79" s="14"/>
      <c r="D79" s="14"/>
      <c r="E79" s="745" t="s">
        <v>3189</v>
      </c>
    </row>
  </sheetData>
  <phoneticPr fontId="11" type="noConversion"/>
  <pageMargins left="0.75" right="0.75" top="1" bottom="1" header="0.5" footer="0.5"/>
  <pageSetup scale="75" orientation="portrait" cellComments="asDisplayed" r:id="rId1"/>
  <headerFooter alignWithMargins="0">
    <oddHeader>&amp;CSchedule 26
Tax Rates
&amp;"Arial,Bold"Exhibit G-2</oddHeader>
    <oddFooter>&amp;R&amp;A</oddFooter>
  </headerFooter>
  <rowBreaks count="1" manualBreakCount="1">
    <brk id="59"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8"/>
  <sheetViews>
    <sheetView zoomScale="90" zoomScaleNormal="90" workbookViewId="0"/>
  </sheetViews>
  <sheetFormatPr defaultRowHeight="12.75" x14ac:dyDescent="0.2"/>
  <cols>
    <col min="1" max="2" width="4.7109375" customWidth="1"/>
    <col min="3" max="3" width="40.7109375" customWidth="1"/>
    <col min="4" max="4" width="20.7109375" customWidth="1"/>
    <col min="5" max="5" width="28.7109375" customWidth="1"/>
    <col min="6" max="6" width="2.7109375" customWidth="1"/>
    <col min="7" max="7" width="16.7109375" customWidth="1"/>
  </cols>
  <sheetData>
    <row r="1" spans="1:9" x14ac:dyDescent="0.2">
      <c r="A1" s="1" t="s">
        <v>230</v>
      </c>
      <c r="B1" s="1"/>
    </row>
    <row r="2" spans="1:9" x14ac:dyDescent="0.2">
      <c r="A2" s="1"/>
      <c r="B2" s="1"/>
      <c r="E2" s="99" t="s">
        <v>17</v>
      </c>
    </row>
    <row r="3" spans="1:9" x14ac:dyDescent="0.2">
      <c r="G3" s="103"/>
    </row>
    <row r="4" spans="1:9" x14ac:dyDescent="0.2">
      <c r="A4" s="2"/>
      <c r="B4" s="1" t="s">
        <v>1274</v>
      </c>
      <c r="G4" s="103"/>
    </row>
    <row r="5" spans="1:9" x14ac:dyDescent="0.2">
      <c r="A5" s="2"/>
      <c r="C5" s="1"/>
      <c r="D5" s="2"/>
      <c r="E5" s="2" t="s">
        <v>197</v>
      </c>
      <c r="G5" s="4" t="s">
        <v>73</v>
      </c>
    </row>
    <row r="6" spans="1:9" x14ac:dyDescent="0.2">
      <c r="A6" s="53" t="s">
        <v>369</v>
      </c>
      <c r="C6" s="1"/>
      <c r="D6" s="3" t="s">
        <v>196</v>
      </c>
      <c r="E6" s="3" t="s">
        <v>198</v>
      </c>
      <c r="G6" s="3" t="s">
        <v>199</v>
      </c>
    </row>
    <row r="7" spans="1:9" x14ac:dyDescent="0.2">
      <c r="A7" s="2">
        <v>1</v>
      </c>
      <c r="C7" s="68" t="s">
        <v>372</v>
      </c>
      <c r="E7" s="15" t="str">
        <f>"19-OandM Line "&amp;'19-OandM'!A170&amp;", Col. 7"</f>
        <v>19-OandM Line 137, Col. 7</v>
      </c>
      <c r="G7" s="7">
        <f>'19-OandM'!H170</f>
        <v>34442506.031768754</v>
      </c>
      <c r="I7" s="12"/>
    </row>
    <row r="8" spans="1:9" x14ac:dyDescent="0.2">
      <c r="A8" s="2">
        <f>A7+1</f>
        <v>2</v>
      </c>
      <c r="C8" s="68" t="s">
        <v>272</v>
      </c>
      <c r="E8" s="15" t="s">
        <v>322</v>
      </c>
      <c r="G8" s="6">
        <v>1135485499</v>
      </c>
    </row>
    <row r="9" spans="1:9" x14ac:dyDescent="0.2">
      <c r="A9" s="2">
        <f t="shared" ref="A9:A62" si="0">A8+1</f>
        <v>3</v>
      </c>
      <c r="C9" s="5" t="s">
        <v>273</v>
      </c>
      <c r="E9" s="15" t="s">
        <v>323</v>
      </c>
      <c r="G9" s="6">
        <v>328723251</v>
      </c>
    </row>
    <row r="10" spans="1:9" x14ac:dyDescent="0.2">
      <c r="A10" s="2">
        <f t="shared" si="0"/>
        <v>4</v>
      </c>
      <c r="C10" s="68" t="s">
        <v>1280</v>
      </c>
      <c r="E10" s="15" t="str">
        <f>"Line "&amp;A8&amp;" - Line "&amp;A9&amp;""</f>
        <v>Line 2 - Line 3</v>
      </c>
      <c r="G10" s="7">
        <f>G8-G9</f>
        <v>806762248</v>
      </c>
    </row>
    <row r="11" spans="1:9" x14ac:dyDescent="0.2">
      <c r="A11" s="2">
        <f t="shared" si="0"/>
        <v>5</v>
      </c>
      <c r="C11" s="1133" t="s">
        <v>2813</v>
      </c>
      <c r="E11" s="15" t="str">
        <f>"20-AandG, Note 2"</f>
        <v>20-AandG, Note 2</v>
      </c>
      <c r="G11" s="65">
        <f>'20-AandG'!E64</f>
        <v>107137117.2100001</v>
      </c>
      <c r="I11" s="12"/>
    </row>
    <row r="12" spans="1:9" x14ac:dyDescent="0.2">
      <c r="A12" s="2">
        <f t="shared" si="0"/>
        <v>6</v>
      </c>
      <c r="C12" s="1061" t="s">
        <v>2809</v>
      </c>
      <c r="E12" s="15" t="str">
        <f>"20-AandG, Note 2"</f>
        <v>20-AandG, Note 2</v>
      </c>
      <c r="G12" s="105">
        <f>'20-AandG'!E61</f>
        <v>36903316.419317216</v>
      </c>
    </row>
    <row r="13" spans="1:9" x14ac:dyDescent="0.2">
      <c r="A13" s="2">
        <f t="shared" si="0"/>
        <v>7</v>
      </c>
      <c r="C13" s="1133" t="s">
        <v>2810</v>
      </c>
      <c r="E13" s="15" t="str">
        <f>"Line "&amp;A11&amp;" - Line "&amp;A12&amp;""</f>
        <v>Line 5 - Line 6</v>
      </c>
      <c r="G13" s="7">
        <f>G11-G12</f>
        <v>70233800.790682882</v>
      </c>
    </row>
    <row r="14" spans="1:9" x14ac:dyDescent="0.2">
      <c r="A14" s="2">
        <f t="shared" si="0"/>
        <v>8</v>
      </c>
      <c r="C14" s="1133" t="s">
        <v>2811</v>
      </c>
      <c r="E14" s="15" t="str">
        <f>"Line "&amp;A10&amp;" + Line "&amp;A13&amp;""</f>
        <v>Line 4 + Line 7</v>
      </c>
      <c r="G14" s="7">
        <f>G10+G13</f>
        <v>876996048.79068291</v>
      </c>
    </row>
    <row r="15" spans="1:9" x14ac:dyDescent="0.2">
      <c r="A15" s="2">
        <f t="shared" si="0"/>
        <v>9</v>
      </c>
      <c r="C15" t="s">
        <v>228</v>
      </c>
      <c r="E15" s="15" t="str">
        <f>"Line "&amp;A7&amp;" / Line "&amp;A14&amp;""</f>
        <v>Line 1 / Line 8</v>
      </c>
      <c r="G15" s="8">
        <f>G7/G14</f>
        <v>3.9273273898169321E-2</v>
      </c>
    </row>
    <row r="16" spans="1:9" x14ac:dyDescent="0.2">
      <c r="A16" s="2">
        <f t="shared" si="0"/>
        <v>10</v>
      </c>
      <c r="E16" s="14"/>
    </row>
    <row r="17" spans="1:11" x14ac:dyDescent="0.2">
      <c r="A17" s="2">
        <f t="shared" si="0"/>
        <v>11</v>
      </c>
      <c r="B17" s="1" t="s">
        <v>1275</v>
      </c>
      <c r="E17" s="14"/>
      <c r="G17" s="103"/>
    </row>
    <row r="18" spans="1:11" x14ac:dyDescent="0.2">
      <c r="A18" s="2">
        <f t="shared" si="0"/>
        <v>12</v>
      </c>
      <c r="D18" s="2"/>
      <c r="E18" s="115" t="s">
        <v>197</v>
      </c>
      <c r="G18" s="4" t="s">
        <v>73</v>
      </c>
    </row>
    <row r="19" spans="1:11" x14ac:dyDescent="0.2">
      <c r="A19" s="2">
        <f t="shared" si="0"/>
        <v>13</v>
      </c>
      <c r="D19" s="3" t="s">
        <v>196</v>
      </c>
      <c r="E19" s="129" t="s">
        <v>198</v>
      </c>
      <c r="G19" s="3" t="s">
        <v>199</v>
      </c>
    </row>
    <row r="20" spans="1:11" x14ac:dyDescent="0.2">
      <c r="A20" s="2">
        <f t="shared" si="0"/>
        <v>14</v>
      </c>
      <c r="C20" t="s">
        <v>373</v>
      </c>
      <c r="E20" s="15" t="str">
        <f>"7-PlantStudy, Line "&amp;'7-PlantStudy'!A28&amp;""</f>
        <v>7-PlantStudy, Line 21</v>
      </c>
      <c r="G20" s="65">
        <f>'7-PlantStudy'!E28</f>
        <v>3302962475</v>
      </c>
    </row>
    <row r="21" spans="1:11" x14ac:dyDescent="0.2">
      <c r="A21" s="2">
        <f t="shared" si="0"/>
        <v>15</v>
      </c>
      <c r="C21" t="s">
        <v>374</v>
      </c>
      <c r="E21" s="15" t="str">
        <f>"7-PlantStudy, Line "&amp;'7-PlantStudy'!A42&amp;""</f>
        <v>7-PlantStudy, Line 30</v>
      </c>
      <c r="G21" s="65">
        <f>'7-PlantStudy'!E42</f>
        <v>6634834</v>
      </c>
    </row>
    <row r="22" spans="1:11" x14ac:dyDescent="0.2">
      <c r="A22" s="2">
        <f t="shared" si="0"/>
        <v>16</v>
      </c>
      <c r="C22" t="s">
        <v>68</v>
      </c>
      <c r="E22" s="15" t="str">
        <f>"6-PlantInService, Line "&amp;'6-PlantInService'!A53&amp;", C2"</f>
        <v>6-PlantInService, Line 21, C2</v>
      </c>
      <c r="G22" s="65">
        <f>'6-PlantInService'!G53</f>
        <v>1557464316</v>
      </c>
      <c r="H22" s="103"/>
    </row>
    <row r="23" spans="1:11" x14ac:dyDescent="0.2">
      <c r="A23" s="2">
        <f t="shared" si="0"/>
        <v>17</v>
      </c>
      <c r="C23" t="s">
        <v>69</v>
      </c>
      <c r="E23" s="14" t="str">
        <f>"Line "&amp;A22&amp;" * Line "&amp;A15&amp;""</f>
        <v>Line 16 * Line 9</v>
      </c>
      <c r="G23" s="65">
        <f>G22*G15</f>
        <v>61166722.668892935</v>
      </c>
    </row>
    <row r="24" spans="1:11" x14ac:dyDescent="0.2">
      <c r="A24" s="2">
        <f t="shared" si="0"/>
        <v>18</v>
      </c>
      <c r="C24" t="s">
        <v>67</v>
      </c>
      <c r="E24" s="15" t="str">
        <f>"6-PlantInService, Line "&amp;'6-PlantInService'!A53&amp;", C1"</f>
        <v>6-PlantInService, Line 21, C1</v>
      </c>
      <c r="G24" s="65">
        <f>'6-PlantInService'!F53</f>
        <v>2123098622</v>
      </c>
    </row>
    <row r="25" spans="1:11" x14ac:dyDescent="0.2">
      <c r="A25" s="2">
        <f t="shared" si="0"/>
        <v>19</v>
      </c>
      <c r="C25" t="s">
        <v>192</v>
      </c>
      <c r="E25" t="str">
        <f>"Line "&amp;A24&amp;" * Line "&amp;A15&amp;""</f>
        <v>Line 18 * Line 9</v>
      </c>
      <c r="G25" s="65">
        <f>G24*G15</f>
        <v>83381033.69463186</v>
      </c>
    </row>
    <row r="26" spans="1:11" x14ac:dyDescent="0.2">
      <c r="A26" s="2">
        <f t="shared" si="0"/>
        <v>20</v>
      </c>
      <c r="C26" s="12" t="s">
        <v>1278</v>
      </c>
      <c r="E26" t="s">
        <v>34</v>
      </c>
      <c r="G26" s="6">
        <v>35724211772</v>
      </c>
    </row>
    <row r="27" spans="1:11" x14ac:dyDescent="0.2">
      <c r="A27" s="2">
        <f t="shared" si="0"/>
        <v>21</v>
      </c>
      <c r="G27" s="103"/>
    </row>
    <row r="28" spans="1:11" x14ac:dyDescent="0.2">
      <c r="A28" s="2">
        <f t="shared" si="0"/>
        <v>22</v>
      </c>
      <c r="C28" t="s">
        <v>66</v>
      </c>
      <c r="E28" s="12" t="str">
        <f>"(L"&amp;A20&amp;" + L"&amp;A21&amp;" + L"&amp;A23&amp;" + L"&amp;A25&amp;") / L"&amp;A26&amp;""</f>
        <v>(L14 + L15 + L17 + L19) / L20</v>
      </c>
      <c r="G28" s="8">
        <f>(G20+G21+G23+G25)/G26</f>
        <v>9.6689189040997187E-2</v>
      </c>
    </row>
    <row r="29" spans="1:11" x14ac:dyDescent="0.2">
      <c r="A29" s="811">
        <f t="shared" si="0"/>
        <v>23</v>
      </c>
      <c r="E29" s="12"/>
      <c r="G29" s="8"/>
    </row>
    <row r="30" spans="1:11" x14ac:dyDescent="0.2">
      <c r="A30" s="115">
        <f t="shared" si="0"/>
        <v>24</v>
      </c>
      <c r="B30" s="45" t="s">
        <v>2489</v>
      </c>
      <c r="C30" s="14"/>
      <c r="D30" s="14"/>
      <c r="E30" s="14"/>
      <c r="F30" s="14"/>
      <c r="G30" s="14"/>
      <c r="H30" s="14"/>
      <c r="I30" s="14"/>
      <c r="J30" s="14"/>
      <c r="K30" s="14"/>
    </row>
    <row r="31" spans="1:11" x14ac:dyDescent="0.2">
      <c r="A31" s="115">
        <f t="shared" si="0"/>
        <v>25</v>
      </c>
      <c r="B31" s="628"/>
      <c r="C31" s="14"/>
      <c r="D31" s="14"/>
      <c r="E31" s="14"/>
      <c r="F31" s="14"/>
      <c r="G31" s="14"/>
      <c r="H31" s="14"/>
      <c r="I31" s="14"/>
      <c r="J31" s="14"/>
      <c r="K31" s="14"/>
    </row>
    <row r="32" spans="1:11" x14ac:dyDescent="0.2">
      <c r="A32" s="115">
        <f t="shared" si="0"/>
        <v>26</v>
      </c>
      <c r="B32" s="14" t="s">
        <v>2346</v>
      </c>
      <c r="C32" s="14"/>
      <c r="D32" s="129" t="s">
        <v>2350</v>
      </c>
      <c r="E32" s="129" t="s">
        <v>196</v>
      </c>
      <c r="F32" s="14"/>
      <c r="G32" s="784" t="s">
        <v>2351</v>
      </c>
      <c r="H32" s="14"/>
      <c r="I32" s="14"/>
      <c r="J32" s="14"/>
      <c r="K32" s="14"/>
    </row>
    <row r="33" spans="1:11" x14ac:dyDescent="0.2">
      <c r="A33" s="115">
        <f t="shared" si="0"/>
        <v>27</v>
      </c>
      <c r="B33" s="14"/>
      <c r="C33" s="628" t="s">
        <v>2347</v>
      </c>
      <c r="D33" s="102">
        <v>7885</v>
      </c>
      <c r="E33" s="129"/>
      <c r="F33" s="14"/>
      <c r="G33" s="519" t="s">
        <v>1551</v>
      </c>
      <c r="H33" s="14"/>
      <c r="I33" s="14"/>
      <c r="J33" s="967"/>
      <c r="K33" s="14"/>
    </row>
    <row r="34" spans="1:11" x14ac:dyDescent="0.2">
      <c r="A34" s="115">
        <f t="shared" si="0"/>
        <v>28</v>
      </c>
      <c r="B34" s="14"/>
      <c r="C34" s="14" t="s">
        <v>2348</v>
      </c>
      <c r="D34" s="102">
        <v>8231</v>
      </c>
      <c r="E34" s="129"/>
      <c r="F34" s="14"/>
      <c r="G34" s="519" t="s">
        <v>1552</v>
      </c>
      <c r="H34" s="14"/>
      <c r="I34" s="14"/>
      <c r="J34" s="14"/>
      <c r="K34" s="14"/>
    </row>
    <row r="35" spans="1:11" x14ac:dyDescent="0.2">
      <c r="A35" s="115">
        <f t="shared" si="0"/>
        <v>29</v>
      </c>
      <c r="B35" s="14"/>
      <c r="C35" s="14" t="s">
        <v>2349</v>
      </c>
      <c r="D35" s="117">
        <f>SUM(D33:D34)</f>
        <v>16116</v>
      </c>
      <c r="E35" s="15" t="str">
        <f>" = L"&amp;A33&amp;" + L"&amp;A34&amp;""</f>
        <v xml:space="preserve"> = L27 + L28</v>
      </c>
      <c r="F35" s="14"/>
      <c r="G35" s="519" t="s">
        <v>1553</v>
      </c>
      <c r="H35" s="14"/>
      <c r="I35" s="14"/>
      <c r="J35" s="14"/>
      <c r="K35" s="14"/>
    </row>
    <row r="36" spans="1:11" x14ac:dyDescent="0.2">
      <c r="A36" s="115">
        <f t="shared" si="0"/>
        <v>30</v>
      </c>
      <c r="B36" s="14"/>
      <c r="C36" s="628" t="s">
        <v>2356</v>
      </c>
      <c r="D36" s="1135">
        <f>D33/D35</f>
        <v>0.48926532638371806</v>
      </c>
      <c r="E36" s="15" t="str">
        <f>" = L"&amp;A33&amp;" / L"&amp;A35&amp;""</f>
        <v xml:space="preserve"> = L27 / L29</v>
      </c>
      <c r="F36" s="14"/>
      <c r="G36" s="1017"/>
      <c r="H36" s="14"/>
      <c r="I36" s="14"/>
      <c r="J36" s="14"/>
      <c r="K36" s="14"/>
    </row>
    <row r="37" spans="1:11" x14ac:dyDescent="0.2">
      <c r="A37" s="115">
        <f t="shared" si="0"/>
        <v>31</v>
      </c>
      <c r="B37" s="14"/>
      <c r="C37" s="14"/>
      <c r="D37" s="14"/>
      <c r="E37" s="14"/>
      <c r="F37" s="14"/>
      <c r="G37" s="1017"/>
      <c r="H37" s="14"/>
      <c r="I37" s="14"/>
      <c r="J37" s="14"/>
      <c r="K37" s="14"/>
    </row>
    <row r="38" spans="1:11" x14ac:dyDescent="0.2">
      <c r="A38" s="115">
        <f t="shared" si="0"/>
        <v>32</v>
      </c>
      <c r="B38" s="628" t="s">
        <v>2352</v>
      </c>
      <c r="C38" s="14"/>
      <c r="D38" s="129" t="s">
        <v>2350</v>
      </c>
      <c r="E38" s="129" t="s">
        <v>196</v>
      </c>
      <c r="F38" s="14"/>
      <c r="G38" s="784" t="s">
        <v>2351</v>
      </c>
      <c r="H38" s="14"/>
      <c r="I38" s="14"/>
      <c r="J38" s="14"/>
      <c r="K38" s="14"/>
    </row>
    <row r="39" spans="1:11" x14ac:dyDescent="0.2">
      <c r="A39" s="115">
        <f t="shared" si="0"/>
        <v>33</v>
      </c>
      <c r="B39" s="14"/>
      <c r="C39" s="628" t="s">
        <v>2353</v>
      </c>
      <c r="D39" s="102">
        <v>233</v>
      </c>
      <c r="E39" s="129"/>
      <c r="F39" s="14"/>
      <c r="G39" s="519" t="s">
        <v>1557</v>
      </c>
      <c r="H39" s="14"/>
      <c r="I39" s="14"/>
      <c r="J39" s="14"/>
      <c r="K39" s="14"/>
    </row>
    <row r="40" spans="1:11" x14ac:dyDescent="0.2">
      <c r="A40" s="115">
        <f t="shared" si="0"/>
        <v>34</v>
      </c>
      <c r="B40" s="14"/>
      <c r="C40" s="628" t="s">
        <v>2354</v>
      </c>
      <c r="D40" s="102">
        <v>971</v>
      </c>
      <c r="E40" s="129"/>
      <c r="F40" s="14"/>
      <c r="G40" s="14"/>
      <c r="H40" s="14"/>
      <c r="I40" s="14"/>
      <c r="J40" s="14"/>
      <c r="K40" s="14"/>
    </row>
    <row r="41" spans="1:11" x14ac:dyDescent="0.2">
      <c r="A41" s="115">
        <f t="shared" si="0"/>
        <v>35</v>
      </c>
      <c r="B41" s="14"/>
      <c r="C41" s="628" t="s">
        <v>2355</v>
      </c>
      <c r="D41" s="117">
        <f>SUM(D39:D40)</f>
        <v>1204</v>
      </c>
      <c r="E41" s="15" t="str">
        <f>" = L"&amp;A39&amp;" + L"&amp;A40&amp;""</f>
        <v xml:space="preserve"> = L33 + L34</v>
      </c>
      <c r="F41" s="14"/>
      <c r="G41" s="14"/>
      <c r="H41" s="14"/>
      <c r="I41" s="14"/>
      <c r="J41" s="14"/>
      <c r="K41" s="14"/>
    </row>
    <row r="42" spans="1:11" x14ac:dyDescent="0.2">
      <c r="A42" s="115">
        <f t="shared" si="0"/>
        <v>36</v>
      </c>
      <c r="B42" s="14"/>
      <c r="C42" s="628" t="s">
        <v>2357</v>
      </c>
      <c r="D42" s="1135">
        <f>D39/D41</f>
        <v>0.19352159468438537</v>
      </c>
      <c r="E42" s="15" t="str">
        <f>" = L"&amp;A39&amp;" / L"&amp;A41&amp;""</f>
        <v xml:space="preserve"> = L33 / L35</v>
      </c>
      <c r="F42" s="14"/>
      <c r="G42" s="14"/>
      <c r="H42" s="14"/>
      <c r="I42" s="14"/>
      <c r="J42" s="14"/>
      <c r="K42" s="14"/>
    </row>
    <row r="43" spans="1:11" x14ac:dyDescent="0.2">
      <c r="A43" s="115">
        <f t="shared" si="0"/>
        <v>37</v>
      </c>
      <c r="B43" s="14"/>
      <c r="C43" s="14"/>
      <c r="D43" s="14"/>
      <c r="E43" s="14"/>
      <c r="F43" s="14"/>
      <c r="G43" s="14"/>
      <c r="H43" s="14"/>
      <c r="I43" s="14"/>
      <c r="J43" s="14"/>
      <c r="K43" s="14"/>
    </row>
    <row r="44" spans="1:11" x14ac:dyDescent="0.2">
      <c r="A44" s="115">
        <f t="shared" si="0"/>
        <v>38</v>
      </c>
      <c r="B44" s="628" t="s">
        <v>2358</v>
      </c>
      <c r="C44" s="14"/>
      <c r="D44" s="129" t="s">
        <v>2350</v>
      </c>
      <c r="E44" s="129" t="s">
        <v>196</v>
      </c>
      <c r="F44" s="14"/>
      <c r="G44" s="784" t="s">
        <v>2351</v>
      </c>
      <c r="H44" s="14"/>
      <c r="I44" s="14"/>
      <c r="J44" s="14"/>
      <c r="K44" s="14"/>
    </row>
    <row r="45" spans="1:11" x14ac:dyDescent="0.2">
      <c r="A45" s="115">
        <f t="shared" si="0"/>
        <v>39</v>
      </c>
      <c r="B45" s="14"/>
      <c r="C45" s="628" t="s">
        <v>2359</v>
      </c>
      <c r="D45" s="102">
        <v>659</v>
      </c>
      <c r="E45" s="129"/>
      <c r="F45" s="14"/>
      <c r="G45" s="519" t="s">
        <v>1558</v>
      </c>
      <c r="H45" s="14"/>
      <c r="I45" s="14"/>
      <c r="J45" s="14"/>
      <c r="K45" s="14"/>
    </row>
    <row r="46" spans="1:11" x14ac:dyDescent="0.2">
      <c r="A46" s="115">
        <f t="shared" si="0"/>
        <v>40</v>
      </c>
      <c r="B46" s="14"/>
      <c r="C46" s="628" t="s">
        <v>2364</v>
      </c>
      <c r="D46" s="102">
        <v>4738</v>
      </c>
      <c r="E46" s="129"/>
      <c r="F46" s="14"/>
      <c r="G46" s="14"/>
      <c r="H46" s="14"/>
      <c r="I46" s="14"/>
      <c r="J46" s="14"/>
      <c r="K46" s="14"/>
    </row>
    <row r="47" spans="1:11" x14ac:dyDescent="0.2">
      <c r="A47" s="115">
        <f t="shared" si="0"/>
        <v>41</v>
      </c>
      <c r="B47" s="14"/>
      <c r="C47" s="628" t="s">
        <v>2360</v>
      </c>
      <c r="D47" s="117">
        <f>SUM(D45:D46)</f>
        <v>5397</v>
      </c>
      <c r="E47" s="15" t="str">
        <f>" = L"&amp;A45&amp;" + L"&amp;A46&amp;""</f>
        <v xml:space="preserve"> = L39 + L40</v>
      </c>
      <c r="F47" s="14"/>
      <c r="G47" s="14"/>
      <c r="H47" s="14"/>
      <c r="I47" s="14"/>
      <c r="J47" s="14"/>
      <c r="K47" s="14"/>
    </row>
    <row r="48" spans="1:11" x14ac:dyDescent="0.2">
      <c r="A48" s="115">
        <f t="shared" si="0"/>
        <v>42</v>
      </c>
      <c r="B48" s="14"/>
      <c r="C48" s="628" t="s">
        <v>2361</v>
      </c>
      <c r="D48" s="1135">
        <f>D45/D47</f>
        <v>0.12210487307763572</v>
      </c>
      <c r="E48" s="15" t="str">
        <f>" = L"&amp;A45&amp;" / L"&amp;A47&amp;""</f>
        <v xml:space="preserve"> = L39 / L41</v>
      </c>
      <c r="F48" s="14"/>
      <c r="G48" s="14"/>
      <c r="H48" s="14"/>
      <c r="I48" s="14"/>
      <c r="J48" s="14"/>
      <c r="K48" s="14"/>
    </row>
    <row r="49" spans="1:11" x14ac:dyDescent="0.2">
      <c r="A49" s="115">
        <f t="shared" si="0"/>
        <v>43</v>
      </c>
      <c r="B49" s="14"/>
      <c r="C49" s="14"/>
      <c r="D49" s="14"/>
      <c r="E49" s="14"/>
      <c r="F49" s="14"/>
      <c r="G49" s="14"/>
      <c r="H49" s="14"/>
      <c r="I49" s="14"/>
      <c r="J49" s="14"/>
      <c r="K49" s="14"/>
    </row>
    <row r="50" spans="1:11" x14ac:dyDescent="0.2">
      <c r="A50" s="115">
        <f t="shared" si="0"/>
        <v>44</v>
      </c>
      <c r="B50" s="628" t="s">
        <v>2367</v>
      </c>
      <c r="C50" s="14"/>
      <c r="D50" s="129" t="s">
        <v>2350</v>
      </c>
      <c r="E50" s="129" t="s">
        <v>196</v>
      </c>
      <c r="F50" s="14"/>
      <c r="G50" s="784" t="s">
        <v>2351</v>
      </c>
      <c r="H50" s="14"/>
      <c r="I50" s="14"/>
      <c r="J50" s="14"/>
      <c r="K50" s="14"/>
    </row>
    <row r="51" spans="1:11" x14ac:dyDescent="0.2">
      <c r="A51" s="115">
        <f t="shared" si="0"/>
        <v>45</v>
      </c>
      <c r="B51" s="14"/>
      <c r="C51" s="628" t="s">
        <v>2362</v>
      </c>
      <c r="D51" s="102">
        <v>5775</v>
      </c>
      <c r="E51" s="129"/>
      <c r="F51" s="14"/>
      <c r="G51" s="519" t="s">
        <v>1560</v>
      </c>
      <c r="H51" s="14"/>
      <c r="I51" s="14"/>
      <c r="J51" s="14"/>
      <c r="K51" s="14"/>
    </row>
    <row r="52" spans="1:11" x14ac:dyDescent="0.2">
      <c r="A52" s="115">
        <f t="shared" si="0"/>
        <v>46</v>
      </c>
      <c r="B52" s="14"/>
      <c r="C52" s="628" t="s">
        <v>2363</v>
      </c>
      <c r="D52" s="102">
        <v>5981</v>
      </c>
      <c r="E52" s="129"/>
      <c r="F52" s="14"/>
      <c r="G52" s="519" t="s">
        <v>1587</v>
      </c>
      <c r="H52" s="14"/>
      <c r="I52" s="14"/>
      <c r="J52" s="14"/>
      <c r="K52" s="14"/>
    </row>
    <row r="53" spans="1:11" x14ac:dyDescent="0.2">
      <c r="A53" s="115">
        <f t="shared" si="0"/>
        <v>47</v>
      </c>
      <c r="B53" s="14"/>
      <c r="C53" s="628" t="s">
        <v>2365</v>
      </c>
      <c r="D53" s="117">
        <f>SUM(D51:D52)</f>
        <v>11756</v>
      </c>
      <c r="E53" s="15" t="str">
        <f>" = L"&amp;A51&amp;" + L"&amp;A52&amp;""</f>
        <v xml:space="preserve"> = L45 + L46</v>
      </c>
      <c r="F53" s="14"/>
      <c r="G53" s="519" t="s">
        <v>1588</v>
      </c>
      <c r="H53" s="14"/>
      <c r="I53" s="14"/>
      <c r="J53" s="14"/>
      <c r="K53" s="14"/>
    </row>
    <row r="54" spans="1:11" x14ac:dyDescent="0.2">
      <c r="A54" s="115">
        <f t="shared" si="0"/>
        <v>48</v>
      </c>
      <c r="B54" s="14"/>
      <c r="C54" s="628" t="s">
        <v>2366</v>
      </c>
      <c r="D54" s="1135">
        <f>D51/D53</f>
        <v>0.49123851650221162</v>
      </c>
      <c r="E54" s="15" t="str">
        <f>" = L"&amp;A51&amp;" / L"&amp;A53&amp;""</f>
        <v xml:space="preserve"> = L45 / L47</v>
      </c>
      <c r="F54" s="14"/>
      <c r="G54" s="519" t="s">
        <v>1589</v>
      </c>
      <c r="H54" s="14"/>
      <c r="I54" s="14"/>
      <c r="J54" s="14"/>
      <c r="K54" s="14"/>
    </row>
    <row r="55" spans="1:11" x14ac:dyDescent="0.2">
      <c r="A55" s="115">
        <f t="shared" si="0"/>
        <v>49</v>
      </c>
      <c r="B55" s="129"/>
      <c r="C55" s="129"/>
      <c r="D55" s="14"/>
      <c r="E55" s="129"/>
      <c r="F55" s="14"/>
      <c r="G55" s="129"/>
      <c r="H55" s="14"/>
      <c r="I55" s="14"/>
      <c r="J55" s="14"/>
      <c r="K55" s="14"/>
    </row>
    <row r="56" spans="1:11" x14ac:dyDescent="0.2">
      <c r="A56" s="115">
        <f t="shared" si="0"/>
        <v>50</v>
      </c>
      <c r="B56" s="628" t="s">
        <v>2368</v>
      </c>
      <c r="C56" s="14"/>
      <c r="D56" s="129" t="s">
        <v>2350</v>
      </c>
      <c r="E56" s="129" t="s">
        <v>196</v>
      </c>
      <c r="F56" s="14"/>
      <c r="G56" s="784" t="s">
        <v>2351</v>
      </c>
      <c r="H56" s="14"/>
      <c r="I56" s="14"/>
      <c r="J56" s="14"/>
      <c r="K56" s="14"/>
    </row>
    <row r="57" spans="1:11" x14ac:dyDescent="0.2">
      <c r="A57" s="115">
        <f t="shared" si="0"/>
        <v>51</v>
      </c>
      <c r="B57" s="1016"/>
      <c r="C57" s="628" t="s">
        <v>2369</v>
      </c>
      <c r="D57" s="102">
        <v>6</v>
      </c>
      <c r="E57" s="129"/>
      <c r="F57" s="14"/>
      <c r="G57" s="519" t="s">
        <v>1561</v>
      </c>
      <c r="H57" s="14"/>
      <c r="I57" s="14"/>
      <c r="J57" s="14"/>
      <c r="K57" s="14"/>
    </row>
    <row r="58" spans="1:11" x14ac:dyDescent="0.2">
      <c r="A58" s="115">
        <f t="shared" si="0"/>
        <v>52</v>
      </c>
      <c r="B58" s="1016"/>
      <c r="C58" s="628" t="s">
        <v>2370</v>
      </c>
      <c r="D58" s="102">
        <v>341</v>
      </c>
      <c r="E58" s="129"/>
      <c r="F58" s="14"/>
      <c r="G58" s="519" t="s">
        <v>1591</v>
      </c>
      <c r="H58" s="14"/>
      <c r="I58" s="14"/>
      <c r="J58" s="14"/>
      <c r="K58" s="14"/>
    </row>
    <row r="59" spans="1:11" x14ac:dyDescent="0.2">
      <c r="A59" s="115">
        <f t="shared" si="0"/>
        <v>53</v>
      </c>
      <c r="B59" s="1016"/>
      <c r="C59" s="628" t="s">
        <v>2371</v>
      </c>
      <c r="D59" s="117">
        <f>SUM(D57:D58)</f>
        <v>347</v>
      </c>
      <c r="E59" s="15" t="str">
        <f>" = L"&amp;A57&amp;" + L"&amp;A58&amp;""</f>
        <v xml:space="preserve"> = L51 + L52</v>
      </c>
      <c r="F59" s="14"/>
      <c r="G59" s="14"/>
      <c r="H59" s="14"/>
      <c r="I59" s="14"/>
      <c r="J59" s="14"/>
      <c r="K59" s="14"/>
    </row>
    <row r="60" spans="1:11" x14ac:dyDescent="0.2">
      <c r="A60" s="115">
        <f t="shared" si="0"/>
        <v>54</v>
      </c>
      <c r="B60" s="1016"/>
      <c r="C60" s="628" t="s">
        <v>2372</v>
      </c>
      <c r="D60" s="1135">
        <f>D57/D59</f>
        <v>1.7291066282420751E-2</v>
      </c>
      <c r="E60" s="15" t="str">
        <f>" = L"&amp;A57&amp;" / L"&amp;A59&amp;""</f>
        <v xml:space="preserve"> = L51 / L53</v>
      </c>
      <c r="F60" s="14"/>
      <c r="G60" s="14"/>
      <c r="H60" s="14"/>
      <c r="I60" s="14"/>
      <c r="J60" s="14"/>
      <c r="K60" s="14"/>
    </row>
    <row r="61" spans="1:11" x14ac:dyDescent="0.2">
      <c r="A61" s="115">
        <f t="shared" si="0"/>
        <v>55</v>
      </c>
      <c r="B61" s="1016"/>
      <c r="C61" s="118"/>
      <c r="D61" s="14"/>
      <c r="E61" s="129"/>
      <c r="F61" s="14"/>
      <c r="G61" s="65"/>
      <c r="H61" s="14"/>
      <c r="I61" s="14"/>
      <c r="J61" s="14"/>
      <c r="K61" s="14"/>
    </row>
    <row r="62" spans="1:11" x14ac:dyDescent="0.2">
      <c r="A62" s="115">
        <f t="shared" si="0"/>
        <v>56</v>
      </c>
      <c r="B62" s="628" t="s">
        <v>2537</v>
      </c>
      <c r="C62" s="14"/>
      <c r="D62" s="129" t="s">
        <v>2350</v>
      </c>
      <c r="E62" s="129" t="s">
        <v>196</v>
      </c>
      <c r="F62" s="14"/>
      <c r="G62" s="784" t="s">
        <v>2351</v>
      </c>
      <c r="H62" s="14"/>
      <c r="I62" s="14"/>
      <c r="J62" s="14"/>
      <c r="K62" s="14"/>
    </row>
    <row r="63" spans="1:11" x14ac:dyDescent="0.2">
      <c r="A63" s="115">
        <f t="shared" ref="A63:A124" si="1">A62+1</f>
        <v>57</v>
      </c>
      <c r="B63" s="1016"/>
      <c r="C63" s="628" t="s">
        <v>2373</v>
      </c>
      <c r="D63" s="102">
        <v>6189052</v>
      </c>
      <c r="E63" s="129"/>
      <c r="F63" s="14"/>
      <c r="G63" s="519" t="s">
        <v>1571</v>
      </c>
      <c r="H63" s="14"/>
      <c r="I63" s="14"/>
      <c r="J63" s="14"/>
      <c r="K63" s="14"/>
    </row>
    <row r="64" spans="1:11" x14ac:dyDescent="0.2">
      <c r="A64" s="115">
        <f t="shared" si="1"/>
        <v>58</v>
      </c>
      <c r="B64" s="1016"/>
      <c r="C64" s="628" t="s">
        <v>2374</v>
      </c>
      <c r="D64" s="102">
        <v>2391841</v>
      </c>
      <c r="E64" s="129"/>
      <c r="F64" s="14"/>
      <c r="G64" s="519"/>
      <c r="H64" s="14"/>
      <c r="I64" s="14"/>
      <c r="J64" s="14"/>
      <c r="K64" s="14"/>
    </row>
    <row r="65" spans="1:11" x14ac:dyDescent="0.2">
      <c r="A65" s="115">
        <f t="shared" si="1"/>
        <v>59</v>
      </c>
      <c r="B65" s="1016"/>
      <c r="C65" s="628" t="s">
        <v>2375</v>
      </c>
      <c r="D65" s="117">
        <f>SUM(D63:D64)</f>
        <v>8580893</v>
      </c>
      <c r="E65" s="15" t="str">
        <f>" = L"&amp;A63&amp;" + L"&amp;A64&amp;""</f>
        <v xml:space="preserve"> = L57 + L58</v>
      </c>
      <c r="F65" s="14"/>
      <c r="G65" s="14"/>
      <c r="H65" s="14"/>
      <c r="I65" s="14"/>
      <c r="J65" s="14"/>
      <c r="K65" s="14"/>
    </row>
    <row r="66" spans="1:11" x14ac:dyDescent="0.2">
      <c r="A66" s="115">
        <f t="shared" si="1"/>
        <v>60</v>
      </c>
      <c r="B66" s="1016"/>
      <c r="C66" s="628" t="s">
        <v>2376</v>
      </c>
      <c r="D66" s="1135">
        <f>D63/D65</f>
        <v>0.72125966376692963</v>
      </c>
      <c r="E66" s="15" t="str">
        <f>" = L"&amp;A63&amp;" / L"&amp;A65&amp;""</f>
        <v xml:space="preserve"> = L57 / L59</v>
      </c>
      <c r="F66" s="14"/>
      <c r="G66" s="14"/>
      <c r="H66" s="14"/>
      <c r="I66" s="14"/>
      <c r="J66" s="14"/>
      <c r="K66" s="14"/>
    </row>
    <row r="67" spans="1:11" x14ac:dyDescent="0.2">
      <c r="A67" s="115">
        <f t="shared" si="1"/>
        <v>61</v>
      </c>
      <c r="B67" s="1134"/>
      <c r="C67" s="129"/>
      <c r="D67" s="14"/>
      <c r="E67" s="1135"/>
      <c r="F67" s="14"/>
      <c r="G67" s="14"/>
      <c r="H67" s="14"/>
      <c r="I67" s="14"/>
      <c r="J67" s="14"/>
      <c r="K67" s="14"/>
    </row>
    <row r="68" spans="1:11" x14ac:dyDescent="0.2">
      <c r="A68" s="115">
        <f t="shared" si="1"/>
        <v>62</v>
      </c>
      <c r="B68" s="628" t="s">
        <v>2538</v>
      </c>
      <c r="C68" s="14"/>
      <c r="D68" s="129" t="s">
        <v>2350</v>
      </c>
      <c r="E68" s="129" t="s">
        <v>196</v>
      </c>
      <c r="F68" s="14"/>
      <c r="G68" s="784" t="s">
        <v>2351</v>
      </c>
      <c r="H68" s="14"/>
      <c r="I68" s="14"/>
      <c r="J68" s="14"/>
      <c r="K68" s="14"/>
    </row>
    <row r="69" spans="1:11" x14ac:dyDescent="0.2">
      <c r="A69" s="115">
        <f t="shared" si="1"/>
        <v>63</v>
      </c>
      <c r="B69" s="1016"/>
      <c r="C69" s="628" t="s">
        <v>2377</v>
      </c>
      <c r="D69" s="102">
        <v>377</v>
      </c>
      <c r="E69" s="129"/>
      <c r="F69" s="14"/>
      <c r="G69" s="519" t="s">
        <v>1572</v>
      </c>
      <c r="H69" s="14"/>
      <c r="I69" s="14"/>
      <c r="J69" s="14"/>
      <c r="K69" s="14"/>
    </row>
    <row r="70" spans="1:11" x14ac:dyDescent="0.2">
      <c r="A70" s="115">
        <f t="shared" si="1"/>
        <v>64</v>
      </c>
      <c r="B70" s="1016"/>
      <c r="C70" s="628" t="s">
        <v>2378</v>
      </c>
      <c r="D70" s="102">
        <v>38</v>
      </c>
      <c r="E70" s="129"/>
      <c r="F70" s="14"/>
      <c r="G70" s="519"/>
      <c r="H70" s="14"/>
      <c r="I70" s="14"/>
      <c r="J70" s="14"/>
      <c r="K70" s="14"/>
    </row>
    <row r="71" spans="1:11" x14ac:dyDescent="0.2">
      <c r="A71" s="115">
        <f t="shared" si="1"/>
        <v>65</v>
      </c>
      <c r="B71" s="1016"/>
      <c r="C71" s="628" t="s">
        <v>2379</v>
      </c>
      <c r="D71" s="117">
        <f>SUM(D69:D70)</f>
        <v>415</v>
      </c>
      <c r="E71" s="15" t="str">
        <f>" = L"&amp;A69&amp;" + L"&amp;A70&amp;""</f>
        <v xml:space="preserve"> = L63 + L64</v>
      </c>
      <c r="F71" s="14"/>
      <c r="G71" s="14"/>
      <c r="H71" s="14"/>
      <c r="I71" s="14"/>
      <c r="J71" s="14"/>
      <c r="K71" s="14"/>
    </row>
    <row r="72" spans="1:11" x14ac:dyDescent="0.2">
      <c r="A72" s="115">
        <f t="shared" si="1"/>
        <v>66</v>
      </c>
      <c r="B72" s="1016"/>
      <c r="C72" s="628" t="s">
        <v>2380</v>
      </c>
      <c r="D72" s="1135">
        <f>D69/D71</f>
        <v>0.90843373493975899</v>
      </c>
      <c r="E72" s="15" t="str">
        <f>" = L"&amp;A69&amp;" / L"&amp;A71&amp;""</f>
        <v xml:space="preserve"> = L63 / L65</v>
      </c>
      <c r="F72" s="14"/>
      <c r="G72" s="14"/>
      <c r="H72" s="14"/>
      <c r="I72" s="14"/>
      <c r="J72" s="14"/>
      <c r="K72" s="14"/>
    </row>
    <row r="73" spans="1:11" x14ac:dyDescent="0.2">
      <c r="A73" s="115">
        <f t="shared" si="1"/>
        <v>67</v>
      </c>
      <c r="B73" s="45"/>
      <c r="C73" s="14"/>
      <c r="D73" s="14"/>
      <c r="E73" s="14"/>
      <c r="F73" s="14"/>
      <c r="G73" s="14"/>
      <c r="H73" s="14"/>
      <c r="I73" s="14"/>
      <c r="J73" s="14"/>
      <c r="K73" s="14"/>
    </row>
    <row r="74" spans="1:11" x14ac:dyDescent="0.2">
      <c r="A74" s="115">
        <f t="shared" si="1"/>
        <v>68</v>
      </c>
      <c r="B74" s="628" t="s">
        <v>2539</v>
      </c>
      <c r="C74" s="14"/>
      <c r="D74" s="129" t="s">
        <v>2350</v>
      </c>
      <c r="E74" s="129" t="s">
        <v>196</v>
      </c>
      <c r="F74" s="14"/>
      <c r="G74" s="784" t="s">
        <v>2351</v>
      </c>
      <c r="H74" s="14"/>
      <c r="I74" s="14"/>
      <c r="J74" s="14"/>
      <c r="K74" s="14"/>
    </row>
    <row r="75" spans="1:11" x14ac:dyDescent="0.2">
      <c r="A75" s="115">
        <f t="shared" si="1"/>
        <v>69</v>
      </c>
      <c r="B75" s="1016"/>
      <c r="C75" s="628" t="s">
        <v>2381</v>
      </c>
      <c r="D75" s="102">
        <v>85</v>
      </c>
      <c r="E75" s="129"/>
      <c r="F75" s="14"/>
      <c r="G75" s="519" t="s">
        <v>1582</v>
      </c>
      <c r="H75" s="14"/>
      <c r="I75" s="14"/>
      <c r="J75" s="14"/>
      <c r="K75" s="14"/>
    </row>
    <row r="76" spans="1:11" x14ac:dyDescent="0.2">
      <c r="A76" s="115">
        <f t="shared" si="1"/>
        <v>70</v>
      </c>
      <c r="B76" s="1016"/>
      <c r="C76" s="628" t="s">
        <v>2382</v>
      </c>
      <c r="D76" s="102">
        <v>372</v>
      </c>
      <c r="E76" s="129"/>
      <c r="F76" s="14"/>
      <c r="G76" s="519"/>
      <c r="H76" s="14"/>
      <c r="I76" s="14"/>
      <c r="J76" s="14"/>
      <c r="K76" s="14"/>
    </row>
    <row r="77" spans="1:11" x14ac:dyDescent="0.2">
      <c r="A77" s="115">
        <f t="shared" si="1"/>
        <v>71</v>
      </c>
      <c r="B77" s="1016"/>
      <c r="C77" s="628" t="s">
        <v>2383</v>
      </c>
      <c r="D77" s="117">
        <f>SUM(D75:D76)</f>
        <v>457</v>
      </c>
      <c r="E77" s="15" t="str">
        <f>" = L"&amp;A75&amp;" + L"&amp;A76&amp;""</f>
        <v xml:space="preserve"> = L69 + L70</v>
      </c>
      <c r="F77" s="14"/>
      <c r="G77" s="14"/>
      <c r="H77" s="14"/>
      <c r="I77" s="14"/>
      <c r="J77" s="14"/>
      <c r="K77" s="14"/>
    </row>
    <row r="78" spans="1:11" x14ac:dyDescent="0.2">
      <c r="A78" s="115">
        <f t="shared" si="1"/>
        <v>72</v>
      </c>
      <c r="B78" s="1016"/>
      <c r="C78" s="628" t="s">
        <v>2384</v>
      </c>
      <c r="D78" s="1135">
        <f>D75/D77</f>
        <v>0.18599562363238512</v>
      </c>
      <c r="E78" s="15" t="str">
        <f>" = L"&amp;A75&amp;" / L"&amp;A77&amp;""</f>
        <v xml:space="preserve"> = L69 / L71</v>
      </c>
      <c r="F78" s="14"/>
      <c r="G78" s="14"/>
      <c r="H78" s="14"/>
      <c r="I78" s="14"/>
      <c r="J78" s="14"/>
      <c r="K78" s="14"/>
    </row>
    <row r="79" spans="1:11" x14ac:dyDescent="0.2">
      <c r="A79" s="115">
        <f t="shared" si="1"/>
        <v>73</v>
      </c>
      <c r="B79" s="14"/>
      <c r="C79" s="14"/>
      <c r="D79" s="14"/>
      <c r="E79" s="14"/>
      <c r="F79" s="14"/>
      <c r="G79" s="14"/>
      <c r="H79" s="14"/>
      <c r="I79" s="14"/>
      <c r="J79" s="14"/>
      <c r="K79" s="14"/>
    </row>
    <row r="80" spans="1:11" x14ac:dyDescent="0.2">
      <c r="A80" s="115">
        <f t="shared" si="1"/>
        <v>74</v>
      </c>
      <c r="B80" s="628" t="s">
        <v>2540</v>
      </c>
      <c r="C80" s="14"/>
      <c r="D80" s="129" t="s">
        <v>2350</v>
      </c>
      <c r="E80" s="129" t="s">
        <v>196</v>
      </c>
      <c r="F80" s="14"/>
      <c r="G80" s="784" t="s">
        <v>2351</v>
      </c>
      <c r="H80" s="14"/>
      <c r="I80" s="14"/>
      <c r="J80" s="14"/>
      <c r="K80" s="14"/>
    </row>
    <row r="81" spans="1:11" x14ac:dyDescent="0.2">
      <c r="A81" s="115">
        <f t="shared" si="1"/>
        <v>75</v>
      </c>
      <c r="B81" s="1016"/>
      <c r="C81" s="628" t="s">
        <v>2385</v>
      </c>
      <c r="D81" s="102">
        <v>775</v>
      </c>
      <c r="E81" s="129"/>
      <c r="F81" s="14"/>
      <c r="G81" s="519" t="s">
        <v>1583</v>
      </c>
      <c r="H81" s="14"/>
      <c r="I81" s="14"/>
      <c r="J81" s="14"/>
      <c r="K81" s="14"/>
    </row>
    <row r="82" spans="1:11" x14ac:dyDescent="0.2">
      <c r="A82" s="115">
        <f t="shared" si="1"/>
        <v>76</v>
      </c>
      <c r="B82" s="1016"/>
      <c r="C82" s="628" t="s">
        <v>2386</v>
      </c>
      <c r="D82" s="102">
        <v>1962</v>
      </c>
      <c r="E82" s="129"/>
      <c r="F82" s="14"/>
      <c r="G82" s="519"/>
      <c r="H82" s="14"/>
      <c r="I82" s="14"/>
      <c r="J82" s="14"/>
      <c r="K82" s="14"/>
    </row>
    <row r="83" spans="1:11" x14ac:dyDescent="0.2">
      <c r="A83" s="115">
        <f t="shared" si="1"/>
        <v>77</v>
      </c>
      <c r="B83" s="1016"/>
      <c r="C83" s="628" t="s">
        <v>2387</v>
      </c>
      <c r="D83" s="117">
        <f>SUM(D81:D82)</f>
        <v>2737</v>
      </c>
      <c r="E83" s="15" t="str">
        <f>" = L"&amp;A81&amp;" + L"&amp;A82&amp;""</f>
        <v xml:space="preserve"> = L75 + L76</v>
      </c>
      <c r="F83" s="14"/>
      <c r="G83" s="14"/>
      <c r="H83" s="14"/>
      <c r="I83" s="14"/>
      <c r="J83" s="14"/>
      <c r="K83" s="14"/>
    </row>
    <row r="84" spans="1:11" x14ac:dyDescent="0.2">
      <c r="A84" s="115">
        <f t="shared" si="1"/>
        <v>78</v>
      </c>
      <c r="B84" s="1016"/>
      <c r="C84" s="628" t="s">
        <v>2388</v>
      </c>
      <c r="D84" s="1135">
        <f>D81/D83</f>
        <v>0.28315674095725246</v>
      </c>
      <c r="E84" s="15" t="str">
        <f>" = L"&amp;A81&amp;" / L"&amp;A83&amp;""</f>
        <v xml:space="preserve"> = L75 / L77</v>
      </c>
      <c r="F84" s="14"/>
      <c r="G84" s="14"/>
      <c r="H84" s="14"/>
      <c r="I84" s="14"/>
      <c r="J84" s="14"/>
      <c r="K84" s="14"/>
    </row>
    <row r="85" spans="1:11" x14ac:dyDescent="0.2">
      <c r="A85" s="115">
        <f t="shared" si="1"/>
        <v>79</v>
      </c>
      <c r="B85" s="14"/>
      <c r="C85" s="81"/>
      <c r="D85" s="14"/>
      <c r="E85" s="14"/>
      <c r="F85" s="14"/>
      <c r="G85" s="14"/>
      <c r="H85" s="14"/>
      <c r="I85" s="14"/>
      <c r="J85" s="14"/>
      <c r="K85" s="14"/>
    </row>
    <row r="86" spans="1:11" x14ac:dyDescent="0.2">
      <c r="A86" s="115">
        <f t="shared" si="1"/>
        <v>80</v>
      </c>
      <c r="B86" s="628" t="s">
        <v>2541</v>
      </c>
      <c r="C86" s="14"/>
      <c r="D86" s="129" t="s">
        <v>2350</v>
      </c>
      <c r="E86" s="129" t="s">
        <v>196</v>
      </c>
      <c r="F86" s="14"/>
      <c r="G86" s="784" t="s">
        <v>2351</v>
      </c>
      <c r="H86" s="14"/>
      <c r="I86" s="14"/>
      <c r="J86" s="14"/>
      <c r="K86" s="14"/>
    </row>
    <row r="87" spans="1:11" x14ac:dyDescent="0.2">
      <c r="A87" s="115">
        <f t="shared" si="1"/>
        <v>81</v>
      </c>
      <c r="B87" s="1016"/>
      <c r="C87" s="628" t="s">
        <v>2389</v>
      </c>
      <c r="D87" s="102">
        <v>76</v>
      </c>
      <c r="E87" s="129"/>
      <c r="F87" s="14"/>
      <c r="G87" s="519" t="s">
        <v>1584</v>
      </c>
      <c r="H87" s="14"/>
      <c r="I87" s="14"/>
      <c r="J87" s="14"/>
      <c r="K87" s="14"/>
    </row>
    <row r="88" spans="1:11" x14ac:dyDescent="0.2">
      <c r="A88" s="115">
        <f t="shared" si="1"/>
        <v>82</v>
      </c>
      <c r="B88" s="1016"/>
      <c r="C88" s="628" t="s">
        <v>2390</v>
      </c>
      <c r="D88" s="102">
        <v>20</v>
      </c>
      <c r="E88" s="129"/>
      <c r="F88" s="14"/>
      <c r="G88" s="519"/>
      <c r="H88" s="14"/>
      <c r="I88" s="14"/>
      <c r="J88" s="14"/>
      <c r="K88" s="14"/>
    </row>
    <row r="89" spans="1:11" x14ac:dyDescent="0.2">
      <c r="A89" s="115">
        <f t="shared" si="1"/>
        <v>83</v>
      </c>
      <c r="B89" s="1016"/>
      <c r="C89" s="628" t="s">
        <v>2391</v>
      </c>
      <c r="D89" s="117">
        <f>SUM(D87:D88)</f>
        <v>96</v>
      </c>
      <c r="E89" s="15" t="str">
        <f>" = L"&amp;A87&amp;" + L"&amp;A88&amp;""</f>
        <v xml:space="preserve"> = L81 + L82</v>
      </c>
      <c r="F89" s="14"/>
      <c r="G89" s="14"/>
      <c r="H89" s="14"/>
      <c r="I89" s="14"/>
      <c r="J89" s="14"/>
      <c r="K89" s="14"/>
    </row>
    <row r="90" spans="1:11" x14ac:dyDescent="0.2">
      <c r="A90" s="115">
        <f t="shared" si="1"/>
        <v>84</v>
      </c>
      <c r="B90" s="1016"/>
      <c r="C90" s="628" t="s">
        <v>2392</v>
      </c>
      <c r="D90" s="1135">
        <f>D87/D89</f>
        <v>0.79166666666666663</v>
      </c>
      <c r="E90" s="15" t="str">
        <f>" = L"&amp;A87&amp;" / L"&amp;A89&amp;""</f>
        <v xml:space="preserve"> = L81 / L83</v>
      </c>
      <c r="F90" s="14"/>
      <c r="G90" s="14"/>
      <c r="H90" s="14"/>
      <c r="I90" s="14"/>
      <c r="J90" s="14"/>
      <c r="K90" s="14"/>
    </row>
    <row r="91" spans="1:11" x14ac:dyDescent="0.2">
      <c r="A91" s="115">
        <f t="shared" si="1"/>
        <v>85</v>
      </c>
      <c r="B91" s="14"/>
      <c r="C91" s="14"/>
      <c r="D91" s="14"/>
      <c r="E91" s="14"/>
      <c r="F91" s="14"/>
      <c r="G91" s="14"/>
      <c r="H91" s="14"/>
      <c r="I91" s="14"/>
      <c r="J91" s="14"/>
      <c r="K91" s="14"/>
    </row>
    <row r="92" spans="1:11" x14ac:dyDescent="0.2">
      <c r="A92" s="115">
        <f t="shared" si="1"/>
        <v>86</v>
      </c>
      <c r="B92" s="628" t="s">
        <v>2542</v>
      </c>
      <c r="C92" s="14"/>
      <c r="D92" s="129" t="s">
        <v>2350</v>
      </c>
      <c r="E92" s="129" t="s">
        <v>196</v>
      </c>
      <c r="F92" s="14"/>
      <c r="G92" s="784" t="s">
        <v>2351</v>
      </c>
      <c r="H92" s="14"/>
      <c r="I92" s="14"/>
      <c r="J92" s="14"/>
      <c r="K92" s="14"/>
    </row>
    <row r="93" spans="1:11" x14ac:dyDescent="0.2">
      <c r="A93" s="115">
        <f t="shared" si="1"/>
        <v>87</v>
      </c>
      <c r="B93" s="1016"/>
      <c r="C93" s="628" t="s">
        <v>2393</v>
      </c>
      <c r="D93" s="102">
        <v>2162751</v>
      </c>
      <c r="E93" s="129"/>
      <c r="F93" s="14"/>
      <c r="G93" s="14" t="s">
        <v>2098</v>
      </c>
      <c r="H93" s="14"/>
      <c r="I93" s="14"/>
      <c r="J93" s="14"/>
      <c r="K93" s="14"/>
    </row>
    <row r="94" spans="1:11" x14ac:dyDescent="0.2">
      <c r="A94" s="115">
        <f t="shared" si="1"/>
        <v>88</v>
      </c>
      <c r="B94" s="1016"/>
      <c r="C94" s="628" t="s">
        <v>2394</v>
      </c>
      <c r="D94" s="102">
        <v>1524489</v>
      </c>
      <c r="E94" s="129"/>
      <c r="F94" s="14"/>
      <c r="G94" s="519"/>
      <c r="H94" s="14"/>
      <c r="I94" s="14"/>
      <c r="J94" s="14"/>
      <c r="K94" s="14"/>
    </row>
    <row r="95" spans="1:11" x14ac:dyDescent="0.2">
      <c r="A95" s="115">
        <f t="shared" si="1"/>
        <v>89</v>
      </c>
      <c r="B95" s="1016"/>
      <c r="C95" s="628" t="s">
        <v>2395</v>
      </c>
      <c r="D95" s="117">
        <f>SUM(D93:D94)</f>
        <v>3687240</v>
      </c>
      <c r="E95" s="15" t="str">
        <f>" = L"&amp;A93&amp;" + L"&amp;A94&amp;""</f>
        <v xml:space="preserve"> = L87 + L88</v>
      </c>
      <c r="F95" s="14"/>
      <c r="G95" s="14"/>
      <c r="H95" s="14"/>
      <c r="I95" s="14"/>
      <c r="J95" s="14"/>
      <c r="K95" s="14"/>
    </row>
    <row r="96" spans="1:11" x14ac:dyDescent="0.2">
      <c r="A96" s="115">
        <f t="shared" si="1"/>
        <v>90</v>
      </c>
      <c r="B96" s="1016"/>
      <c r="C96" s="628" t="s">
        <v>2396</v>
      </c>
      <c r="D96" s="1135">
        <f>D93/D95</f>
        <v>0.58655010251570283</v>
      </c>
      <c r="E96" s="15" t="str">
        <f>" = L"&amp;A93&amp;" / L"&amp;A95&amp;""</f>
        <v xml:space="preserve"> = L87 / L89</v>
      </c>
      <c r="F96" s="14"/>
      <c r="G96" s="14"/>
      <c r="H96" s="14"/>
      <c r="I96" s="14"/>
      <c r="J96" s="14"/>
      <c r="K96" s="14"/>
    </row>
    <row r="97" spans="1:11" x14ac:dyDescent="0.2">
      <c r="A97" s="115">
        <f t="shared" si="1"/>
        <v>91</v>
      </c>
      <c r="B97" s="14"/>
      <c r="C97" s="14"/>
      <c r="D97" s="14"/>
      <c r="E97" s="14"/>
      <c r="F97" s="14"/>
      <c r="G97" s="14"/>
      <c r="H97" s="14"/>
      <c r="I97" s="14"/>
      <c r="J97" s="14"/>
      <c r="K97" s="14"/>
    </row>
    <row r="98" spans="1:11" x14ac:dyDescent="0.2">
      <c r="A98" s="115">
        <f t="shared" si="1"/>
        <v>92</v>
      </c>
      <c r="B98" s="628" t="s">
        <v>2543</v>
      </c>
      <c r="C98" s="14"/>
      <c r="D98" s="129" t="s">
        <v>2350</v>
      </c>
      <c r="E98" s="129" t="s">
        <v>196</v>
      </c>
      <c r="F98" s="14"/>
      <c r="G98" s="784" t="s">
        <v>2351</v>
      </c>
      <c r="H98" s="14"/>
      <c r="I98" s="14"/>
      <c r="J98" s="14"/>
      <c r="K98" s="14"/>
    </row>
    <row r="99" spans="1:11" x14ac:dyDescent="0.2">
      <c r="A99" s="115">
        <f t="shared" si="1"/>
        <v>93</v>
      </c>
      <c r="B99" s="1016"/>
      <c r="C99" s="628" t="s">
        <v>2397</v>
      </c>
      <c r="D99" s="102">
        <v>3092689</v>
      </c>
      <c r="E99" s="129"/>
      <c r="F99" s="14"/>
      <c r="G99" s="519" t="s">
        <v>1870</v>
      </c>
      <c r="H99" s="14"/>
      <c r="I99" s="14"/>
      <c r="J99" s="14"/>
      <c r="K99" s="14"/>
    </row>
    <row r="100" spans="1:11" x14ac:dyDescent="0.2">
      <c r="A100" s="115">
        <f t="shared" si="1"/>
        <v>94</v>
      </c>
      <c r="B100" s="1016"/>
      <c r="C100" s="628" t="s">
        <v>2398</v>
      </c>
      <c r="D100" s="102">
        <v>4000671</v>
      </c>
      <c r="E100" s="129"/>
      <c r="F100" s="14"/>
      <c r="G100" s="519"/>
      <c r="H100" s="14"/>
      <c r="I100" s="14"/>
      <c r="J100" s="14"/>
      <c r="K100" s="14"/>
    </row>
    <row r="101" spans="1:11" x14ac:dyDescent="0.2">
      <c r="A101" s="115">
        <f t="shared" si="1"/>
        <v>95</v>
      </c>
      <c r="B101" s="1016"/>
      <c r="C101" s="628" t="s">
        <v>2399</v>
      </c>
      <c r="D101" s="117">
        <f>SUM(D99:D100)</f>
        <v>7093360</v>
      </c>
      <c r="E101" s="15" t="str">
        <f>" = L"&amp;A99&amp;" + L"&amp;A100&amp;""</f>
        <v xml:space="preserve"> = L93 + L94</v>
      </c>
      <c r="F101" s="14"/>
      <c r="G101" s="14"/>
      <c r="H101" s="14"/>
      <c r="I101" s="14"/>
      <c r="J101" s="14"/>
      <c r="K101" s="14"/>
    </row>
    <row r="102" spans="1:11" x14ac:dyDescent="0.2">
      <c r="A102" s="115">
        <f t="shared" si="1"/>
        <v>96</v>
      </c>
      <c r="B102" s="1016"/>
      <c r="C102" s="628" t="s">
        <v>2400</v>
      </c>
      <c r="D102" s="1135">
        <f>D99/D101</f>
        <v>0.43599775000845864</v>
      </c>
      <c r="E102" s="15" t="str">
        <f>" = L"&amp;A99&amp;" / L"&amp;A101&amp;""</f>
        <v xml:space="preserve"> = L93 / L95</v>
      </c>
      <c r="F102" s="14"/>
      <c r="G102" s="14"/>
      <c r="H102" s="14"/>
      <c r="I102" s="14"/>
      <c r="J102" s="14"/>
      <c r="K102" s="14"/>
    </row>
    <row r="103" spans="1:11" x14ac:dyDescent="0.2">
      <c r="A103" s="115">
        <f t="shared" si="1"/>
        <v>97</v>
      </c>
      <c r="B103" s="14"/>
      <c r="C103" s="14"/>
      <c r="D103" s="14"/>
      <c r="E103" s="14"/>
      <c r="F103" s="14"/>
      <c r="G103" s="14"/>
      <c r="H103" s="14"/>
      <c r="I103" s="14"/>
      <c r="J103" s="14"/>
      <c r="K103" s="14"/>
    </row>
    <row r="104" spans="1:11" x14ac:dyDescent="0.2">
      <c r="A104" s="115">
        <f t="shared" si="1"/>
        <v>98</v>
      </c>
      <c r="B104" s="628" t="s">
        <v>2544</v>
      </c>
      <c r="C104" s="14"/>
      <c r="D104" s="129" t="s">
        <v>2350</v>
      </c>
      <c r="E104" s="129" t="s">
        <v>196</v>
      </c>
      <c r="F104" s="14"/>
      <c r="G104" s="784" t="s">
        <v>2351</v>
      </c>
      <c r="H104" s="14"/>
      <c r="I104" s="14"/>
      <c r="J104" s="14"/>
      <c r="K104" s="14"/>
    </row>
    <row r="105" spans="1:11" x14ac:dyDescent="0.2">
      <c r="A105" s="115">
        <f t="shared" si="1"/>
        <v>99</v>
      </c>
      <c r="B105" s="1016"/>
      <c r="C105" s="628" t="s">
        <v>2401</v>
      </c>
      <c r="D105" s="102">
        <v>1034521</v>
      </c>
      <c r="E105" s="129"/>
      <c r="F105" s="14"/>
      <c r="G105" s="519" t="s">
        <v>1593</v>
      </c>
      <c r="H105" s="14"/>
      <c r="I105" s="14"/>
      <c r="J105" s="14"/>
      <c r="K105" s="14"/>
    </row>
    <row r="106" spans="1:11" x14ac:dyDescent="0.2">
      <c r="A106" s="115">
        <f t="shared" si="1"/>
        <v>100</v>
      </c>
      <c r="B106" s="1016"/>
      <c r="C106" s="628" t="s">
        <v>2402</v>
      </c>
      <c r="D106" s="102">
        <v>1263478</v>
      </c>
      <c r="E106" s="129"/>
      <c r="F106" s="14"/>
      <c r="G106" s="519"/>
      <c r="H106" s="14"/>
      <c r="I106" s="14"/>
      <c r="J106" s="14"/>
      <c r="K106" s="14"/>
    </row>
    <row r="107" spans="1:11" x14ac:dyDescent="0.2">
      <c r="A107" s="115">
        <f t="shared" si="1"/>
        <v>101</v>
      </c>
      <c r="B107" s="1016"/>
      <c r="C107" s="628" t="s">
        <v>2403</v>
      </c>
      <c r="D107" s="117">
        <f>SUM(D105:D106)</f>
        <v>2297999</v>
      </c>
      <c r="E107" s="15" t="str">
        <f>" = L"&amp;A105&amp;" + L"&amp;A106&amp;""</f>
        <v xml:space="preserve"> = L99 + L100</v>
      </c>
      <c r="F107" s="14"/>
      <c r="G107" s="14"/>
      <c r="H107" s="14"/>
      <c r="I107" s="14"/>
      <c r="J107" s="14"/>
      <c r="K107" s="14"/>
    </row>
    <row r="108" spans="1:11" x14ac:dyDescent="0.2">
      <c r="A108" s="115">
        <f t="shared" si="1"/>
        <v>102</v>
      </c>
      <c r="B108" s="1016"/>
      <c r="C108" s="628" t="s">
        <v>2404</v>
      </c>
      <c r="D108" s="1135">
        <f>D105/D107</f>
        <v>0.45018339868729274</v>
      </c>
      <c r="E108" s="15" t="str">
        <f>" = L"&amp;A105&amp;" / L"&amp;A107&amp;""</f>
        <v xml:space="preserve"> = L99 / L101</v>
      </c>
      <c r="F108" s="14"/>
      <c r="G108" s="14"/>
      <c r="H108" s="14"/>
      <c r="I108" s="14"/>
      <c r="J108" s="14"/>
      <c r="K108" s="14"/>
    </row>
    <row r="109" spans="1:11" x14ac:dyDescent="0.2">
      <c r="A109" s="115">
        <f t="shared" si="1"/>
        <v>103</v>
      </c>
      <c r="B109" s="14"/>
      <c r="C109" s="14"/>
      <c r="D109" s="14"/>
      <c r="E109" s="14"/>
      <c r="F109" s="14"/>
      <c r="G109" s="14"/>
      <c r="H109" s="14"/>
      <c r="I109" s="14"/>
      <c r="J109" s="14"/>
      <c r="K109" s="14"/>
    </row>
    <row r="110" spans="1:11" x14ac:dyDescent="0.2">
      <c r="A110" s="115">
        <f t="shared" si="1"/>
        <v>104</v>
      </c>
      <c r="B110" s="628" t="s">
        <v>2545</v>
      </c>
      <c r="C110" s="14"/>
      <c r="D110" s="129" t="s">
        <v>2350</v>
      </c>
      <c r="E110" s="129" t="s">
        <v>196</v>
      </c>
      <c r="F110" s="14"/>
      <c r="G110" s="784" t="s">
        <v>2351</v>
      </c>
      <c r="H110" s="14"/>
      <c r="I110" s="14"/>
      <c r="J110" s="14"/>
      <c r="K110" s="14"/>
    </row>
    <row r="111" spans="1:11" x14ac:dyDescent="0.2">
      <c r="A111" s="115">
        <f t="shared" si="1"/>
        <v>105</v>
      </c>
      <c r="B111" s="1016"/>
      <c r="C111" s="628" t="s">
        <v>2405</v>
      </c>
      <c r="D111" s="102">
        <v>7</v>
      </c>
      <c r="E111" s="129"/>
      <c r="F111" s="14"/>
      <c r="G111" s="519" t="s">
        <v>1600</v>
      </c>
      <c r="H111" s="14"/>
      <c r="I111" s="14"/>
      <c r="J111" s="14"/>
      <c r="K111" s="14"/>
    </row>
    <row r="112" spans="1:11" x14ac:dyDescent="0.2">
      <c r="A112" s="115">
        <f t="shared" si="1"/>
        <v>106</v>
      </c>
      <c r="B112" s="1016"/>
      <c r="C112" s="628" t="s">
        <v>2406</v>
      </c>
      <c r="D112" s="102">
        <v>2525</v>
      </c>
      <c r="E112" s="129"/>
      <c r="F112" s="14"/>
      <c r="G112" s="519"/>
      <c r="H112" s="14"/>
      <c r="I112" s="14"/>
      <c r="J112" s="14"/>
      <c r="K112" s="14"/>
    </row>
    <row r="113" spans="1:11" x14ac:dyDescent="0.2">
      <c r="A113" s="115">
        <f t="shared" si="1"/>
        <v>107</v>
      </c>
      <c r="B113" s="1016"/>
      <c r="C113" s="628" t="s">
        <v>2407</v>
      </c>
      <c r="D113" s="117">
        <f>SUM(D111:D112)</f>
        <v>2532</v>
      </c>
      <c r="E113" s="15" t="str">
        <f>" = L"&amp;A111&amp;" + L"&amp;A112&amp;""</f>
        <v xml:space="preserve"> = L105 + L106</v>
      </c>
      <c r="F113" s="14"/>
      <c r="G113" s="14"/>
      <c r="H113" s="14"/>
      <c r="I113" s="14"/>
      <c r="J113" s="14"/>
      <c r="K113" s="14"/>
    </row>
    <row r="114" spans="1:11" x14ac:dyDescent="0.2">
      <c r="A114" s="115">
        <f t="shared" si="1"/>
        <v>108</v>
      </c>
      <c r="B114" s="1016"/>
      <c r="C114" s="628" t="s">
        <v>2408</v>
      </c>
      <c r="D114" s="1135">
        <f>D111/D113</f>
        <v>2.764612954186414E-3</v>
      </c>
      <c r="E114" s="15" t="str">
        <f>" = L"&amp;A111&amp;" / L"&amp;A113&amp;""</f>
        <v xml:space="preserve"> = L105 / L107</v>
      </c>
      <c r="F114" s="14"/>
      <c r="G114" s="14"/>
      <c r="H114" s="14"/>
      <c r="I114" s="14"/>
      <c r="J114" s="14"/>
      <c r="K114" s="14"/>
    </row>
    <row r="115" spans="1:11" x14ac:dyDescent="0.2">
      <c r="A115" s="115">
        <f t="shared" si="1"/>
        <v>109</v>
      </c>
      <c r="B115" s="14"/>
      <c r="C115" s="14"/>
      <c r="D115" s="14"/>
      <c r="E115" s="14"/>
      <c r="F115" s="14"/>
      <c r="G115" s="14"/>
      <c r="H115" s="14"/>
      <c r="I115" s="14"/>
      <c r="J115" s="14"/>
      <c r="K115" s="14"/>
    </row>
    <row r="116" spans="1:11" x14ac:dyDescent="0.2">
      <c r="A116" s="115">
        <f t="shared" si="1"/>
        <v>110</v>
      </c>
      <c r="B116" s="628" t="s">
        <v>2546</v>
      </c>
      <c r="C116" s="14"/>
      <c r="D116" s="129" t="s">
        <v>2350</v>
      </c>
      <c r="E116" s="129" t="s">
        <v>196</v>
      </c>
      <c r="F116" s="14"/>
      <c r="G116" s="784" t="s">
        <v>2351</v>
      </c>
      <c r="H116" s="14"/>
      <c r="I116" s="14"/>
      <c r="J116" s="14"/>
      <c r="K116" s="14"/>
    </row>
    <row r="117" spans="1:11" x14ac:dyDescent="0.2">
      <c r="A117" s="115">
        <f t="shared" si="1"/>
        <v>111</v>
      </c>
      <c r="B117" s="1016"/>
      <c r="C117" s="628" t="s">
        <v>2411</v>
      </c>
      <c r="D117" s="102">
        <v>146</v>
      </c>
      <c r="E117" s="129"/>
      <c r="F117" s="14"/>
      <c r="G117" s="519" t="s">
        <v>1601</v>
      </c>
      <c r="H117" s="14"/>
      <c r="I117" s="14"/>
      <c r="J117" s="14"/>
      <c r="K117" s="14"/>
    </row>
    <row r="118" spans="1:11" x14ac:dyDescent="0.2">
      <c r="A118" s="115">
        <f t="shared" si="1"/>
        <v>112</v>
      </c>
      <c r="B118" s="1016"/>
      <c r="C118" s="628" t="s">
        <v>2409</v>
      </c>
      <c r="D118" s="102">
        <v>8626</v>
      </c>
      <c r="E118" s="129"/>
      <c r="F118" s="14"/>
      <c r="G118" s="519"/>
      <c r="H118" s="14"/>
      <c r="I118" s="14"/>
      <c r="J118" s="14"/>
      <c r="K118" s="14"/>
    </row>
    <row r="119" spans="1:11" x14ac:dyDescent="0.2">
      <c r="A119" s="115">
        <f t="shared" si="1"/>
        <v>113</v>
      </c>
      <c r="B119" s="1016"/>
      <c r="C119" s="628" t="s">
        <v>2410</v>
      </c>
      <c r="D119" s="117">
        <f>SUM(D117:D118)</f>
        <v>8772</v>
      </c>
      <c r="E119" s="15" t="str">
        <f>" = L"&amp;A117&amp;" + L"&amp;A118&amp;""</f>
        <v xml:space="preserve"> = L111 + L112</v>
      </c>
      <c r="F119" s="14"/>
      <c r="G119" s="14"/>
      <c r="H119" s="14"/>
      <c r="I119" s="14"/>
      <c r="J119" s="14"/>
      <c r="K119" s="14"/>
    </row>
    <row r="120" spans="1:11" x14ac:dyDescent="0.2">
      <c r="A120" s="115">
        <f t="shared" si="1"/>
        <v>114</v>
      </c>
      <c r="B120" s="1016"/>
      <c r="C120" s="628" t="s">
        <v>2412</v>
      </c>
      <c r="D120" s="1135">
        <f>D117/D119</f>
        <v>1.6643866849065207E-2</v>
      </c>
      <c r="E120" s="15" t="str">
        <f>" = L"&amp;A117&amp;" / L"&amp;A119&amp;""</f>
        <v xml:space="preserve"> = L111 / L113</v>
      </c>
      <c r="F120" s="14"/>
      <c r="G120" s="14"/>
      <c r="H120" s="14"/>
      <c r="I120" s="14"/>
      <c r="J120" s="14"/>
      <c r="K120" s="14"/>
    </row>
    <row r="121" spans="1:11" x14ac:dyDescent="0.2">
      <c r="A121" s="115">
        <f t="shared" si="1"/>
        <v>115</v>
      </c>
      <c r="B121" s="14"/>
      <c r="C121" s="14"/>
      <c r="D121" s="14"/>
      <c r="E121" s="14"/>
      <c r="F121" s="14"/>
      <c r="G121" s="14"/>
      <c r="H121" s="14"/>
      <c r="I121" s="14"/>
      <c r="J121" s="14"/>
      <c r="K121" s="14"/>
    </row>
    <row r="122" spans="1:11" x14ac:dyDescent="0.2">
      <c r="A122" s="115">
        <f t="shared" si="1"/>
        <v>116</v>
      </c>
      <c r="B122" s="628" t="s">
        <v>2547</v>
      </c>
      <c r="C122" s="14"/>
      <c r="D122" s="129" t="s">
        <v>2350</v>
      </c>
      <c r="E122" s="129" t="s">
        <v>196</v>
      </c>
      <c r="F122" s="14"/>
      <c r="G122" s="784" t="s">
        <v>2351</v>
      </c>
      <c r="H122" s="14"/>
      <c r="I122" s="14"/>
      <c r="J122" s="14"/>
      <c r="K122" s="14"/>
    </row>
    <row r="123" spans="1:11" x14ac:dyDescent="0.2">
      <c r="A123" s="115">
        <f t="shared" si="1"/>
        <v>117</v>
      </c>
      <c r="B123" s="1016"/>
      <c r="C123" s="628" t="s">
        <v>2413</v>
      </c>
      <c r="D123" s="102">
        <v>186</v>
      </c>
      <c r="E123" s="129"/>
      <c r="F123" s="14"/>
      <c r="G123" s="519" t="s">
        <v>1602</v>
      </c>
      <c r="H123" s="14"/>
      <c r="I123" s="14"/>
      <c r="J123" s="14"/>
      <c r="K123" s="14"/>
    </row>
    <row r="124" spans="1:11" x14ac:dyDescent="0.2">
      <c r="A124" s="115">
        <f t="shared" si="1"/>
        <v>118</v>
      </c>
      <c r="B124" s="1016"/>
      <c r="C124" s="628" t="s">
        <v>2416</v>
      </c>
      <c r="D124" s="102">
        <v>2355</v>
      </c>
      <c r="E124" s="129"/>
      <c r="F124" s="14"/>
      <c r="G124" s="519"/>
      <c r="H124" s="14"/>
      <c r="I124" s="14"/>
      <c r="J124" s="14"/>
      <c r="K124" s="14"/>
    </row>
    <row r="125" spans="1:11" x14ac:dyDescent="0.2">
      <c r="A125" s="115">
        <f t="shared" ref="A125:A126" si="2">A124+1</f>
        <v>119</v>
      </c>
      <c r="B125" s="1016"/>
      <c r="C125" s="628" t="s">
        <v>2414</v>
      </c>
      <c r="D125" s="117">
        <f>SUM(D123:D124)</f>
        <v>2541</v>
      </c>
      <c r="E125" s="15" t="str">
        <f>" = L"&amp;A123&amp;" + L"&amp;A124&amp;""</f>
        <v xml:space="preserve"> = L117 + L118</v>
      </c>
      <c r="F125" s="14"/>
      <c r="G125" s="14"/>
      <c r="H125" s="14"/>
      <c r="I125" s="14"/>
      <c r="J125" s="14"/>
      <c r="K125" s="14"/>
    </row>
    <row r="126" spans="1:11" x14ac:dyDescent="0.2">
      <c r="A126" s="115">
        <f t="shared" si="2"/>
        <v>120</v>
      </c>
      <c r="B126" s="1016"/>
      <c r="C126" s="628" t="s">
        <v>2415</v>
      </c>
      <c r="D126" s="1135">
        <f>D123/D125</f>
        <v>7.3199527744982285E-2</v>
      </c>
      <c r="E126" s="15" t="str">
        <f>" = L"&amp;A123&amp;" / L"&amp;A125&amp;""</f>
        <v xml:space="preserve"> = L117 / L119</v>
      </c>
      <c r="F126" s="14"/>
      <c r="G126" s="14"/>
      <c r="H126" s="14"/>
      <c r="I126" s="14"/>
      <c r="J126" s="14"/>
      <c r="K126" s="14"/>
    </row>
    <row r="127" spans="1:11" x14ac:dyDescent="0.2">
      <c r="A127" s="811"/>
    </row>
    <row r="128" spans="1:11" x14ac:dyDescent="0.2">
      <c r="A128" s="811"/>
    </row>
    <row r="129" spans="1:1" x14ac:dyDescent="0.2">
      <c r="A129" s="811"/>
    </row>
    <row r="130" spans="1:1" x14ac:dyDescent="0.2">
      <c r="A130" s="811"/>
    </row>
    <row r="131" spans="1:1" x14ac:dyDescent="0.2">
      <c r="A131" s="811"/>
    </row>
    <row r="132" spans="1:1" x14ac:dyDescent="0.2">
      <c r="A132" s="811"/>
    </row>
    <row r="133" spans="1:1" x14ac:dyDescent="0.2">
      <c r="A133" s="811"/>
    </row>
    <row r="134" spans="1:1" x14ac:dyDescent="0.2">
      <c r="A134" s="811"/>
    </row>
    <row r="135" spans="1:1" x14ac:dyDescent="0.2">
      <c r="A135" s="811"/>
    </row>
    <row r="136" spans="1:1" x14ac:dyDescent="0.2">
      <c r="A136" s="811"/>
    </row>
    <row r="137" spans="1:1" x14ac:dyDescent="0.2">
      <c r="A137" s="811"/>
    </row>
    <row r="138" spans="1:1" x14ac:dyDescent="0.2">
      <c r="A138" s="811"/>
    </row>
  </sheetData>
  <phoneticPr fontId="11" type="noConversion"/>
  <pageMargins left="0.75" right="0.75" top="1" bottom="1" header="0.5" footer="0.5"/>
  <pageSetup scale="70" orientation="landscape" cellComments="asDisplayed" r:id="rId1"/>
  <headerFooter alignWithMargins="0">
    <oddHeader>&amp;CSchedule 27
Allocation Factors
&amp;"Arial,Bold"Exhibit G-2</oddHeader>
    <oddFooter>&amp;R&amp;A</oddFooter>
  </headerFooter>
  <rowBreaks count="2" manualBreakCount="2">
    <brk id="49" max="16383" man="1"/>
    <brk id="103" max="10"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85" zoomScaleNormal="85" workbookViewId="0"/>
  </sheetViews>
  <sheetFormatPr defaultRowHeight="12.75" x14ac:dyDescent="0.2"/>
  <cols>
    <col min="1" max="1" width="4.7109375" customWidth="1"/>
    <col min="2" max="2" width="3.7109375" customWidth="1"/>
    <col min="3" max="6" width="10.7109375" customWidth="1"/>
    <col min="7" max="7" width="9.42578125" bestFit="1" customWidth="1"/>
    <col min="8" max="8" width="4.7109375" customWidth="1"/>
    <col min="9" max="9" width="35.7109375" customWidth="1"/>
  </cols>
  <sheetData>
    <row r="1" spans="1:9" x14ac:dyDescent="0.2">
      <c r="A1" s="1" t="s">
        <v>2132</v>
      </c>
    </row>
    <row r="3" spans="1:9" x14ac:dyDescent="0.2">
      <c r="B3" s="1" t="s">
        <v>564</v>
      </c>
      <c r="I3" s="99" t="s">
        <v>17</v>
      </c>
    </row>
    <row r="4" spans="1:9" x14ac:dyDescent="0.2">
      <c r="B4" s="1"/>
      <c r="E4" s="14"/>
      <c r="I4" s="14"/>
    </row>
    <row r="5" spans="1:9" x14ac:dyDescent="0.2">
      <c r="E5" s="115" t="s">
        <v>2519</v>
      </c>
    </row>
    <row r="6" spans="1:9" x14ac:dyDescent="0.2">
      <c r="A6" s="53" t="s">
        <v>369</v>
      </c>
      <c r="C6" s="3" t="s">
        <v>267</v>
      </c>
      <c r="D6" s="3" t="s">
        <v>268</v>
      </c>
      <c r="E6" s="1136" t="s">
        <v>73</v>
      </c>
      <c r="G6" s="3" t="s">
        <v>269</v>
      </c>
      <c r="I6" s="53" t="s">
        <v>233</v>
      </c>
    </row>
    <row r="7" spans="1:9" x14ac:dyDescent="0.2">
      <c r="A7" s="2">
        <v>1</v>
      </c>
      <c r="C7" s="156">
        <v>2009</v>
      </c>
      <c r="D7" s="99" t="s">
        <v>3190</v>
      </c>
      <c r="E7" s="99">
        <v>365</v>
      </c>
      <c r="G7" s="90">
        <v>9.1388000000000007E-3</v>
      </c>
      <c r="I7" s="644" t="s">
        <v>3191</v>
      </c>
    </row>
    <row r="8" spans="1:9" x14ac:dyDescent="0.2">
      <c r="A8" s="2">
        <v>2</v>
      </c>
      <c r="C8" s="99"/>
      <c r="D8" s="99"/>
      <c r="E8" s="99"/>
      <c r="G8" s="99"/>
      <c r="I8" s="120"/>
    </row>
    <row r="10" spans="1:9" x14ac:dyDescent="0.2">
      <c r="B10" s="1" t="s">
        <v>2133</v>
      </c>
    </row>
    <row r="11" spans="1:9" x14ac:dyDescent="0.2">
      <c r="B11" s="1"/>
    </row>
    <row r="12" spans="1:9" x14ac:dyDescent="0.2">
      <c r="E12" s="115" t="s">
        <v>2519</v>
      </c>
    </row>
    <row r="13" spans="1:9" x14ac:dyDescent="0.2">
      <c r="C13" s="3" t="s">
        <v>267</v>
      </c>
      <c r="D13" s="3" t="s">
        <v>268</v>
      </c>
      <c r="E13" s="1136" t="s">
        <v>73</v>
      </c>
      <c r="G13" s="3" t="s">
        <v>270</v>
      </c>
      <c r="I13" s="53" t="s">
        <v>233</v>
      </c>
    </row>
    <row r="14" spans="1:9" x14ac:dyDescent="0.2">
      <c r="A14" s="2">
        <v>3</v>
      </c>
      <c r="C14" s="156">
        <v>2009</v>
      </c>
      <c r="D14" s="99" t="s">
        <v>3190</v>
      </c>
      <c r="E14" s="99">
        <v>365</v>
      </c>
      <c r="G14" s="90">
        <v>2.4058E-3</v>
      </c>
      <c r="I14" s="644" t="s">
        <v>3191</v>
      </c>
    </row>
    <row r="15" spans="1:9" x14ac:dyDescent="0.2">
      <c r="A15" s="2">
        <v>4</v>
      </c>
      <c r="C15" s="156"/>
      <c r="D15" s="99"/>
      <c r="E15" s="99"/>
      <c r="G15" s="90"/>
      <c r="I15" s="120"/>
    </row>
    <row r="18" spans="1:9" x14ac:dyDescent="0.2">
      <c r="B18" s="1" t="s">
        <v>563</v>
      </c>
    </row>
    <row r="19" spans="1:9" x14ac:dyDescent="0.2">
      <c r="B19" s="1"/>
    </row>
    <row r="20" spans="1:9" x14ac:dyDescent="0.2">
      <c r="C20" s="2" t="s">
        <v>455</v>
      </c>
      <c r="D20" s="2"/>
      <c r="E20" s="2"/>
    </row>
    <row r="21" spans="1:9" x14ac:dyDescent="0.2">
      <c r="C21" s="3" t="s">
        <v>221</v>
      </c>
      <c r="D21" s="3" t="s">
        <v>269</v>
      </c>
      <c r="E21" s="3" t="s">
        <v>270</v>
      </c>
      <c r="I21" s="53" t="s">
        <v>196</v>
      </c>
    </row>
    <row r="22" spans="1:9" x14ac:dyDescent="0.2">
      <c r="A22" s="2">
        <v>5</v>
      </c>
      <c r="C22" s="157">
        <v>2011</v>
      </c>
      <c r="D22" s="1137">
        <f>E41</f>
        <v>9.1388000000000007E-3</v>
      </c>
      <c r="E22" s="1137">
        <f>E42</f>
        <v>2.4058E-3</v>
      </c>
      <c r="F22" s="14"/>
      <c r="G22" s="14"/>
      <c r="H22" s="14"/>
      <c r="I22" s="628" t="s">
        <v>2263</v>
      </c>
    </row>
    <row r="24" spans="1:9" x14ac:dyDescent="0.2">
      <c r="B24" s="1" t="s">
        <v>265</v>
      </c>
    </row>
    <row r="25" spans="1:9" x14ac:dyDescent="0.2">
      <c r="B25" s="12" t="s">
        <v>619</v>
      </c>
    </row>
    <row r="26" spans="1:9" x14ac:dyDescent="0.2">
      <c r="B26" s="12" t="s">
        <v>618</v>
      </c>
    </row>
    <row r="28" spans="1:9" x14ac:dyDescent="0.2">
      <c r="B28" s="1" t="s">
        <v>429</v>
      </c>
    </row>
    <row r="29" spans="1:9" x14ac:dyDescent="0.2">
      <c r="B29" s="628" t="s">
        <v>2265</v>
      </c>
      <c r="C29" s="14"/>
      <c r="D29" s="14"/>
      <c r="E29" s="14"/>
      <c r="F29" s="14"/>
      <c r="G29" s="14"/>
      <c r="H29" s="14"/>
      <c r="I29" s="14"/>
    </row>
    <row r="30" spans="1:9" x14ac:dyDescent="0.2">
      <c r="B30" s="628" t="s">
        <v>2275</v>
      </c>
      <c r="C30" s="14"/>
      <c r="D30" s="14"/>
      <c r="E30" s="14"/>
      <c r="F30" s="14"/>
      <c r="G30" s="14"/>
      <c r="H30" s="14"/>
      <c r="I30" s="14"/>
    </row>
    <row r="31" spans="1:9" x14ac:dyDescent="0.2">
      <c r="B31" s="628" t="s">
        <v>2524</v>
      </c>
      <c r="C31" s="14"/>
      <c r="D31" s="14"/>
      <c r="E31" s="14"/>
      <c r="F31" s="14"/>
      <c r="G31" s="14"/>
      <c r="H31" s="14"/>
      <c r="I31" s="14"/>
    </row>
    <row r="32" spans="1:9" x14ac:dyDescent="0.2">
      <c r="B32" s="628" t="s">
        <v>2523</v>
      </c>
      <c r="C32" s="14"/>
      <c r="D32" s="14"/>
      <c r="E32" s="14"/>
      <c r="F32" s="14"/>
      <c r="G32" s="14"/>
      <c r="H32" s="14"/>
      <c r="I32" s="14"/>
    </row>
    <row r="33" spans="2:9" x14ac:dyDescent="0.2">
      <c r="B33" s="628" t="s">
        <v>2260</v>
      </c>
      <c r="C33" s="14"/>
      <c r="D33" s="14"/>
      <c r="E33" s="14"/>
      <c r="F33" s="14"/>
      <c r="G33" s="14"/>
      <c r="H33" s="14"/>
      <c r="I33" s="14"/>
    </row>
    <row r="34" spans="2:9" x14ac:dyDescent="0.2">
      <c r="B34" s="628" t="s">
        <v>2261</v>
      </c>
      <c r="C34" s="14"/>
      <c r="D34" s="14"/>
      <c r="E34" s="14"/>
      <c r="F34" s="14"/>
      <c r="G34" s="14"/>
      <c r="H34" s="14"/>
      <c r="I34" s="14"/>
    </row>
    <row r="35" spans="2:9" x14ac:dyDescent="0.2">
      <c r="B35" s="628" t="s">
        <v>2814</v>
      </c>
      <c r="C35" s="14"/>
      <c r="D35" s="14"/>
      <c r="E35" s="14"/>
      <c r="F35" s="14"/>
      <c r="G35" s="14"/>
      <c r="H35" s="14"/>
      <c r="I35" s="14"/>
    </row>
    <row r="36" spans="2:9" x14ac:dyDescent="0.2">
      <c r="B36" s="628" t="s">
        <v>2264</v>
      </c>
      <c r="C36" s="14"/>
      <c r="D36" s="14"/>
      <c r="E36" s="14"/>
      <c r="F36" s="14"/>
      <c r="G36" s="14"/>
      <c r="H36" s="14"/>
      <c r="I36" s="14"/>
    </row>
    <row r="37" spans="2:9" x14ac:dyDescent="0.2">
      <c r="B37" s="628" t="s">
        <v>2262</v>
      </c>
      <c r="C37" s="14"/>
      <c r="D37" s="14"/>
      <c r="E37" s="14"/>
      <c r="F37" s="14"/>
      <c r="G37" s="14"/>
      <c r="H37" s="14"/>
      <c r="I37" s="14"/>
    </row>
    <row r="38" spans="2:9" x14ac:dyDescent="0.2">
      <c r="B38" s="628" t="s">
        <v>2522</v>
      </c>
      <c r="C38" s="14"/>
      <c r="D38" s="14"/>
      <c r="E38" s="14"/>
      <c r="F38" s="14"/>
      <c r="G38" s="14"/>
      <c r="H38" s="14"/>
      <c r="I38" s="14"/>
    </row>
    <row r="39" spans="2:9" x14ac:dyDescent="0.2">
      <c r="B39" s="14"/>
      <c r="C39" s="14"/>
      <c r="D39" s="14"/>
      <c r="E39" s="14"/>
      <c r="F39" s="14"/>
      <c r="G39" s="14"/>
      <c r="H39" s="14"/>
      <c r="I39" s="14"/>
    </row>
    <row r="40" spans="2:9" x14ac:dyDescent="0.2">
      <c r="B40" s="14"/>
      <c r="C40" s="14"/>
      <c r="D40" s="14"/>
      <c r="E40" s="129" t="s">
        <v>1749</v>
      </c>
      <c r="F40" s="14"/>
      <c r="G40" s="1036" t="s">
        <v>172</v>
      </c>
      <c r="H40" s="14"/>
      <c r="I40" s="14"/>
    </row>
    <row r="41" spans="2:9" x14ac:dyDescent="0.2">
      <c r="B41" s="14"/>
      <c r="C41" s="14"/>
      <c r="D41" s="1021" t="s">
        <v>2520</v>
      </c>
      <c r="E41" s="1137">
        <f>((G7*E7) + (G8*E8))/365</f>
        <v>9.1388000000000007E-3</v>
      </c>
      <c r="F41" s="14"/>
      <c r="G41" s="838" t="s">
        <v>2525</v>
      </c>
      <c r="H41" s="14"/>
      <c r="I41" s="14"/>
    </row>
    <row r="42" spans="2:9" x14ac:dyDescent="0.2">
      <c r="B42" s="14"/>
      <c r="C42" s="14"/>
      <c r="D42" s="1021" t="s">
        <v>2521</v>
      </c>
      <c r="E42" s="1137">
        <f>((G14*E14) + (G15*E15))/365</f>
        <v>2.4058E-3</v>
      </c>
      <c r="F42" s="14"/>
      <c r="G42" s="838" t="s">
        <v>2526</v>
      </c>
      <c r="H42" s="14"/>
      <c r="I42" s="14"/>
    </row>
  </sheetData>
  <phoneticPr fontId="11" type="noConversion"/>
  <pageMargins left="0.75" right="0.75" top="1" bottom="1" header="0.5" footer="0.5"/>
  <pageSetup scale="85" orientation="portrait" cellComments="asDisplayed" r:id="rId1"/>
  <headerFooter alignWithMargins="0">
    <oddHeader>&amp;CSchedule 28
FF and U
&amp;"Arial,Bold"Exhibit G-2</oddHeader>
    <oddFooter>&amp;R&amp;A</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85" zoomScaleNormal="85" workbookViewId="0">
      <selection activeCell="D24" sqref="D24:F24"/>
    </sheetView>
  </sheetViews>
  <sheetFormatPr defaultRowHeight="12.75" x14ac:dyDescent="0.2"/>
  <cols>
    <col min="1" max="1" width="4.7109375" customWidth="1"/>
    <col min="2" max="2" width="17.140625" customWidth="1"/>
    <col min="3" max="3" width="25.7109375" customWidth="1"/>
    <col min="4" max="6" width="13.7109375" customWidth="1"/>
    <col min="7" max="7" width="3.7109375" customWidth="1"/>
    <col min="8" max="8" width="14.7109375" customWidth="1"/>
    <col min="9" max="10" width="13.7109375" customWidth="1"/>
  </cols>
  <sheetData>
    <row r="1" spans="1:10" x14ac:dyDescent="0.2">
      <c r="A1" s="1" t="s">
        <v>1693</v>
      </c>
    </row>
    <row r="2" spans="1:10" x14ac:dyDescent="0.2">
      <c r="G2" s="44" t="s">
        <v>17</v>
      </c>
      <c r="H2" s="44"/>
      <c r="I2" s="99"/>
    </row>
    <row r="3" spans="1:10" x14ac:dyDescent="0.2">
      <c r="A3" s="3" t="s">
        <v>369</v>
      </c>
      <c r="B3" s="3" t="s">
        <v>93</v>
      </c>
      <c r="F3" s="53" t="s">
        <v>196</v>
      </c>
      <c r="G3" s="53" t="s">
        <v>207</v>
      </c>
      <c r="J3" s="53"/>
    </row>
    <row r="4" spans="1:10" x14ac:dyDescent="0.2">
      <c r="A4" s="2">
        <v>1</v>
      </c>
      <c r="B4" s="48">
        <f>'1-BaseTRR'!K157</f>
        <v>783403304.87893653</v>
      </c>
      <c r="C4" s="54" t="s">
        <v>145</v>
      </c>
      <c r="G4" s="15" t="str">
        <f>"1-BaseTRR, Line "&amp;'1-BaseTRR'!A157&amp;""</f>
        <v>1-BaseTRR, Line 89</v>
      </c>
      <c r="H4" s="14"/>
    </row>
    <row r="5" spans="1:10" x14ac:dyDescent="0.2">
      <c r="A5" s="2">
        <f t="shared" ref="A5:A10" si="0">A4+1</f>
        <v>2</v>
      </c>
      <c r="B5" s="6">
        <v>-60654041</v>
      </c>
      <c r="C5" s="54" t="s">
        <v>146</v>
      </c>
      <c r="F5" s="12" t="s">
        <v>404</v>
      </c>
      <c r="G5" s="644" t="s">
        <v>3192</v>
      </c>
      <c r="H5" s="99"/>
      <c r="I5" s="644" t="s">
        <v>3193</v>
      </c>
    </row>
    <row r="6" spans="1:10" x14ac:dyDescent="0.2">
      <c r="A6" s="2">
        <f t="shared" si="0"/>
        <v>3</v>
      </c>
      <c r="B6" s="6">
        <v>-60454429</v>
      </c>
      <c r="C6" s="54" t="s">
        <v>147</v>
      </c>
      <c r="G6" s="99" t="s">
        <v>3192</v>
      </c>
      <c r="H6" s="99"/>
      <c r="I6" s="644" t="s">
        <v>3193</v>
      </c>
    </row>
    <row r="7" spans="1:10" x14ac:dyDescent="0.2">
      <c r="A7" s="2">
        <f t="shared" si="0"/>
        <v>4</v>
      </c>
      <c r="B7" s="6">
        <v>-199612</v>
      </c>
      <c r="C7" s="54" t="s">
        <v>148</v>
      </c>
      <c r="G7" s="99" t="s">
        <v>3192</v>
      </c>
      <c r="H7" s="99"/>
      <c r="I7" s="644" t="s">
        <v>3193</v>
      </c>
    </row>
    <row r="8" spans="1:10" x14ac:dyDescent="0.2">
      <c r="A8" s="2">
        <f t="shared" si="0"/>
        <v>5</v>
      </c>
      <c r="B8" s="48">
        <f>-'33-RetailRates'!E254</f>
        <v>-8233458.5121655148</v>
      </c>
      <c r="C8" s="54" t="s">
        <v>149</v>
      </c>
      <c r="F8" t="s">
        <v>405</v>
      </c>
      <c r="G8" t="s">
        <v>92</v>
      </c>
    </row>
    <row r="9" spans="1:10" x14ac:dyDescent="0.2">
      <c r="A9" s="2">
        <f t="shared" si="0"/>
        <v>6</v>
      </c>
      <c r="B9" s="8">
        <f>'31-HVLV'!C45</f>
        <v>0.9428567576449749</v>
      </c>
      <c r="C9" s="54" t="s">
        <v>91</v>
      </c>
      <c r="G9" s="15" t="str">
        <f>"31-HVLV, Line "&amp;'31-HVLV'!A45&amp;""</f>
        <v>31-HVLV, Line 37</v>
      </c>
      <c r="H9" s="14"/>
    </row>
    <row r="10" spans="1:10" x14ac:dyDescent="0.2">
      <c r="A10" s="2">
        <f t="shared" si="0"/>
        <v>7</v>
      </c>
      <c r="B10" s="8">
        <f>'31-HVLV'!D45</f>
        <v>5.9438298682862795E-2</v>
      </c>
      <c r="C10" s="54" t="s">
        <v>90</v>
      </c>
      <c r="G10" s="15" t="str">
        <f>"31-HVLV, Line "&amp;'31-HVLV'!A45&amp;""</f>
        <v>31-HVLV, Line 37</v>
      </c>
      <c r="H10" s="14"/>
    </row>
    <row r="11" spans="1:10" x14ac:dyDescent="0.2">
      <c r="C11" s="37"/>
      <c r="D11" s="91"/>
      <c r="E11" s="91"/>
      <c r="F11" s="91"/>
      <c r="G11" s="91"/>
      <c r="H11" s="91"/>
      <c r="J11" s="91"/>
    </row>
    <row r="12" spans="1:10" x14ac:dyDescent="0.2">
      <c r="B12" s="1" t="s">
        <v>1952</v>
      </c>
      <c r="C12" s="37"/>
      <c r="D12" s="91"/>
      <c r="E12" s="91"/>
      <c r="F12" s="91"/>
      <c r="G12" s="91"/>
      <c r="H12" s="91"/>
    </row>
    <row r="13" spans="1:10" x14ac:dyDescent="0.2">
      <c r="B13" s="1"/>
      <c r="C13" s="37"/>
      <c r="D13" s="91"/>
      <c r="E13" s="91"/>
      <c r="F13" s="91"/>
      <c r="G13" s="91"/>
      <c r="H13" s="91"/>
    </row>
    <row r="14" spans="1:10" x14ac:dyDescent="0.2">
      <c r="B14" s="1"/>
      <c r="C14" s="37"/>
      <c r="D14" s="86" t="s">
        <v>403</v>
      </c>
      <c r="E14" s="86" t="s">
        <v>387</v>
      </c>
      <c r="F14" s="86" t="s">
        <v>388</v>
      </c>
      <c r="G14" s="91"/>
      <c r="H14" s="91"/>
    </row>
    <row r="15" spans="1:10" x14ac:dyDescent="0.2">
      <c r="B15" s="1"/>
      <c r="C15" s="37"/>
      <c r="F15" s="91"/>
      <c r="G15" s="91"/>
      <c r="H15" s="91"/>
    </row>
    <row r="16" spans="1:10" x14ac:dyDescent="0.2">
      <c r="E16" s="2" t="s">
        <v>527</v>
      </c>
      <c r="F16" s="2" t="s">
        <v>528</v>
      </c>
    </row>
    <row r="17" spans="1:8" x14ac:dyDescent="0.2">
      <c r="C17" s="37"/>
      <c r="D17" s="3" t="s">
        <v>150</v>
      </c>
      <c r="E17" s="3" t="s">
        <v>526</v>
      </c>
      <c r="F17" s="3" t="s">
        <v>526</v>
      </c>
      <c r="G17" s="3"/>
      <c r="H17" s="3" t="s">
        <v>207</v>
      </c>
    </row>
    <row r="18" spans="1:8" x14ac:dyDescent="0.2">
      <c r="A18" s="2">
        <f>A10+1</f>
        <v>8</v>
      </c>
      <c r="B18" s="92"/>
      <c r="C18" s="70" t="s">
        <v>167</v>
      </c>
      <c r="D18" s="7">
        <f>B4</f>
        <v>783403304.87893653</v>
      </c>
      <c r="E18" s="7">
        <f>D18*B9</f>
        <v>738637099.96651185</v>
      </c>
      <c r="F18" s="7">
        <f>D18*B10</f>
        <v>46564159.624536052</v>
      </c>
      <c r="G18" s="7"/>
      <c r="H18" s="626" t="s">
        <v>320</v>
      </c>
    </row>
    <row r="19" spans="1:8" x14ac:dyDescent="0.2">
      <c r="A19" s="704">
        <f>A18+1</f>
        <v>9</v>
      </c>
      <c r="B19" s="92"/>
      <c r="C19" s="70" t="s">
        <v>1950</v>
      </c>
      <c r="D19" s="7">
        <f>'24-CWIPTRR'!E145</f>
        <v>199208138.63432923</v>
      </c>
      <c r="E19" s="7">
        <f>'24-CWIPTRR'!E145</f>
        <v>199208138.63432923</v>
      </c>
      <c r="F19" s="7">
        <v>0</v>
      </c>
      <c r="G19" s="7"/>
      <c r="H19" s="626" t="s">
        <v>1057</v>
      </c>
    </row>
    <row r="20" spans="1:8" x14ac:dyDescent="0.2">
      <c r="A20" s="704">
        <f>A19+1</f>
        <v>10</v>
      </c>
      <c r="B20" s="92"/>
      <c r="C20" s="70" t="s">
        <v>1951</v>
      </c>
      <c r="D20" s="7">
        <f>D18-D19</f>
        <v>584195166.24460733</v>
      </c>
      <c r="E20" s="7">
        <f t="shared" ref="E20:F20" si="1">E18-E19</f>
        <v>539428961.33218265</v>
      </c>
      <c r="F20" s="7">
        <f t="shared" si="1"/>
        <v>46564159.624536052</v>
      </c>
      <c r="G20" s="7"/>
      <c r="H20" s="626" t="s">
        <v>1058</v>
      </c>
    </row>
    <row r="21" spans="1:8" x14ac:dyDescent="0.2">
      <c r="B21" s="92"/>
      <c r="C21" s="92"/>
      <c r="D21" s="7"/>
      <c r="E21" s="7"/>
      <c r="F21" s="7"/>
      <c r="G21" s="7"/>
    </row>
    <row r="22" spans="1:8" x14ac:dyDescent="0.2">
      <c r="A22" s="2">
        <f>A20+1</f>
        <v>11</v>
      </c>
      <c r="B22" s="1"/>
      <c r="C22" s="70" t="s">
        <v>151</v>
      </c>
      <c r="D22" s="7">
        <f>B5</f>
        <v>-60654041</v>
      </c>
      <c r="E22" s="7">
        <f>B6</f>
        <v>-60454429</v>
      </c>
      <c r="F22" s="7">
        <f>B7</f>
        <v>-199612</v>
      </c>
      <c r="G22" s="7"/>
      <c r="H22" t="str">
        <f>"Lines "&amp;A5&amp;" to "&amp;A7&amp;""</f>
        <v>Lines 2 to 4</v>
      </c>
    </row>
    <row r="23" spans="1:8" x14ac:dyDescent="0.2">
      <c r="B23" s="1"/>
      <c r="C23" s="70"/>
      <c r="D23" s="7"/>
      <c r="E23" s="7"/>
      <c r="F23" s="7"/>
      <c r="G23" s="7"/>
    </row>
    <row r="24" spans="1:8" x14ac:dyDescent="0.2">
      <c r="A24" s="2">
        <f>A22+1</f>
        <v>12</v>
      </c>
      <c r="B24" s="1"/>
      <c r="C24" s="70" t="s">
        <v>2109</v>
      </c>
      <c r="D24" s="93">
        <f>$B$8</f>
        <v>-8233458.5121655148</v>
      </c>
      <c r="E24" s="93">
        <f>$B$8*$B$9</f>
        <v>-7762971.9969847966</v>
      </c>
      <c r="F24" s="93">
        <f>$B$8*$B$10</f>
        <v>-489382.76623905299</v>
      </c>
      <c r="G24" s="93"/>
      <c r="H24" s="626" t="s">
        <v>593</v>
      </c>
    </row>
    <row r="25" spans="1:8" x14ac:dyDescent="0.2">
      <c r="A25" s="781"/>
      <c r="B25" s="1"/>
      <c r="C25" s="70"/>
      <c r="D25" s="93"/>
      <c r="E25" s="93"/>
      <c r="F25" s="93"/>
      <c r="G25" s="93"/>
      <c r="H25" s="626"/>
    </row>
    <row r="26" spans="1:8" x14ac:dyDescent="0.2">
      <c r="B26" s="1"/>
      <c r="C26" s="70" t="s">
        <v>2110</v>
      </c>
      <c r="D26" s="93"/>
      <c r="E26" s="93"/>
      <c r="F26" s="93"/>
      <c r="G26" s="93"/>
    </row>
    <row r="27" spans="1:8" x14ac:dyDescent="0.2">
      <c r="A27" s="2">
        <f>A24+1</f>
        <v>13</v>
      </c>
      <c r="B27" s="1"/>
      <c r="C27" s="70" t="s">
        <v>2111</v>
      </c>
      <c r="D27" s="7">
        <f>D18+D22+D24</f>
        <v>714515805.36677098</v>
      </c>
      <c r="E27" s="7">
        <f>E18+E22+E24</f>
        <v>670419698.96952701</v>
      </c>
      <c r="F27" s="7">
        <f>F18+F22+F24</f>
        <v>45875164.858296998</v>
      </c>
      <c r="G27" s="7"/>
      <c r="H27" s="105" t="str">
        <f>"Sum of Lines "&amp;A18&amp;", "&amp;A22&amp;", and "&amp;A24&amp;""</f>
        <v>Sum of Lines 8, 11, and 12</v>
      </c>
    </row>
    <row r="28" spans="1:8" x14ac:dyDescent="0.2">
      <c r="E28" s="7"/>
    </row>
    <row r="29" spans="1:8" x14ac:dyDescent="0.2">
      <c r="B29" s="53" t="s">
        <v>265</v>
      </c>
    </row>
    <row r="30" spans="1:8" x14ac:dyDescent="0.2">
      <c r="B30" s="12" t="s">
        <v>1724</v>
      </c>
    </row>
    <row r="31" spans="1:8" x14ac:dyDescent="0.2">
      <c r="B31" s="626" t="s">
        <v>2137</v>
      </c>
    </row>
    <row r="32" spans="1:8" x14ac:dyDescent="0.2">
      <c r="B32" s="12" t="s">
        <v>1725</v>
      </c>
    </row>
    <row r="33" spans="2:6" x14ac:dyDescent="0.2">
      <c r="B33" s="628" t="s">
        <v>2332</v>
      </c>
      <c r="C33" s="14"/>
      <c r="D33" s="644" t="s">
        <v>1863</v>
      </c>
      <c r="F33" s="14"/>
    </row>
    <row r="34" spans="2:6" x14ac:dyDescent="0.2">
      <c r="B34" s="15" t="str">
        <f>"3) Column 1 is from Line "&amp;A4&amp;"."</f>
        <v>3) Column 1 is from Line 1.</v>
      </c>
      <c r="C34" s="14"/>
    </row>
    <row r="35" spans="2:6" x14ac:dyDescent="0.2">
      <c r="B35" s="47" t="str">
        <f>"Column 2 equals Column 1 * Line "&amp;A9&amp;"."</f>
        <v>Column 2 equals Column 1 * Line 6.</v>
      </c>
      <c r="C35" s="14"/>
    </row>
    <row r="36" spans="2:6" x14ac:dyDescent="0.2">
      <c r="B36" s="47" t="str">
        <f>"Column 3 equals Column 1 * Line "&amp;A10&amp;"."</f>
        <v>Column 3 equals Column 1 * Line 7.</v>
      </c>
      <c r="C36" s="14"/>
    </row>
    <row r="37" spans="2:6" x14ac:dyDescent="0.2">
      <c r="B37" s="14" t="str">
        <f>"4) From 24-CWIPTRR, Line "&amp;'24-CWIPTRR'!A145&amp;".  All High Voltage."</f>
        <v>4) From 24-CWIPTRR, Line 88.  All High Voltage.</v>
      </c>
      <c r="C37" s="14"/>
    </row>
    <row r="38" spans="2:6" x14ac:dyDescent="0.2">
      <c r="B38" s="14" t="str">
        <f>"5) Line "&amp;A18&amp;" - Line "&amp;A19&amp;""</f>
        <v>5) Line 8 - Line 9</v>
      </c>
      <c r="C38" s="14"/>
    </row>
    <row r="39" spans="2:6" x14ac:dyDescent="0.2">
      <c r="B39" s="12" t="str">
        <f>"6) Column 1 is from Line "&amp;A8&amp;"."</f>
        <v>6) Column 1 is from Line 5.</v>
      </c>
    </row>
    <row r="40" spans="2:6" x14ac:dyDescent="0.2">
      <c r="B40" s="13" t="str">
        <f>"Column 2 equals Column 1 * Line "&amp;A9&amp;"."</f>
        <v>Column 2 equals Column 1 * Line 6.</v>
      </c>
    </row>
    <row r="41" spans="2:6" x14ac:dyDescent="0.2">
      <c r="B41" s="13" t="str">
        <f>"Column 3 equals Column 1 * Line "&amp;A10&amp;"."</f>
        <v>Column 3 equals Column 1 * Line 7.</v>
      </c>
    </row>
  </sheetData>
  <phoneticPr fontId="11" type="noConversion"/>
  <pageMargins left="0.75" right="0.75" top="1" bottom="1" header="0.5" footer="0.5"/>
  <pageSetup scale="90" orientation="landscape" cellComments="asDisplayed" r:id="rId1"/>
  <headerFooter alignWithMargins="0">
    <oddHeader>&amp;CSchedule 29
Wholesale TRRs
&amp;"Arial,Bold"Exhibit G-2</oddHeader>
    <oddFooter>&amp;R&amp;A</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view="pageBreakPreview" topLeftCell="A7" zoomScale="60" zoomScaleNormal="85" workbookViewId="0">
      <selection activeCell="E42" sqref="E42"/>
    </sheetView>
  </sheetViews>
  <sheetFormatPr defaultRowHeight="12.75" x14ac:dyDescent="0.2"/>
  <cols>
    <col min="1" max="2" width="4.7109375" customWidth="1"/>
    <col min="4" max="4" width="24.42578125" customWidth="1"/>
    <col min="5" max="5" width="17.7109375" customWidth="1"/>
    <col min="6" max="6" width="9.140625" style="16"/>
    <col min="7" max="7" width="10.140625" bestFit="1" customWidth="1"/>
  </cols>
  <sheetData>
    <row r="1" spans="1:11" x14ac:dyDescent="0.2">
      <c r="A1" s="1" t="s">
        <v>1722</v>
      </c>
    </row>
    <row r="2" spans="1:11" x14ac:dyDescent="0.2">
      <c r="B2" s="1"/>
    </row>
    <row r="3" spans="1:11" x14ac:dyDescent="0.2">
      <c r="B3" s="12" t="s">
        <v>152</v>
      </c>
      <c r="E3" s="14"/>
      <c r="F3" s="118"/>
    </row>
    <row r="4" spans="1:11" x14ac:dyDescent="0.2">
      <c r="B4" s="12"/>
    </row>
    <row r="5" spans="1:11" x14ac:dyDescent="0.2">
      <c r="B5" s="13" t="s">
        <v>153</v>
      </c>
    </row>
    <row r="6" spans="1:11" x14ac:dyDescent="0.2">
      <c r="B6" s="13" t="s">
        <v>154</v>
      </c>
    </row>
    <row r="7" spans="1:11" x14ac:dyDescent="0.2">
      <c r="B7" s="13" t="s">
        <v>155</v>
      </c>
    </row>
    <row r="8" spans="1:11" x14ac:dyDescent="0.2">
      <c r="B8" s="13" t="s">
        <v>156</v>
      </c>
    </row>
    <row r="9" spans="1:11" x14ac:dyDescent="0.2">
      <c r="B9" s="13" t="s">
        <v>157</v>
      </c>
    </row>
    <row r="10" spans="1:11" x14ac:dyDescent="0.2">
      <c r="B10" s="12"/>
    </row>
    <row r="11" spans="1:11" x14ac:dyDescent="0.2">
      <c r="B11" s="12"/>
    </row>
    <row r="12" spans="1:11" x14ac:dyDescent="0.2">
      <c r="B12" s="1" t="s">
        <v>158</v>
      </c>
    </row>
    <row r="13" spans="1:11" x14ac:dyDescent="0.2">
      <c r="A13" s="3" t="s">
        <v>369</v>
      </c>
      <c r="G13" s="3" t="s">
        <v>207</v>
      </c>
    </row>
    <row r="14" spans="1:11" x14ac:dyDescent="0.2">
      <c r="A14" s="2">
        <v>1</v>
      </c>
      <c r="D14" s="96" t="s">
        <v>1695</v>
      </c>
      <c r="E14" s="7">
        <f>'29-WholesaleTRRs'!F27</f>
        <v>45875164.858296998</v>
      </c>
      <c r="G14" s="47" t="str">
        <f>"29-WholesaleTRRs, Line "&amp;'29-WholesaleTRRs'!A27&amp;", C3"</f>
        <v>29-WholesaleTRRs, Line 13, C3</v>
      </c>
      <c r="H14" s="14"/>
      <c r="I14" s="14"/>
      <c r="J14" s="14"/>
      <c r="K14" s="14"/>
    </row>
    <row r="15" spans="1:11" x14ac:dyDescent="0.2">
      <c r="A15" s="2">
        <f>A14+1</f>
        <v>2</v>
      </c>
      <c r="D15" s="96" t="s">
        <v>1694</v>
      </c>
      <c r="E15" s="117">
        <f>'32-GrossLoad'!F7</f>
        <v>90531472</v>
      </c>
      <c r="F15" s="13" t="s">
        <v>321</v>
      </c>
      <c r="G15" s="47" t="str">
        <f>"32-Gross Load, Line "&amp;'32-GrossLoad'!A7&amp;""</f>
        <v>32-Gross Load, Line 3</v>
      </c>
      <c r="H15" s="14"/>
      <c r="I15" s="14"/>
      <c r="J15" s="14"/>
      <c r="K15" s="14"/>
    </row>
    <row r="16" spans="1:11" x14ac:dyDescent="0.2">
      <c r="A16" s="2">
        <f>A15+1</f>
        <v>3</v>
      </c>
      <c r="D16" s="96" t="s">
        <v>1696</v>
      </c>
      <c r="E16" s="94">
        <f>E14/(E15*1000)</f>
        <v>5.06731679545617E-4</v>
      </c>
      <c r="F16" s="16" t="s">
        <v>159</v>
      </c>
      <c r="G16" s="118" t="str">
        <f>"Line "&amp;A14&amp;" / (Line "&amp;A15&amp;" * 1000)"</f>
        <v>Line 1 / (Line 2 * 1000)</v>
      </c>
      <c r="H16" s="14"/>
      <c r="I16" s="14"/>
      <c r="J16" s="14"/>
      <c r="K16" s="14"/>
    </row>
    <row r="17" spans="1:11" x14ac:dyDescent="0.2">
      <c r="D17" s="37"/>
      <c r="E17" s="73"/>
      <c r="G17" s="14"/>
      <c r="H17" s="14"/>
      <c r="I17" s="14"/>
      <c r="J17" s="14"/>
      <c r="K17" s="14"/>
    </row>
    <row r="18" spans="1:11" x14ac:dyDescent="0.2">
      <c r="B18" s="1" t="s">
        <v>160</v>
      </c>
      <c r="D18" s="37"/>
      <c r="E18" s="73"/>
      <c r="G18" s="14"/>
      <c r="H18" s="14"/>
      <c r="I18" s="14"/>
      <c r="J18" s="14"/>
      <c r="K18" s="14"/>
    </row>
    <row r="19" spans="1:11" x14ac:dyDescent="0.2">
      <c r="D19" s="37"/>
      <c r="E19" s="73"/>
      <c r="G19" s="129" t="s">
        <v>207</v>
      </c>
      <c r="H19" s="14"/>
      <c r="I19" s="14"/>
      <c r="J19" s="14"/>
      <c r="K19" s="14"/>
    </row>
    <row r="20" spans="1:11" x14ac:dyDescent="0.2">
      <c r="A20" s="2">
        <f>A16+1</f>
        <v>4</v>
      </c>
      <c r="D20" s="96" t="s">
        <v>1695</v>
      </c>
      <c r="E20" s="7">
        <f>'29-WholesaleTRRs'!F27</f>
        <v>45875164.858296998</v>
      </c>
      <c r="G20" s="47" t="str">
        <f>"29-WholesaleTRRs, Line "&amp;'29-WholesaleTRRs'!A27&amp;", C3"</f>
        <v>29-WholesaleTRRs, Line 13, C3</v>
      </c>
      <c r="H20" s="14"/>
      <c r="I20" s="14"/>
      <c r="J20" s="14"/>
      <c r="K20" s="14"/>
    </row>
    <row r="21" spans="1:11" x14ac:dyDescent="0.2">
      <c r="A21" s="2">
        <f>A20+1</f>
        <v>5</v>
      </c>
      <c r="D21" s="96" t="s">
        <v>1694</v>
      </c>
      <c r="E21" s="117">
        <f>'32-GrossLoad'!F7</f>
        <v>90531472</v>
      </c>
      <c r="F21" s="13" t="s">
        <v>321</v>
      </c>
      <c r="G21" s="47" t="str">
        <f>"32-Gross Load, Line "&amp;'32-GrossLoad'!A7&amp;""</f>
        <v>32-Gross Load, Line 3</v>
      </c>
      <c r="H21" s="14"/>
      <c r="I21" s="14"/>
      <c r="J21" s="14"/>
      <c r="K21" s="14"/>
    </row>
    <row r="22" spans="1:11" x14ac:dyDescent="0.2">
      <c r="A22" s="2">
        <f>A21+1</f>
        <v>6</v>
      </c>
      <c r="D22" s="96" t="s">
        <v>1697</v>
      </c>
      <c r="E22" s="94">
        <f>E20/(E21*1000)</f>
        <v>5.06731679545617E-4</v>
      </c>
      <c r="F22" s="16" t="s">
        <v>159</v>
      </c>
      <c r="G22" s="118" t="str">
        <f>"Line "&amp;A20&amp;" / (Line "&amp;A21&amp;" * 1000)"</f>
        <v>Line 4 / (Line 5 * 1000)</v>
      </c>
      <c r="H22" s="14"/>
      <c r="I22" s="14"/>
      <c r="J22" s="14"/>
      <c r="K22" s="14"/>
    </row>
    <row r="23" spans="1:11" x14ac:dyDescent="0.2">
      <c r="D23" s="37"/>
      <c r="G23" s="14"/>
      <c r="H23" s="14"/>
      <c r="I23" s="14"/>
      <c r="J23" s="14"/>
      <c r="K23" s="14"/>
    </row>
    <row r="24" spans="1:11" x14ac:dyDescent="0.2">
      <c r="G24" s="14"/>
      <c r="H24" s="14"/>
      <c r="I24" s="14"/>
      <c r="J24" s="14"/>
      <c r="K24" s="14"/>
    </row>
    <row r="25" spans="1:11" x14ac:dyDescent="0.2">
      <c r="B25" s="1" t="s">
        <v>161</v>
      </c>
      <c r="G25" s="14"/>
      <c r="H25" s="14"/>
      <c r="I25" s="14"/>
      <c r="J25" s="14"/>
      <c r="K25" s="14"/>
    </row>
    <row r="26" spans="1:11" x14ac:dyDescent="0.2">
      <c r="C26" s="54" t="s">
        <v>162</v>
      </c>
      <c r="G26" s="14"/>
      <c r="H26" s="14"/>
      <c r="I26" s="14"/>
      <c r="J26" s="14"/>
      <c r="K26" s="14"/>
    </row>
    <row r="27" spans="1:11" x14ac:dyDescent="0.2">
      <c r="G27" s="129" t="s">
        <v>207</v>
      </c>
      <c r="H27" s="14"/>
      <c r="I27" s="14"/>
      <c r="J27" s="14"/>
      <c r="K27" s="14"/>
    </row>
    <row r="28" spans="1:11" x14ac:dyDescent="0.2">
      <c r="A28" s="2">
        <f>A22+1</f>
        <v>7</v>
      </c>
      <c r="D28" s="37" t="s">
        <v>163</v>
      </c>
      <c r="E28" s="7">
        <f>'29-WholesaleTRRs'!E27</f>
        <v>670419698.96952701</v>
      </c>
      <c r="G28" s="47" t="str">
        <f>"29-WholesaleTRRs, Line "&amp;'29-WholesaleTRRs'!A27&amp;", C2"</f>
        <v>29-WholesaleTRRs, Line 13, C2</v>
      </c>
      <c r="H28" s="14"/>
      <c r="I28" s="14"/>
      <c r="J28" s="14"/>
      <c r="K28" s="14"/>
    </row>
    <row r="29" spans="1:11" x14ac:dyDescent="0.2">
      <c r="A29" s="2">
        <f>A28+1</f>
        <v>8</v>
      </c>
      <c r="D29" s="96" t="s">
        <v>1694</v>
      </c>
      <c r="E29" s="117">
        <f>'32-GrossLoad'!F7</f>
        <v>90531472</v>
      </c>
      <c r="F29" s="13" t="s">
        <v>321</v>
      </c>
      <c r="G29" s="47" t="str">
        <f>"32-Gross Load, Line "&amp;'32-GrossLoad'!A7&amp;""</f>
        <v>32-Gross Load, Line 3</v>
      </c>
      <c r="H29" s="14"/>
      <c r="I29" s="14"/>
      <c r="J29" s="14"/>
      <c r="K29" s="14"/>
    </row>
    <row r="30" spans="1:11" x14ac:dyDescent="0.2">
      <c r="A30" s="2">
        <f>A29+1</f>
        <v>9</v>
      </c>
      <c r="D30" s="96" t="s">
        <v>1698</v>
      </c>
      <c r="E30" s="95">
        <f>E28/(E29*1000)</f>
        <v>7.4053772037366962E-3</v>
      </c>
      <c r="F30" s="16" t="s">
        <v>159</v>
      </c>
      <c r="G30" s="118" t="str">
        <f>"Line "&amp;A28&amp;" / (Line "&amp;A29&amp;" * 1000)"</f>
        <v>Line 7 / (Line 8 * 1000)</v>
      </c>
      <c r="H30" s="14"/>
      <c r="I30" s="14"/>
      <c r="J30" s="14"/>
      <c r="K30" s="14"/>
    </row>
    <row r="31" spans="1:11" x14ac:dyDescent="0.2">
      <c r="G31" s="14"/>
      <c r="H31" s="14"/>
      <c r="I31" s="14"/>
      <c r="J31" s="14"/>
      <c r="K31" s="14"/>
    </row>
    <row r="32" spans="1:11" x14ac:dyDescent="0.2">
      <c r="B32" s="1" t="s">
        <v>164</v>
      </c>
      <c r="G32" s="14"/>
      <c r="H32" s="14"/>
      <c r="I32" s="14"/>
      <c r="J32" s="14"/>
      <c r="K32" s="14"/>
    </row>
    <row r="33" spans="1:11" x14ac:dyDescent="0.2">
      <c r="G33" s="129" t="s">
        <v>207</v>
      </c>
      <c r="H33" s="14"/>
      <c r="I33" s="14"/>
      <c r="J33" s="14"/>
      <c r="K33" s="14"/>
    </row>
    <row r="34" spans="1:11" x14ac:dyDescent="0.2">
      <c r="A34" s="2">
        <f>A30+1</f>
        <v>10</v>
      </c>
      <c r="D34" s="96" t="s">
        <v>1699</v>
      </c>
      <c r="E34" s="7">
        <f>'29-WholesaleTRRs'!E27</f>
        <v>670419698.96952701</v>
      </c>
      <c r="G34" s="47" t="str">
        <f>"29-WholesaleTRRs, Line "&amp;'29-WholesaleTRRs'!A27&amp;", C2"</f>
        <v>29-WholesaleTRRs, Line 13, C2</v>
      </c>
      <c r="H34" s="14"/>
      <c r="I34" s="14"/>
      <c r="J34" s="14"/>
      <c r="K34" s="14"/>
    </row>
    <row r="35" spans="1:11" x14ac:dyDescent="0.2">
      <c r="A35" s="2">
        <f>A34+1</f>
        <v>11</v>
      </c>
      <c r="D35" s="96" t="s">
        <v>1700</v>
      </c>
      <c r="E35" s="117">
        <f>'32-GrossLoad'!F10</f>
        <v>180565</v>
      </c>
      <c r="F35" s="16" t="s">
        <v>165</v>
      </c>
      <c r="G35" s="47" t="str">
        <f>"32-Gross Load, Line "&amp;'32-GrossLoad'!A10&amp;""</f>
        <v>32-Gross Load, Line 4</v>
      </c>
      <c r="H35" s="14"/>
      <c r="I35" s="14"/>
      <c r="J35" s="14"/>
      <c r="K35" s="14"/>
    </row>
    <row r="36" spans="1:11" x14ac:dyDescent="0.2">
      <c r="A36" s="2">
        <f>A35+1</f>
        <v>12</v>
      </c>
      <c r="D36" s="96" t="s">
        <v>1701</v>
      </c>
      <c r="E36" s="73">
        <f>ROUND((E34/(E35*1000)),2)</f>
        <v>3.71</v>
      </c>
      <c r="F36" s="13" t="s">
        <v>366</v>
      </c>
      <c r="G36" s="118" t="str">
        <f>"Line "&amp;A34&amp;" / (Line "&amp;A35&amp;" * 1000)"</f>
        <v>Line 10 / (Line 11 * 1000)</v>
      </c>
      <c r="H36" s="14"/>
      <c r="I36" s="14"/>
      <c r="J36" s="14"/>
      <c r="K36" s="14"/>
    </row>
    <row r="37" spans="1:11" x14ac:dyDescent="0.2">
      <c r="G37" s="14"/>
      <c r="H37" s="14"/>
      <c r="I37" s="14"/>
      <c r="J37" s="14"/>
      <c r="K37" s="14"/>
    </row>
    <row r="38" spans="1:11" x14ac:dyDescent="0.2">
      <c r="B38" s="1" t="s">
        <v>166</v>
      </c>
      <c r="G38" s="14"/>
      <c r="H38" s="14"/>
      <c r="I38" s="14"/>
      <c r="J38" s="14"/>
      <c r="K38" s="14"/>
    </row>
    <row r="39" spans="1:11" x14ac:dyDescent="0.2">
      <c r="G39" s="129" t="s">
        <v>207</v>
      </c>
      <c r="H39" s="14"/>
      <c r="I39" s="14"/>
      <c r="J39" s="14"/>
      <c r="K39" s="14"/>
    </row>
    <row r="40" spans="1:11" x14ac:dyDescent="0.2">
      <c r="A40" s="2">
        <f>A36+1</f>
        <v>13</v>
      </c>
      <c r="D40" s="96" t="s">
        <v>1702</v>
      </c>
      <c r="E40" s="7">
        <f>'29-WholesaleTRRs'!F27</f>
        <v>45875164.858296998</v>
      </c>
      <c r="G40" s="47" t="str">
        <f>"29-WholesaleTRRs, Line "&amp;'29-WholesaleTRRs'!A27&amp;", C3"</f>
        <v>29-WholesaleTRRs, Line 13, C3</v>
      </c>
      <c r="H40" s="14"/>
      <c r="I40" s="14"/>
      <c r="J40" s="14"/>
      <c r="K40" s="14"/>
    </row>
    <row r="41" spans="1:11" x14ac:dyDescent="0.2">
      <c r="A41" s="2">
        <f>A40+1</f>
        <v>14</v>
      </c>
      <c r="D41" s="96" t="s">
        <v>1700</v>
      </c>
      <c r="E41" s="117">
        <f>'32-GrossLoad'!F10</f>
        <v>180565</v>
      </c>
      <c r="F41" s="16" t="s">
        <v>165</v>
      </c>
      <c r="G41" s="47" t="str">
        <f>"32-Gross Load, Line "&amp;'32-GrossLoad'!A10&amp;""</f>
        <v>32-Gross Load, Line 4</v>
      </c>
      <c r="H41" s="14"/>
      <c r="I41" s="14"/>
      <c r="J41" s="14"/>
      <c r="K41" s="14"/>
    </row>
    <row r="42" spans="1:11" x14ac:dyDescent="0.2">
      <c r="A42" s="2">
        <f>A41+1</f>
        <v>15</v>
      </c>
      <c r="D42" s="96" t="s">
        <v>1703</v>
      </c>
      <c r="E42" s="75">
        <f>ROUND((E40/(E41*1000)),2)</f>
        <v>0.25</v>
      </c>
      <c r="F42" s="13" t="s">
        <v>366</v>
      </c>
      <c r="G42" s="118" t="str">
        <f>"Line "&amp;A40&amp;" / (Line "&amp;A41&amp;" * 1000)"</f>
        <v>Line 13 / (Line 14 * 1000)</v>
      </c>
      <c r="H42" s="14"/>
      <c r="I42" s="14"/>
      <c r="J42" s="14"/>
      <c r="K42" s="14"/>
    </row>
    <row r="43" spans="1:11" x14ac:dyDescent="0.2">
      <c r="G43" s="14"/>
      <c r="H43" s="14"/>
      <c r="I43" s="14"/>
      <c r="J43" s="14"/>
      <c r="K43" s="14"/>
    </row>
    <row r="44" spans="1:11" x14ac:dyDescent="0.2">
      <c r="G44" s="14"/>
      <c r="H44" s="14"/>
      <c r="I44" s="14"/>
      <c r="J44" s="14"/>
      <c r="K44" s="14"/>
    </row>
    <row r="45" spans="1:11" x14ac:dyDescent="0.2">
      <c r="B45" s="53" t="s">
        <v>265</v>
      </c>
      <c r="G45" s="14"/>
      <c r="H45" s="14"/>
      <c r="I45" s="14"/>
      <c r="J45" s="14"/>
      <c r="K45" s="14"/>
    </row>
    <row r="46" spans="1:11" x14ac:dyDescent="0.2">
      <c r="B46" s="12" t="s">
        <v>1723</v>
      </c>
    </row>
    <row r="47" spans="1:11" x14ac:dyDescent="0.2">
      <c r="B47" s="626" t="s">
        <v>2333</v>
      </c>
      <c r="D47" s="14"/>
    </row>
  </sheetData>
  <phoneticPr fontId="11" type="noConversion"/>
  <pageMargins left="0.75" right="0.75" top="1" bottom="1" header="0.5" footer="0.5"/>
  <pageSetup scale="85" orientation="portrait" cellComments="asDisplayed" r:id="rId1"/>
  <headerFooter alignWithMargins="0">
    <oddHeader>&amp;CSchedule 30
Wholesale Rates
&amp;"Arial,Bold"Exhibit G-2</oddHeader>
    <oddFooter>&amp;R&amp;A</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75" zoomScaleNormal="75" workbookViewId="0">
      <selection activeCell="H56" sqref="H56"/>
    </sheetView>
  </sheetViews>
  <sheetFormatPr defaultRowHeight="12.75" x14ac:dyDescent="0.2"/>
  <cols>
    <col min="1" max="1" width="4.7109375" customWidth="1"/>
    <col min="2" max="2" width="38" style="146" customWidth="1"/>
    <col min="3" max="5" width="14.7109375" style="146" customWidth="1"/>
    <col min="6" max="6" width="3.42578125" style="146" bestFit="1" customWidth="1"/>
    <col min="7" max="11" width="14.7109375" style="146" customWidth="1"/>
  </cols>
  <sheetData>
    <row r="1" spans="1:11" x14ac:dyDescent="0.2">
      <c r="A1" s="263" t="s">
        <v>514</v>
      </c>
      <c r="B1" s="17"/>
      <c r="C1" s="17"/>
      <c r="D1" s="17"/>
      <c r="E1" s="17"/>
      <c r="F1" s="17"/>
      <c r="G1" s="17"/>
      <c r="H1" s="17"/>
      <c r="I1" s="17"/>
      <c r="J1" s="17"/>
      <c r="K1" s="17"/>
    </row>
    <row r="2" spans="1:11" x14ac:dyDescent="0.2">
      <c r="A2" s="17" t="s">
        <v>525</v>
      </c>
      <c r="B2" s="17"/>
      <c r="C2" s="17"/>
      <c r="D2" s="17"/>
      <c r="E2" s="17"/>
      <c r="F2" s="17"/>
      <c r="G2" s="17"/>
      <c r="H2" s="17"/>
      <c r="I2" s="264" t="s">
        <v>506</v>
      </c>
      <c r="J2" s="264"/>
      <c r="K2" s="17"/>
    </row>
    <row r="3" spans="1:11" x14ac:dyDescent="0.2">
      <c r="A3" s="12"/>
      <c r="B3" s="17"/>
      <c r="C3" s="17"/>
      <c r="D3" s="17"/>
      <c r="E3" s="17"/>
      <c r="F3" s="17"/>
      <c r="G3" s="17"/>
      <c r="H3" s="17"/>
      <c r="I3" s="17"/>
      <c r="J3" s="17"/>
      <c r="K3" s="17"/>
    </row>
    <row r="4" spans="1:11" x14ac:dyDescent="0.2">
      <c r="A4" s="12"/>
      <c r="B4" s="17"/>
      <c r="C4" s="17"/>
      <c r="D4" s="17"/>
      <c r="E4" s="17"/>
      <c r="F4" s="17"/>
      <c r="G4" s="1138" t="s">
        <v>2267</v>
      </c>
      <c r="H4" s="278"/>
      <c r="I4" s="278"/>
      <c r="J4" s="278"/>
      <c r="K4" s="17"/>
    </row>
    <row r="5" spans="1:11" x14ac:dyDescent="0.2">
      <c r="A5" s="12"/>
      <c r="B5" s="263" t="s">
        <v>537</v>
      </c>
      <c r="C5" s="17"/>
      <c r="D5" s="17"/>
      <c r="E5" s="17"/>
      <c r="F5" s="17"/>
      <c r="G5" s="1138" t="s">
        <v>2268</v>
      </c>
      <c r="H5" s="1138"/>
      <c r="I5" s="278"/>
      <c r="J5" s="278"/>
      <c r="K5" s="17"/>
    </row>
    <row r="6" spans="1:11" x14ac:dyDescent="0.2">
      <c r="A6" s="12"/>
      <c r="B6" s="17"/>
      <c r="C6" s="26" t="s">
        <v>516</v>
      </c>
      <c r="D6" s="26"/>
      <c r="E6" s="26"/>
      <c r="F6" s="26"/>
      <c r="G6" s="26"/>
      <c r="H6" s="26"/>
      <c r="I6" s="26" t="s">
        <v>14</v>
      </c>
      <c r="J6" s="26" t="s">
        <v>15</v>
      </c>
      <c r="K6" s="26" t="s">
        <v>85</v>
      </c>
    </row>
    <row r="7" spans="1:11" x14ac:dyDescent="0.2">
      <c r="A7" s="12"/>
      <c r="B7" s="263" t="s">
        <v>521</v>
      </c>
      <c r="C7" s="31" t="s">
        <v>517</v>
      </c>
      <c r="D7" s="31" t="s">
        <v>478</v>
      </c>
      <c r="E7" s="31" t="s">
        <v>511</v>
      </c>
      <c r="F7" s="31"/>
      <c r="G7" s="31" t="s">
        <v>518</v>
      </c>
      <c r="H7" s="31" t="s">
        <v>519</v>
      </c>
      <c r="I7" s="31" t="s">
        <v>511</v>
      </c>
      <c r="J7" s="31" t="s">
        <v>511</v>
      </c>
      <c r="K7" s="31" t="s">
        <v>520</v>
      </c>
    </row>
    <row r="8" spans="1:11" x14ac:dyDescent="0.2">
      <c r="A8" s="3" t="s">
        <v>369</v>
      </c>
      <c r="B8" s="263"/>
      <c r="C8" s="31"/>
      <c r="D8" s="31"/>
      <c r="E8" s="31"/>
      <c r="F8" s="31"/>
      <c r="G8" s="31"/>
      <c r="H8" s="31"/>
      <c r="I8" s="31"/>
      <c r="J8" s="31"/>
      <c r="K8" s="31"/>
    </row>
    <row r="9" spans="1:11" x14ac:dyDescent="0.2">
      <c r="A9" s="2">
        <v>1</v>
      </c>
      <c r="B9" s="265" t="s">
        <v>524</v>
      </c>
      <c r="C9" s="266"/>
      <c r="D9" s="267"/>
      <c r="E9" s="267"/>
      <c r="F9" s="268"/>
      <c r="G9" s="266"/>
      <c r="H9" s="269"/>
      <c r="I9" s="269"/>
      <c r="J9" s="269"/>
      <c r="K9" s="269"/>
    </row>
    <row r="10" spans="1:11" x14ac:dyDescent="0.2">
      <c r="A10" s="2">
        <f>A9+1</f>
        <v>2</v>
      </c>
      <c r="B10" s="270" t="s">
        <v>1457</v>
      </c>
      <c r="C10" s="271">
        <f>SUM(D10:E10)</f>
        <v>1219154554.9400001</v>
      </c>
      <c r="D10" s="272">
        <f>G10+H10</f>
        <v>114287920.94</v>
      </c>
      <c r="E10" s="272">
        <f>I10+J10</f>
        <v>1104866634</v>
      </c>
      <c r="F10" s="273"/>
      <c r="G10" s="1184">
        <v>114287920.94</v>
      </c>
      <c r="H10" s="1184">
        <v>0</v>
      </c>
      <c r="I10" s="1184">
        <v>1104866634</v>
      </c>
      <c r="J10" s="1184">
        <v>0</v>
      </c>
      <c r="K10" s="1184">
        <v>0</v>
      </c>
    </row>
    <row r="11" spans="1:11" x14ac:dyDescent="0.2">
      <c r="A11" s="2">
        <f t="shared" ref="A11:A47" si="0">A10+1</f>
        <v>3</v>
      </c>
      <c r="B11" s="270" t="s">
        <v>515</v>
      </c>
      <c r="C11" s="274">
        <f>SUM(D11:E11)</f>
        <v>122066887.69</v>
      </c>
      <c r="D11" s="275">
        <f>G11+H11</f>
        <v>8129145.3499999996</v>
      </c>
      <c r="E11" s="275">
        <f>I11+J11</f>
        <v>113937742.34</v>
      </c>
      <c r="F11" s="276"/>
      <c r="G11" s="1185">
        <v>0</v>
      </c>
      <c r="H11" s="1185">
        <v>8129145.3499999996</v>
      </c>
      <c r="I11" s="1185">
        <v>0</v>
      </c>
      <c r="J11" s="1185">
        <v>113937742.34</v>
      </c>
      <c r="K11" s="1185">
        <v>0</v>
      </c>
    </row>
    <row r="12" spans="1:11" x14ac:dyDescent="0.2">
      <c r="A12" s="2">
        <f t="shared" si="0"/>
        <v>4</v>
      </c>
      <c r="B12" s="1139" t="s">
        <v>2266</v>
      </c>
      <c r="C12" s="277">
        <f>SUM(C10:C11)</f>
        <v>1341221442.6300001</v>
      </c>
      <c r="D12" s="277">
        <f t="shared" ref="D12:K12" si="1">SUM(D10:D11)</f>
        <v>122417066.28999999</v>
      </c>
      <c r="E12" s="277">
        <f t="shared" si="1"/>
        <v>1218804376.3399999</v>
      </c>
      <c r="F12" s="277"/>
      <c r="G12" s="277">
        <f t="shared" si="1"/>
        <v>114287920.94</v>
      </c>
      <c r="H12" s="277">
        <f t="shared" si="1"/>
        <v>8129145.3499999996</v>
      </c>
      <c r="I12" s="277">
        <f t="shared" si="1"/>
        <v>1104866634</v>
      </c>
      <c r="J12" s="277">
        <f t="shared" si="1"/>
        <v>113937742.34</v>
      </c>
      <c r="K12" s="277">
        <f t="shared" si="1"/>
        <v>0</v>
      </c>
    </row>
    <row r="13" spans="1:11" x14ac:dyDescent="0.2">
      <c r="A13" s="2">
        <f t="shared" si="0"/>
        <v>5</v>
      </c>
      <c r="B13" s="278"/>
      <c r="C13" s="279"/>
      <c r="D13" s="279"/>
      <c r="E13" s="279"/>
      <c r="F13" s="280"/>
      <c r="G13" s="279"/>
      <c r="H13" s="281"/>
      <c r="I13" s="282"/>
      <c r="J13" s="281"/>
      <c r="K13" s="281"/>
    </row>
    <row r="14" spans="1:11" x14ac:dyDescent="0.2">
      <c r="A14" s="2">
        <f t="shared" si="0"/>
        <v>6</v>
      </c>
      <c r="B14" s="283" t="s">
        <v>512</v>
      </c>
      <c r="C14" s="279"/>
      <c r="D14" s="279"/>
      <c r="E14" s="279"/>
      <c r="F14" s="280"/>
      <c r="G14" s="279"/>
      <c r="H14" s="281"/>
      <c r="I14" s="282"/>
      <c r="J14" s="281"/>
      <c r="K14" s="281"/>
    </row>
    <row r="15" spans="1:11" x14ac:dyDescent="0.2">
      <c r="A15" s="2">
        <f t="shared" si="0"/>
        <v>7</v>
      </c>
      <c r="B15" s="284" t="s">
        <v>523</v>
      </c>
      <c r="C15" s="272">
        <f>SUM(D15:E15)</f>
        <v>1651895518.9499998</v>
      </c>
      <c r="D15" s="272">
        <f>G15+H15</f>
        <v>33507352.109999999</v>
      </c>
      <c r="E15" s="272">
        <f>I15+J15</f>
        <v>1618388166.8399999</v>
      </c>
      <c r="F15" s="285"/>
      <c r="G15" s="863">
        <v>33507352.109999999</v>
      </c>
      <c r="H15" s="1186">
        <v>0</v>
      </c>
      <c r="I15" s="863">
        <v>1618388166.8399999</v>
      </c>
      <c r="J15" s="1186">
        <v>0</v>
      </c>
      <c r="K15" s="1186">
        <v>0</v>
      </c>
    </row>
    <row r="16" spans="1:11" x14ac:dyDescent="0.2">
      <c r="A16" s="2">
        <f t="shared" si="0"/>
        <v>8</v>
      </c>
      <c r="B16" s="1095" t="s">
        <v>3214</v>
      </c>
      <c r="C16" s="279">
        <f>SUM(D16:E16)</f>
        <v>227306250.19</v>
      </c>
      <c r="D16" s="272">
        <f>G16+H16</f>
        <v>192635.16</v>
      </c>
      <c r="E16" s="272">
        <f>I16+J16+K16</f>
        <v>227113615.03</v>
      </c>
      <c r="F16" s="280"/>
      <c r="G16" s="1186">
        <v>143033.48000000001</v>
      </c>
      <c r="H16" s="1186">
        <v>49601.68</v>
      </c>
      <c r="I16" s="1186">
        <v>143971632.65000001</v>
      </c>
      <c r="J16" s="1186">
        <v>67508336.349999994</v>
      </c>
      <c r="K16" s="1186">
        <v>15633646.029999999</v>
      </c>
    </row>
    <row r="17" spans="1:12" ht="15" x14ac:dyDescent="0.35">
      <c r="A17" s="2">
        <f t="shared" si="0"/>
        <v>9</v>
      </c>
      <c r="B17" s="284" t="s">
        <v>522</v>
      </c>
      <c r="C17" s="286">
        <f>SUM(D17:E17)</f>
        <v>89174098.400000006</v>
      </c>
      <c r="D17" s="275">
        <f>G17+H17</f>
        <v>657272.69999999995</v>
      </c>
      <c r="E17" s="287">
        <f>I17+J17</f>
        <v>88516825.700000003</v>
      </c>
      <c r="F17" s="288"/>
      <c r="G17" s="1187">
        <v>0</v>
      </c>
      <c r="H17" s="1188">
        <v>657272.69999999995</v>
      </c>
      <c r="I17" s="1187">
        <v>0</v>
      </c>
      <c r="J17" s="1188">
        <v>88516825.700000003</v>
      </c>
      <c r="K17" s="1187">
        <v>0</v>
      </c>
    </row>
    <row r="18" spans="1:12" x14ac:dyDescent="0.2">
      <c r="A18" s="2">
        <f t="shared" si="0"/>
        <v>10</v>
      </c>
      <c r="B18" s="1140" t="s">
        <v>2471</v>
      </c>
      <c r="C18" s="272">
        <f>SUM(C15:C17)</f>
        <v>1968375867.54</v>
      </c>
      <c r="D18" s="272">
        <f>SUM(D15:D17)</f>
        <v>34357259.969999999</v>
      </c>
      <c r="E18" s="272">
        <f>SUM(E15:E17)</f>
        <v>1934018607.5699999</v>
      </c>
      <c r="F18" s="290"/>
      <c r="G18" s="272">
        <f>SUM(G15:G17)</f>
        <v>33650385.589999996</v>
      </c>
      <c r="H18" s="272">
        <f>SUM(H15:H17)</f>
        <v>706874.38</v>
      </c>
      <c r="I18" s="272">
        <f>SUM(I15:I17)</f>
        <v>1762359799.49</v>
      </c>
      <c r="J18" s="272">
        <f>SUM(J15:J17)</f>
        <v>156025162.05000001</v>
      </c>
      <c r="K18" s="272">
        <f>SUM(K15:K17)</f>
        <v>15633646.029999999</v>
      </c>
    </row>
    <row r="19" spans="1:12" x14ac:dyDescent="0.2">
      <c r="A19" s="2">
        <f t="shared" si="0"/>
        <v>11</v>
      </c>
      <c r="B19" s="17"/>
      <c r="C19" s="291"/>
      <c r="D19" s="291"/>
      <c r="E19" s="291"/>
      <c r="F19" s="292"/>
      <c r="G19" s="291"/>
      <c r="H19" s="291"/>
      <c r="I19" s="291"/>
      <c r="J19" s="291"/>
      <c r="K19" s="291"/>
    </row>
    <row r="20" spans="1:12" x14ac:dyDescent="0.2">
      <c r="A20" s="2">
        <f t="shared" si="0"/>
        <v>12</v>
      </c>
      <c r="B20" s="289" t="s">
        <v>513</v>
      </c>
      <c r="C20" s="293">
        <f>C12+C18</f>
        <v>3309597310.1700001</v>
      </c>
      <c r="D20" s="293">
        <f t="shared" ref="D20:K20" si="2">D12+D18</f>
        <v>156774326.25999999</v>
      </c>
      <c r="E20" s="293">
        <f>E12+E18</f>
        <v>3152822983.9099998</v>
      </c>
      <c r="F20" s="293"/>
      <c r="G20" s="293">
        <f t="shared" si="2"/>
        <v>147938306.53</v>
      </c>
      <c r="H20" s="293">
        <f t="shared" si="2"/>
        <v>8836019.7300000004</v>
      </c>
      <c r="I20" s="293">
        <f t="shared" si="2"/>
        <v>2867226433.4899998</v>
      </c>
      <c r="J20" s="293">
        <f t="shared" si="2"/>
        <v>269962904.38999999</v>
      </c>
      <c r="K20" s="293">
        <f t="shared" si="2"/>
        <v>15633646.029999999</v>
      </c>
    </row>
    <row r="21" spans="1:12" x14ac:dyDescent="0.2">
      <c r="A21" s="2">
        <f t="shared" si="0"/>
        <v>13</v>
      </c>
      <c r="B21" s="17"/>
      <c r="C21" s="294"/>
      <c r="D21" s="295"/>
      <c r="E21" s="294"/>
      <c r="F21" s="17"/>
      <c r="G21" s="294"/>
      <c r="H21" s="294"/>
      <c r="I21" s="294"/>
      <c r="J21" s="294"/>
      <c r="K21" s="294"/>
    </row>
    <row r="22" spans="1:12" x14ac:dyDescent="0.2">
      <c r="A22" s="2">
        <f t="shared" si="0"/>
        <v>14</v>
      </c>
      <c r="B22" s="17"/>
      <c r="C22" s="294"/>
      <c r="D22" s="295"/>
      <c r="E22" s="294"/>
      <c r="F22" s="17"/>
      <c r="G22" s="294"/>
      <c r="H22" s="294"/>
      <c r="I22" s="294"/>
      <c r="J22" s="294"/>
      <c r="K22" s="294"/>
    </row>
    <row r="23" spans="1:12" x14ac:dyDescent="0.2">
      <c r="A23" s="2">
        <f t="shared" si="0"/>
        <v>15</v>
      </c>
      <c r="B23" s="686" t="s">
        <v>3216</v>
      </c>
      <c r="C23" s="294"/>
      <c r="D23" s="295"/>
      <c r="E23" s="294"/>
      <c r="F23" s="17"/>
      <c r="G23" s="294"/>
      <c r="H23" s="294"/>
      <c r="I23" s="294"/>
      <c r="J23" s="294"/>
      <c r="K23" s="294"/>
    </row>
    <row r="24" spans="1:12" x14ac:dyDescent="0.2">
      <c r="A24" s="2">
        <f t="shared" si="0"/>
        <v>16</v>
      </c>
      <c r="B24" s="17"/>
      <c r="C24" s="296" t="s">
        <v>527</v>
      </c>
      <c r="D24" s="26" t="s">
        <v>528</v>
      </c>
      <c r="E24" s="26"/>
      <c r="F24" s="17"/>
      <c r="G24" s="17"/>
      <c r="H24" s="17"/>
      <c r="I24" s="17"/>
      <c r="J24" s="17"/>
      <c r="K24" s="17"/>
    </row>
    <row r="25" spans="1:12" x14ac:dyDescent="0.2">
      <c r="A25" s="2">
        <f t="shared" si="0"/>
        <v>17</v>
      </c>
      <c r="B25" s="17" t="s">
        <v>368</v>
      </c>
      <c r="C25" s="31" t="s">
        <v>526</v>
      </c>
      <c r="D25" s="31" t="s">
        <v>526</v>
      </c>
      <c r="E25" s="31" t="s">
        <v>224</v>
      </c>
      <c r="F25" s="17"/>
      <c r="G25" s="297" t="s">
        <v>265</v>
      </c>
      <c r="H25" s="17"/>
      <c r="I25" s="17"/>
      <c r="J25" s="17"/>
      <c r="K25" s="17"/>
    </row>
    <row r="26" spans="1:12" x14ac:dyDescent="0.2">
      <c r="A26" s="2">
        <f t="shared" si="0"/>
        <v>18</v>
      </c>
      <c r="B26" s="79" t="s">
        <v>478</v>
      </c>
      <c r="C26" s="293">
        <f>G20</f>
        <v>147938306.53</v>
      </c>
      <c r="D26" s="293">
        <f>H20</f>
        <v>8836019.7300000004</v>
      </c>
      <c r="E26" s="298">
        <f>SUM(C26:D26)</f>
        <v>156774326.25999999</v>
      </c>
      <c r="F26" s="17"/>
      <c r="G26" s="17" t="s">
        <v>532</v>
      </c>
      <c r="H26" s="17"/>
      <c r="I26" s="17"/>
      <c r="J26" s="17"/>
      <c r="K26" s="17"/>
    </row>
    <row r="27" spans="1:12" x14ac:dyDescent="0.2">
      <c r="A27" s="2">
        <f t="shared" si="0"/>
        <v>19</v>
      </c>
      <c r="B27" s="79" t="s">
        <v>511</v>
      </c>
      <c r="C27" s="293">
        <f>I20</f>
        <v>2867226433.4899998</v>
      </c>
      <c r="D27" s="293">
        <f>J20</f>
        <v>269962904.38999999</v>
      </c>
      <c r="E27" s="298">
        <f>SUM(C27:D27)</f>
        <v>3137189337.8799996</v>
      </c>
      <c r="F27" s="17"/>
      <c r="G27" s="17" t="s">
        <v>532</v>
      </c>
      <c r="H27" s="17"/>
      <c r="I27" s="17"/>
      <c r="J27" s="17"/>
      <c r="K27" s="17"/>
    </row>
    <row r="28" spans="1:12" x14ac:dyDescent="0.2">
      <c r="A28" s="2">
        <f t="shared" si="0"/>
        <v>20</v>
      </c>
      <c r="B28" s="32" t="s">
        <v>530</v>
      </c>
      <c r="C28" s="293">
        <f>SUM(C26:C27)</f>
        <v>3015164740.02</v>
      </c>
      <c r="D28" s="293">
        <f>SUM(D26:D27)</f>
        <v>278798924.12</v>
      </c>
      <c r="E28" s="293">
        <f>SUM(C28:D28)</f>
        <v>3293963664.1399999</v>
      </c>
      <c r="F28" s="17"/>
      <c r="G28" s="17" t="s">
        <v>533</v>
      </c>
      <c r="H28" s="17"/>
      <c r="I28" s="17"/>
      <c r="J28" s="17"/>
      <c r="K28" s="17"/>
    </row>
    <row r="29" spans="1:12" x14ac:dyDescent="0.2">
      <c r="A29" s="2">
        <f t="shared" si="0"/>
        <v>21</v>
      </c>
      <c r="B29" s="299" t="s">
        <v>529</v>
      </c>
      <c r="C29" s="300">
        <f>C28/E28</f>
        <v>0.9153606558702615</v>
      </c>
      <c r="D29" s="300">
        <f>D28/E28</f>
        <v>8.4639344129738558E-2</v>
      </c>
      <c r="E29" s="301"/>
      <c r="F29" s="302"/>
      <c r="G29" s="303" t="s">
        <v>534</v>
      </c>
      <c r="H29" s="17"/>
      <c r="I29" s="17"/>
      <c r="J29" s="17"/>
      <c r="K29" s="302"/>
    </row>
    <row r="30" spans="1:12" x14ac:dyDescent="0.2">
      <c r="A30" s="115">
        <f t="shared" si="0"/>
        <v>22</v>
      </c>
      <c r="B30" s="304"/>
      <c r="C30" s="305"/>
      <c r="D30" s="305"/>
      <c r="E30" s="305"/>
      <c r="F30" s="304"/>
      <c r="G30" s="304"/>
      <c r="H30" s="304"/>
      <c r="I30" s="304"/>
      <c r="J30" s="304"/>
      <c r="K30" s="304"/>
      <c r="L30" s="14"/>
    </row>
    <row r="31" spans="1:12" x14ac:dyDescent="0.2">
      <c r="A31" s="115">
        <f t="shared" si="0"/>
        <v>23</v>
      </c>
      <c r="B31" s="278" t="s">
        <v>531</v>
      </c>
      <c r="C31" s="1141">
        <f>K20*C29</f>
        <v>14310424.48366431</v>
      </c>
      <c r="D31" s="1141">
        <f>K20*D29</f>
        <v>1323221.5463356909</v>
      </c>
      <c r="E31" s="1141">
        <f>K20</f>
        <v>15633646.029999999</v>
      </c>
      <c r="F31" s="278"/>
      <c r="G31" s="646" t="str">
        <f>"Straddling Transformers split by Gross Plant Percentages on Line "&amp;A29&amp;""</f>
        <v>Straddling Transformers split by Gross Plant Percentages on Line 21</v>
      </c>
      <c r="H31" s="278"/>
      <c r="I31" s="278"/>
      <c r="J31" s="278"/>
      <c r="K31" s="278"/>
      <c r="L31" s="14"/>
    </row>
    <row r="32" spans="1:12" x14ac:dyDescent="0.2">
      <c r="A32" s="115">
        <f t="shared" si="0"/>
        <v>24</v>
      </c>
      <c r="B32" s="865" t="s">
        <v>2199</v>
      </c>
      <c r="C32" s="1142">
        <f>'12-AbandonedPlant'!D30</f>
        <v>11028000</v>
      </c>
      <c r="D32" s="1142">
        <v>0</v>
      </c>
      <c r="E32" s="1142">
        <v>0</v>
      </c>
      <c r="F32" s="865"/>
      <c r="G32" s="865" t="s">
        <v>2200</v>
      </c>
      <c r="H32" s="1143"/>
      <c r="I32" s="278"/>
      <c r="J32" s="278"/>
      <c r="K32" s="278"/>
      <c r="L32" s="14"/>
    </row>
    <row r="33" spans="1:12" x14ac:dyDescent="0.2">
      <c r="A33" s="115">
        <f t="shared" si="0"/>
        <v>25</v>
      </c>
      <c r="B33" s="278" t="s">
        <v>535</v>
      </c>
      <c r="C33" s="272">
        <f>C28+C31+C32</f>
        <v>3040503164.5036645</v>
      </c>
      <c r="D33" s="272">
        <f>D28+D31+D32</f>
        <v>280122145.6663357</v>
      </c>
      <c r="E33" s="272">
        <f>E28+E31+E32</f>
        <v>3309597310.1700001</v>
      </c>
      <c r="F33" s="278"/>
      <c r="G33" s="865" t="str">
        <f>"Line "&amp;A28&amp;" + Line "&amp;A31&amp;" + Line "&amp;A32&amp;""</f>
        <v>Line 20 + Line 23 + Line 24</v>
      </c>
      <c r="H33" s="865"/>
      <c r="I33" s="278"/>
      <c r="J33" s="278"/>
      <c r="K33" s="278"/>
      <c r="L33" s="14"/>
    </row>
    <row r="34" spans="1:12" x14ac:dyDescent="0.2">
      <c r="A34" s="115">
        <f t="shared" si="0"/>
        <v>26</v>
      </c>
      <c r="B34" s="278"/>
      <c r="C34" s="306"/>
      <c r="D34" s="306"/>
      <c r="E34" s="1144"/>
      <c r="F34" s="278"/>
      <c r="G34" s="278"/>
      <c r="H34" s="278"/>
      <c r="I34" s="278"/>
      <c r="J34" s="278"/>
      <c r="K34" s="278"/>
      <c r="L34" s="14"/>
    </row>
    <row r="35" spans="1:12" x14ac:dyDescent="0.2">
      <c r="A35" s="115">
        <f t="shared" si="0"/>
        <v>27</v>
      </c>
      <c r="B35" s="278"/>
      <c r="C35" s="1145"/>
      <c r="D35" s="1145"/>
      <c r="E35" s="278"/>
      <c r="F35" s="278"/>
      <c r="G35" s="1145"/>
      <c r="H35" s="1145"/>
      <c r="I35" s="1145"/>
      <c r="J35" s="278"/>
      <c r="K35" s="278"/>
      <c r="L35" s="14"/>
    </row>
    <row r="36" spans="1:12" x14ac:dyDescent="0.2">
      <c r="A36" s="115">
        <f t="shared" si="0"/>
        <v>28</v>
      </c>
      <c r="B36" s="283" t="s">
        <v>538</v>
      </c>
      <c r="C36" s="278"/>
      <c r="D36" s="278"/>
      <c r="E36" s="278"/>
      <c r="F36" s="278"/>
      <c r="G36" s="278"/>
      <c r="H36" s="278"/>
      <c r="I36" s="278"/>
      <c r="J36" s="278"/>
      <c r="K36" s="278"/>
      <c r="L36" s="14"/>
    </row>
    <row r="37" spans="1:12" x14ac:dyDescent="0.2">
      <c r="A37" s="115">
        <f t="shared" si="0"/>
        <v>29</v>
      </c>
      <c r="B37" s="283"/>
      <c r="C37" s="278"/>
      <c r="D37" s="278"/>
      <c r="E37" s="278"/>
      <c r="F37" s="278"/>
      <c r="G37" s="278"/>
      <c r="H37" s="278"/>
      <c r="I37" s="278"/>
      <c r="J37" s="278"/>
      <c r="K37" s="278"/>
      <c r="L37" s="14"/>
    </row>
    <row r="38" spans="1:12" x14ac:dyDescent="0.2">
      <c r="A38" s="115">
        <f t="shared" si="0"/>
        <v>30</v>
      </c>
      <c r="B38" s="283"/>
      <c r="C38" s="1146" t="s">
        <v>527</v>
      </c>
      <c r="D38" s="493" t="s">
        <v>528</v>
      </c>
      <c r="E38" s="493"/>
      <c r="F38" s="278"/>
      <c r="G38" s="278"/>
      <c r="H38" s="278"/>
      <c r="I38" s="278"/>
      <c r="J38" s="278"/>
      <c r="K38" s="278"/>
      <c r="L38" s="14"/>
    </row>
    <row r="39" spans="1:12" x14ac:dyDescent="0.2">
      <c r="A39" s="115">
        <f t="shared" si="0"/>
        <v>31</v>
      </c>
      <c r="B39" s="283"/>
      <c r="C39" s="613" t="s">
        <v>526</v>
      </c>
      <c r="D39" s="613" t="s">
        <v>526</v>
      </c>
      <c r="E39" s="613" t="s">
        <v>224</v>
      </c>
      <c r="F39" s="278"/>
      <c r="G39" s="1147" t="s">
        <v>265</v>
      </c>
      <c r="H39" s="278"/>
      <c r="I39" s="278"/>
      <c r="J39" s="278"/>
      <c r="K39" s="278"/>
      <c r="L39" s="14"/>
    </row>
    <row r="40" spans="1:12" x14ac:dyDescent="0.2">
      <c r="A40" s="115">
        <f t="shared" si="0"/>
        <v>32</v>
      </c>
      <c r="B40" s="278" t="s">
        <v>535</v>
      </c>
      <c r="C40" s="285">
        <f>C33</f>
        <v>3040503164.5036645</v>
      </c>
      <c r="D40" s="285">
        <f>D33</f>
        <v>280122145.6663357</v>
      </c>
      <c r="E40" s="285">
        <f>E33</f>
        <v>3309597310.1700001</v>
      </c>
      <c r="F40" s="278"/>
      <c r="G40" s="278" t="str">
        <f>"Line "&amp;A33&amp;""</f>
        <v>Line 25</v>
      </c>
      <c r="H40" s="278"/>
      <c r="I40" s="278"/>
      <c r="J40" s="278"/>
      <c r="K40" s="278"/>
      <c r="L40" s="14"/>
    </row>
    <row r="41" spans="1:12" x14ac:dyDescent="0.2">
      <c r="A41" s="115">
        <f t="shared" si="0"/>
        <v>33</v>
      </c>
      <c r="B41" s="646" t="s">
        <v>2082</v>
      </c>
      <c r="C41" s="285">
        <f>'16-PlantAdditions'!K34-'16-PlantAdditions'!P34</f>
        <v>1115729599.5916774</v>
      </c>
      <c r="D41" s="285">
        <f>'16-PlantAdditions'!P34</f>
        <v>5485466.6279600151</v>
      </c>
      <c r="E41" s="1148">
        <f>SUM(C41:D41)</f>
        <v>1121215066.2196374</v>
      </c>
      <c r="F41" s="278"/>
      <c r="G41" s="278" t="str">
        <f>"13-Month Average: 16-PlantAdditions, Line "&amp;'16-PlantAdditions'!A34&amp;", Cols 7  (for Total) and 12 (for LV).  HV = C7 - C12."</f>
        <v>13-Month Average: 16-PlantAdditions, Line 22, Cols 7  (for Total) and 12 (for LV).  HV = C7 - C12.</v>
      </c>
      <c r="H41" s="278"/>
      <c r="I41" s="278"/>
      <c r="J41" s="278"/>
      <c r="K41" s="278"/>
      <c r="L41" s="14"/>
    </row>
    <row r="42" spans="1:12" x14ac:dyDescent="0.2">
      <c r="A42" s="115">
        <f t="shared" si="0"/>
        <v>34</v>
      </c>
      <c r="B42" s="646" t="s">
        <v>2081</v>
      </c>
      <c r="C42" s="773">
        <f>'10-CWIP'!K76</f>
        <v>374298446.48527646</v>
      </c>
      <c r="D42" s="773">
        <v>0</v>
      </c>
      <c r="E42" s="773">
        <f>SUM(C42:D42)</f>
        <v>374298446.48527646</v>
      </c>
      <c r="F42" s="278"/>
      <c r="G42" s="278" t="str">
        <f>"13 Month Average: 10-CWIP, Line "&amp;'10-CWIP'!A76&amp;", Col. 8"</f>
        <v>13 Month Average: 10-CWIP, Line 51, Col. 8</v>
      </c>
      <c r="H42" s="278"/>
      <c r="I42" s="278"/>
      <c r="J42" s="278"/>
      <c r="K42" s="278"/>
      <c r="L42" s="14"/>
    </row>
    <row r="43" spans="1:12" x14ac:dyDescent="0.2">
      <c r="A43" s="115">
        <f t="shared" si="0"/>
        <v>35</v>
      </c>
      <c r="B43" s="278" t="s">
        <v>536</v>
      </c>
      <c r="C43" s="285">
        <f>SUM(C40:C42)</f>
        <v>4530531210.5806179</v>
      </c>
      <c r="D43" s="285">
        <f t="shared" ref="D43:E43" si="3">SUM(D40:D42)</f>
        <v>285607612.29429573</v>
      </c>
      <c r="E43" s="285">
        <f t="shared" si="3"/>
        <v>4805110822.8749132</v>
      </c>
      <c r="F43" s="278"/>
      <c r="G43" s="278" t="str">
        <f>"Line "&amp;A40&amp;" + Line "&amp;A41&amp;" + Line "&amp;A42&amp;""</f>
        <v>Line 32 + Line 33 + Line 34</v>
      </c>
      <c r="H43" s="278"/>
      <c r="I43" s="278"/>
      <c r="J43" s="278"/>
      <c r="K43" s="278"/>
      <c r="L43" s="14"/>
    </row>
    <row r="44" spans="1:12" x14ac:dyDescent="0.2">
      <c r="A44" s="115">
        <f t="shared" si="0"/>
        <v>36</v>
      </c>
      <c r="B44" s="278"/>
      <c r="C44" s="278"/>
      <c r="D44" s="278"/>
      <c r="E44" s="278"/>
      <c r="F44" s="278"/>
      <c r="G44" s="278"/>
      <c r="H44" s="278"/>
      <c r="I44" s="278"/>
      <c r="J44" s="278"/>
      <c r="K44" s="278"/>
      <c r="L44" s="14"/>
    </row>
    <row r="45" spans="1:12" x14ac:dyDescent="0.2">
      <c r="A45" s="115">
        <f t="shared" si="0"/>
        <v>37</v>
      </c>
      <c r="B45" s="278" t="s">
        <v>1279</v>
      </c>
      <c r="C45" s="1149">
        <f>C43/E43</f>
        <v>0.9428567576449749</v>
      </c>
      <c r="D45" s="1149">
        <f>D43/E43</f>
        <v>5.9438298682862795E-2</v>
      </c>
      <c r="E45" s="278"/>
      <c r="F45" s="278"/>
      <c r="G45" s="1150" t="str">
        <f>"Percent of Total on Line "&amp;A43&amp;""</f>
        <v>Percent of Total on Line 35</v>
      </c>
      <c r="H45" s="278"/>
      <c r="I45" s="278"/>
      <c r="J45" s="278"/>
      <c r="K45" s="278"/>
      <c r="L45" s="14"/>
    </row>
    <row r="46" spans="1:12" x14ac:dyDescent="0.2">
      <c r="A46" s="115">
        <f t="shared" si="0"/>
        <v>38</v>
      </c>
      <c r="B46" s="1084" t="s">
        <v>1869</v>
      </c>
      <c r="C46" s="278"/>
      <c r="D46" s="278"/>
      <c r="E46" s="278"/>
      <c r="F46" s="278"/>
      <c r="G46" s="278"/>
      <c r="H46" s="278"/>
      <c r="I46" s="278"/>
      <c r="J46" s="278"/>
      <c r="K46" s="278"/>
      <c r="L46" s="14"/>
    </row>
    <row r="47" spans="1:12" x14ac:dyDescent="0.2">
      <c r="A47" s="115">
        <f t="shared" si="0"/>
        <v>39</v>
      </c>
      <c r="B47" s="646" t="s">
        <v>2085</v>
      </c>
      <c r="C47" s="278"/>
      <c r="D47" s="278"/>
      <c r="E47" s="278"/>
      <c r="F47" s="278"/>
      <c r="G47" s="278"/>
      <c r="H47" s="278"/>
      <c r="I47" s="278"/>
      <c r="J47" s="278"/>
      <c r="K47" s="278"/>
      <c r="L47" s="14"/>
    </row>
    <row r="48" spans="1:12" x14ac:dyDescent="0.2">
      <c r="A48" s="15"/>
      <c r="B48" s="45"/>
      <c r="C48" s="278"/>
      <c r="D48" s="278"/>
      <c r="E48" s="278"/>
      <c r="F48" s="278"/>
      <c r="G48" s="278"/>
      <c r="H48" s="278"/>
      <c r="I48" s="278"/>
      <c r="J48" s="278"/>
      <c r="K48" s="278"/>
      <c r="L48" s="14"/>
    </row>
    <row r="49" spans="1:12" x14ac:dyDescent="0.2">
      <c r="A49" s="15"/>
      <c r="B49" s="45" t="s">
        <v>265</v>
      </c>
      <c r="C49" s="865"/>
      <c r="D49" s="865"/>
      <c r="E49" s="865"/>
      <c r="F49" s="865"/>
      <c r="G49" s="865"/>
      <c r="H49" s="865"/>
      <c r="I49" s="278"/>
      <c r="J49" s="278"/>
      <c r="K49" s="278"/>
      <c r="L49" s="14"/>
    </row>
    <row r="50" spans="1:12" x14ac:dyDescent="0.2">
      <c r="A50" s="15"/>
      <c r="B50" s="865" t="s">
        <v>2201</v>
      </c>
      <c r="C50" s="865"/>
      <c r="D50" s="865"/>
      <c r="E50" s="865"/>
      <c r="F50" s="865"/>
      <c r="G50" s="865"/>
      <c r="H50" s="865"/>
      <c r="I50" s="278"/>
      <c r="J50" s="278"/>
      <c r="K50" s="278"/>
      <c r="L50" s="14"/>
    </row>
    <row r="51" spans="1:12" x14ac:dyDescent="0.2">
      <c r="A51" s="14"/>
      <c r="B51" s="865" t="s">
        <v>2202</v>
      </c>
      <c r="C51" s="1143"/>
      <c r="D51" s="1143"/>
      <c r="E51" s="1143"/>
      <c r="F51" s="1143"/>
      <c r="G51" s="1143"/>
      <c r="H51" s="1143"/>
      <c r="I51" s="1138"/>
      <c r="J51" s="1138"/>
      <c r="K51" s="1138"/>
      <c r="L51" s="14"/>
    </row>
    <row r="52" spans="1:12" x14ac:dyDescent="0.2">
      <c r="A52" s="14"/>
      <c r="B52" s="1138"/>
      <c r="C52" s="1138"/>
      <c r="D52" s="1138"/>
      <c r="E52" s="1138"/>
      <c r="F52" s="1138"/>
      <c r="G52" s="1138"/>
      <c r="H52" s="1138"/>
      <c r="I52" s="1138"/>
      <c r="J52" s="1138"/>
      <c r="K52" s="1138"/>
      <c r="L52" s="14"/>
    </row>
    <row r="53" spans="1:12" x14ac:dyDescent="0.2">
      <c r="A53" s="14"/>
      <c r="B53" s="1138"/>
      <c r="C53" s="1138"/>
      <c r="D53" s="1138"/>
      <c r="E53" s="1138"/>
      <c r="F53" s="1138"/>
      <c r="G53" s="1138"/>
      <c r="H53" s="1138"/>
      <c r="I53" s="1138"/>
      <c r="J53" s="1138"/>
      <c r="K53" s="1138"/>
      <c r="L53" s="14"/>
    </row>
  </sheetData>
  <pageMargins left="0.7" right="0.7" top="0.75" bottom="0.75" header="0.3" footer="0.3"/>
  <pageSetup scale="75" orientation="landscape" cellComments="asDisplayed" r:id="rId1"/>
  <headerFooter>
    <oddHeader>&amp;CSchedule 31
High and Low Voltage Gross Plant
&amp;"Arial,Bold"Exhibit G-2</oddHeader>
    <oddFooter>&amp;R31-HVLV</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Normal="100" workbookViewId="0"/>
  </sheetViews>
  <sheetFormatPr defaultRowHeight="12.75" x14ac:dyDescent="0.2"/>
  <cols>
    <col min="1" max="1" width="4.7109375" customWidth="1"/>
    <col min="5" max="5" width="3.140625" customWidth="1"/>
    <col min="6" max="6" width="12.7109375" customWidth="1"/>
    <col min="7" max="7" width="22.7109375" customWidth="1"/>
    <col min="8" max="8" width="25.7109375" customWidth="1"/>
  </cols>
  <sheetData>
    <row r="1" spans="1:8" x14ac:dyDescent="0.2">
      <c r="A1" s="1" t="s">
        <v>2102</v>
      </c>
    </row>
    <row r="3" spans="1:8" x14ac:dyDescent="0.2">
      <c r="G3" s="2"/>
    </row>
    <row r="4" spans="1:8" x14ac:dyDescent="0.2">
      <c r="A4" s="3" t="s">
        <v>369</v>
      </c>
      <c r="F4" s="3" t="s">
        <v>321</v>
      </c>
      <c r="G4" s="3" t="s">
        <v>172</v>
      </c>
      <c r="H4" s="53" t="s">
        <v>207</v>
      </c>
    </row>
    <row r="5" spans="1:8" x14ac:dyDescent="0.2">
      <c r="A5" s="2">
        <v>1</v>
      </c>
      <c r="B5" s="626" t="s">
        <v>375</v>
      </c>
      <c r="F5" s="102">
        <v>90246856</v>
      </c>
      <c r="G5" s="16"/>
      <c r="H5" t="s">
        <v>404</v>
      </c>
    </row>
    <row r="6" spans="1:8" x14ac:dyDescent="0.2">
      <c r="A6" s="2">
        <v>2</v>
      </c>
      <c r="B6" s="12" t="s">
        <v>376</v>
      </c>
      <c r="F6" s="104">
        <v>284616</v>
      </c>
      <c r="G6" s="16"/>
      <c r="H6" t="s">
        <v>405</v>
      </c>
    </row>
    <row r="7" spans="1:8" x14ac:dyDescent="0.2">
      <c r="A7" s="2">
        <v>3</v>
      </c>
      <c r="B7" s="52" t="s">
        <v>364</v>
      </c>
      <c r="F7" s="103">
        <f>SUM(F5:F6)</f>
        <v>90531472</v>
      </c>
      <c r="G7" s="13" t="s">
        <v>377</v>
      </c>
      <c r="H7" s="12" t="s">
        <v>365</v>
      </c>
    </row>
    <row r="8" spans="1:8" x14ac:dyDescent="0.2">
      <c r="A8" s="2"/>
      <c r="G8" s="16"/>
    </row>
    <row r="9" spans="1:8" x14ac:dyDescent="0.2">
      <c r="A9" s="2"/>
      <c r="G9" s="16"/>
    </row>
    <row r="10" spans="1:8" x14ac:dyDescent="0.2">
      <c r="A10" s="2">
        <v>4</v>
      </c>
      <c r="B10" s="628" t="s">
        <v>2874</v>
      </c>
      <c r="C10" s="628"/>
      <c r="D10" s="628"/>
      <c r="E10" s="37"/>
      <c r="F10" s="102">
        <v>180565</v>
      </c>
      <c r="G10" s="16"/>
      <c r="H10" s="12" t="s">
        <v>404</v>
      </c>
    </row>
    <row r="13" spans="1:8" x14ac:dyDescent="0.2">
      <c r="B13" s="53" t="s">
        <v>265</v>
      </c>
    </row>
    <row r="14" spans="1:8" x14ac:dyDescent="0.2">
      <c r="B14" s="12" t="s">
        <v>1491</v>
      </c>
    </row>
    <row r="15" spans="1:8" x14ac:dyDescent="0.2">
      <c r="B15" s="12" t="s">
        <v>1492</v>
      </c>
    </row>
    <row r="16" spans="1:8" x14ac:dyDescent="0.2">
      <c r="B16" s="628" t="s">
        <v>2491</v>
      </c>
      <c r="C16" s="14"/>
      <c r="D16" s="14"/>
      <c r="E16" s="14"/>
      <c r="F16" s="14"/>
      <c r="G16" s="14"/>
      <c r="H16" s="14"/>
    </row>
    <row r="18" spans="2:2" ht="15.75" x14ac:dyDescent="0.25">
      <c r="B18" s="845"/>
    </row>
  </sheetData>
  <pageMargins left="0.7" right="0.7" top="1" bottom="0.75" header="0.3" footer="0.3"/>
  <pageSetup orientation="landscape" cellComments="asDisplayed" r:id="rId1"/>
  <headerFooter>
    <oddHeader>&amp;CSchedule 32 
Gross Load
&amp;"Arial,Bold"Exhibit G-2</oddHeader>
    <oddFooter>&amp;R&amp;A</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4"/>
  <sheetViews>
    <sheetView topLeftCell="A184" zoomScale="70" zoomScaleNormal="70" zoomScalePageLayoutView="75" workbookViewId="0">
      <selection activeCell="J211" sqref="J211:J222"/>
    </sheetView>
  </sheetViews>
  <sheetFormatPr defaultRowHeight="12.75" x14ac:dyDescent="0.2"/>
  <cols>
    <col min="1" max="1" width="5.140625" customWidth="1"/>
    <col min="2" max="2" width="30.5703125" customWidth="1"/>
    <col min="3" max="11" width="17.7109375" customWidth="1"/>
    <col min="12" max="12" width="10.7109375" customWidth="1"/>
    <col min="13" max="13" width="9.140625" style="14"/>
  </cols>
  <sheetData>
    <row r="1" spans="1:12" x14ac:dyDescent="0.2">
      <c r="A1" s="1" t="s">
        <v>421</v>
      </c>
      <c r="B1" s="626"/>
      <c r="C1" s="626"/>
      <c r="D1" s="626"/>
      <c r="E1" s="626"/>
      <c r="F1" s="626"/>
      <c r="G1" s="626"/>
      <c r="H1" s="626"/>
      <c r="I1" s="626"/>
      <c r="J1" s="626"/>
      <c r="K1" s="626"/>
      <c r="L1" s="626"/>
    </row>
    <row r="2" spans="1:12" x14ac:dyDescent="0.2">
      <c r="E2" s="3" t="s">
        <v>207</v>
      </c>
    </row>
    <row r="3" spans="1:12" x14ac:dyDescent="0.2">
      <c r="C3" s="70" t="s">
        <v>1311</v>
      </c>
      <c r="D3" s="629">
        <f>'1-BaseTRR'!K152</f>
        <v>789284764.79041338</v>
      </c>
      <c r="E3" s="625" t="str">
        <f>"1-BaseTRR, Line "&amp;'1-BaseTRR'!A152&amp;""</f>
        <v>1-BaseTRR, Line 86</v>
      </c>
      <c r="H3" s="432" t="s">
        <v>506</v>
      </c>
      <c r="I3" s="631"/>
      <c r="J3" s="14"/>
    </row>
    <row r="4" spans="1:12" x14ac:dyDescent="0.2">
      <c r="C4" s="70"/>
      <c r="D4" s="7"/>
      <c r="E4" s="630"/>
    </row>
    <row r="5" spans="1:12" x14ac:dyDescent="0.2">
      <c r="B5" s="1" t="s">
        <v>1312</v>
      </c>
      <c r="D5" s="70"/>
      <c r="E5" s="7"/>
      <c r="F5" s="630"/>
    </row>
    <row r="6" spans="1:12" x14ac:dyDescent="0.2">
      <c r="C6" s="86" t="s">
        <v>403</v>
      </c>
      <c r="D6" s="86" t="s">
        <v>387</v>
      </c>
      <c r="E6" s="86" t="s">
        <v>388</v>
      </c>
      <c r="F6" s="86" t="s">
        <v>389</v>
      </c>
      <c r="G6" s="86" t="s">
        <v>390</v>
      </c>
      <c r="H6" s="86" t="s">
        <v>391</v>
      </c>
      <c r="I6" s="86" t="s">
        <v>392</v>
      </c>
      <c r="J6" s="86" t="s">
        <v>606</v>
      </c>
      <c r="K6" s="86" t="s">
        <v>1055</v>
      </c>
      <c r="L6" s="86" t="s">
        <v>1072</v>
      </c>
    </row>
    <row r="7" spans="1:12" x14ac:dyDescent="0.2">
      <c r="C7" s="627" t="s">
        <v>404</v>
      </c>
      <c r="E7" s="627" t="s">
        <v>405</v>
      </c>
      <c r="F7" s="627" t="s">
        <v>1313</v>
      </c>
      <c r="G7" s="627" t="s">
        <v>1339</v>
      </c>
      <c r="H7" s="627" t="s">
        <v>1348</v>
      </c>
      <c r="I7" s="627" t="s">
        <v>1349</v>
      </c>
      <c r="J7" s="627" t="s">
        <v>1880</v>
      </c>
      <c r="K7" s="627" t="s">
        <v>1880</v>
      </c>
      <c r="L7" s="86"/>
    </row>
    <row r="8" spans="1:12" x14ac:dyDescent="0.2">
      <c r="D8" s="693"/>
      <c r="E8" s="694"/>
      <c r="G8" s="694"/>
    </row>
    <row r="9" spans="1:12" x14ac:dyDescent="0.2">
      <c r="C9" s="627"/>
      <c r="D9" s="1278" t="s">
        <v>1775</v>
      </c>
      <c r="E9" s="1267" t="s">
        <v>1776</v>
      </c>
      <c r="F9" s="1267" t="s">
        <v>1777</v>
      </c>
      <c r="G9" s="1267" t="s">
        <v>1881</v>
      </c>
      <c r="H9" s="627"/>
      <c r="I9" s="627"/>
      <c r="J9" s="1267" t="str">
        <f>F9</f>
        <v>Applies to monthly maximum kW demand charges</v>
      </c>
      <c r="K9" s="1267" t="str">
        <f>G9</f>
        <v>Applies to monthly contracted standby kW demand charges</v>
      </c>
    </row>
    <row r="10" spans="1:12" x14ac:dyDescent="0.2">
      <c r="C10" s="86"/>
      <c r="D10" s="1278"/>
      <c r="E10" s="1267"/>
      <c r="F10" s="1267"/>
      <c r="G10" s="1267"/>
      <c r="H10" s="86"/>
      <c r="J10" s="1267"/>
      <c r="K10" s="1267"/>
    </row>
    <row r="11" spans="1:12" x14ac:dyDescent="0.2">
      <c r="C11" s="86"/>
      <c r="D11" s="1278"/>
      <c r="E11" s="1268"/>
      <c r="F11" s="1268"/>
      <c r="G11" s="1268"/>
      <c r="H11" s="86"/>
      <c r="J11" s="1268"/>
      <c r="K11" s="1268"/>
    </row>
    <row r="12" spans="1:12" x14ac:dyDescent="0.2">
      <c r="C12" s="86"/>
      <c r="D12" s="1279"/>
      <c r="E12" s="1245" t="s">
        <v>1315</v>
      </c>
      <c r="F12" s="1246"/>
      <c r="G12" s="1247"/>
      <c r="H12" s="86"/>
      <c r="J12" s="1241" t="s">
        <v>1316</v>
      </c>
      <c r="K12" s="1242"/>
    </row>
    <row r="13" spans="1:12" x14ac:dyDescent="0.2">
      <c r="B13" s="1255" t="s">
        <v>1317</v>
      </c>
      <c r="C13" s="1280" t="s">
        <v>1318</v>
      </c>
      <c r="D13" s="1244" t="s">
        <v>1319</v>
      </c>
      <c r="E13" s="1248" t="s">
        <v>1320</v>
      </c>
      <c r="F13" s="1243" t="s">
        <v>1778</v>
      </c>
      <c r="G13" s="1243" t="s">
        <v>1779</v>
      </c>
      <c r="H13" s="1244" t="s">
        <v>1322</v>
      </c>
      <c r="I13" s="1244" t="s">
        <v>1321</v>
      </c>
      <c r="J13" s="1243" t="s">
        <v>1780</v>
      </c>
      <c r="K13" s="1243" t="s">
        <v>1781</v>
      </c>
      <c r="L13" s="1258" t="s">
        <v>196</v>
      </c>
    </row>
    <row r="14" spans="1:12" x14ac:dyDescent="0.2">
      <c r="B14" s="1256"/>
      <c r="C14" s="1280"/>
      <c r="D14" s="1244"/>
      <c r="E14" s="1248"/>
      <c r="F14" s="1243"/>
      <c r="G14" s="1243"/>
      <c r="H14" s="1244"/>
      <c r="I14" s="1244"/>
      <c r="J14" s="1243"/>
      <c r="K14" s="1243"/>
      <c r="L14" s="1259"/>
    </row>
    <row r="15" spans="1:12" x14ac:dyDescent="0.2">
      <c r="B15" s="1256"/>
      <c r="C15" s="1280"/>
      <c r="D15" s="1244"/>
      <c r="E15" s="1248"/>
      <c r="F15" s="1243"/>
      <c r="G15" s="1243"/>
      <c r="H15" s="1244"/>
      <c r="I15" s="1244"/>
      <c r="J15" s="1243"/>
      <c r="K15" s="1243"/>
      <c r="L15" s="1259"/>
    </row>
    <row r="16" spans="1:12" x14ac:dyDescent="0.2">
      <c r="A16" s="55" t="s">
        <v>359</v>
      </c>
      <c r="B16" s="1257"/>
      <c r="C16" s="1280"/>
      <c r="D16" s="1244"/>
      <c r="E16" s="1248"/>
      <c r="F16" s="1243"/>
      <c r="G16" s="1243"/>
      <c r="H16" s="1244"/>
      <c r="I16" s="1244"/>
      <c r="J16" s="1243"/>
      <c r="K16" s="1243"/>
      <c r="L16" s="1260"/>
    </row>
    <row r="17" spans="1:12" x14ac:dyDescent="0.2">
      <c r="A17" s="699" t="s">
        <v>649</v>
      </c>
      <c r="B17" s="632" t="s">
        <v>175</v>
      </c>
      <c r="C17" s="43">
        <f t="shared" ref="C17:C29" si="0">K158</f>
        <v>0.39367613505425902</v>
      </c>
      <c r="D17" s="7">
        <f>$D$3*C17</f>
        <v>310722575.65989983</v>
      </c>
      <c r="E17" s="102">
        <v>29173.326112886261</v>
      </c>
      <c r="F17" s="102">
        <v>0</v>
      </c>
      <c r="G17" s="102">
        <v>1.2E-2</v>
      </c>
      <c r="H17" s="633">
        <f>D17/(E17*1000000)</f>
        <v>1.0650913593381777E-2</v>
      </c>
      <c r="I17" s="634" t="s">
        <v>86</v>
      </c>
      <c r="L17" s="635"/>
    </row>
    <row r="18" spans="1:12" x14ac:dyDescent="0.2">
      <c r="A18" s="699" t="s">
        <v>651</v>
      </c>
      <c r="B18" s="632" t="s">
        <v>176</v>
      </c>
      <c r="C18" s="43">
        <f t="shared" si="0"/>
        <v>6.814554499565606E-2</v>
      </c>
      <c r="D18" s="7">
        <f t="shared" ref="D18:D29" si="1">$D$3*C18</f>
        <v>53786240.453410923</v>
      </c>
      <c r="E18" s="102">
        <v>5030.6101744858761</v>
      </c>
      <c r="F18" s="102">
        <v>0</v>
      </c>
      <c r="G18" s="102">
        <v>0.73199999999999998</v>
      </c>
      <c r="H18" s="633">
        <f>D18/(E18*1000000)</f>
        <v>1.0691792563495109E-2</v>
      </c>
      <c r="I18" s="634" t="s">
        <v>86</v>
      </c>
      <c r="L18" s="635"/>
    </row>
    <row r="19" spans="1:12" x14ac:dyDescent="0.2">
      <c r="A19" s="699" t="s">
        <v>654</v>
      </c>
      <c r="B19" s="632" t="s">
        <v>177</v>
      </c>
      <c r="C19" s="43">
        <f t="shared" si="0"/>
        <v>5.3085873249119372E-4</v>
      </c>
      <c r="D19" s="7">
        <f t="shared" si="1"/>
        <v>418998.70981124882</v>
      </c>
      <c r="E19" s="102">
        <v>65.729876452528288</v>
      </c>
      <c r="F19" s="102">
        <v>0</v>
      </c>
      <c r="G19" s="102">
        <v>0</v>
      </c>
      <c r="H19" s="633">
        <f>D19/(E19*1000000)</f>
        <v>6.3745549577270211E-3</v>
      </c>
      <c r="I19" s="634" t="s">
        <v>86</v>
      </c>
      <c r="L19" s="635"/>
    </row>
    <row r="20" spans="1:12" x14ac:dyDescent="0.2">
      <c r="A20" s="699" t="s">
        <v>1323</v>
      </c>
      <c r="B20" s="632" t="s">
        <v>178</v>
      </c>
      <c r="C20" s="43">
        <f t="shared" si="0"/>
        <v>0.18987286414314028</v>
      </c>
      <c r="D20" s="7">
        <f t="shared" si="1"/>
        <v>149863758.91530058</v>
      </c>
      <c r="E20" s="102">
        <v>15279.765898922191</v>
      </c>
      <c r="F20" s="102">
        <v>52935.8172360846</v>
      </c>
      <c r="G20" s="102">
        <v>36.311999999999998</v>
      </c>
      <c r="H20" s="634" t="s">
        <v>86</v>
      </c>
      <c r="I20" s="436">
        <f t="shared" ref="I20:I28" si="2">D20/((G20+F20)*1000)</f>
        <v>2.8291058161432829</v>
      </c>
      <c r="J20" s="73"/>
      <c r="L20" s="635"/>
    </row>
    <row r="21" spans="1:12" x14ac:dyDescent="0.2">
      <c r="A21" s="699" t="s">
        <v>1324</v>
      </c>
      <c r="B21" s="632" t="s">
        <v>179</v>
      </c>
      <c r="C21" s="43">
        <f t="shared" si="0"/>
        <v>9.779849807973473E-2</v>
      </c>
      <c r="D21" s="7">
        <f t="shared" si="1"/>
        <v>77190864.553719118</v>
      </c>
      <c r="E21" s="102">
        <v>8537.0783861382806</v>
      </c>
      <c r="F21" s="102">
        <v>24506.300198521116</v>
      </c>
      <c r="G21" s="102">
        <v>89.664000000000001</v>
      </c>
      <c r="H21" s="634" t="s">
        <v>86</v>
      </c>
      <c r="I21" s="436">
        <f t="shared" si="2"/>
        <v>3.1383548915053465</v>
      </c>
      <c r="J21" s="73"/>
      <c r="L21" s="635"/>
    </row>
    <row r="22" spans="1:12" x14ac:dyDescent="0.2">
      <c r="A22" s="699" t="s">
        <v>1325</v>
      </c>
      <c r="B22" s="632" t="s">
        <v>1326</v>
      </c>
      <c r="C22" s="43">
        <f t="shared" si="0"/>
        <v>9.6867770167369013E-2</v>
      </c>
      <c r="D22" s="7">
        <f t="shared" si="1"/>
        <v>76456255.19232367</v>
      </c>
      <c r="E22" s="102">
        <v>9208.8300299182592</v>
      </c>
      <c r="F22" s="102">
        <v>23005.410278284133</v>
      </c>
      <c r="G22" s="102">
        <v>463.596</v>
      </c>
      <c r="H22" s="634" t="s">
        <v>86</v>
      </c>
      <c r="I22" s="436">
        <f t="shared" si="2"/>
        <v>3.257754260480497</v>
      </c>
      <c r="J22" s="73"/>
      <c r="L22" s="635"/>
    </row>
    <row r="23" spans="1:12" x14ac:dyDescent="0.2">
      <c r="A23" s="699" t="s">
        <v>1327</v>
      </c>
      <c r="B23" s="632" t="s">
        <v>1328</v>
      </c>
      <c r="C23" s="43">
        <f t="shared" si="0"/>
        <v>6.1329609595617986E-2</v>
      </c>
      <c r="D23" s="7">
        <f t="shared" si="1"/>
        <v>48406526.484365225</v>
      </c>
      <c r="E23" s="102">
        <v>6433.485139989888</v>
      </c>
      <c r="F23" s="102">
        <v>14505.691523882973</v>
      </c>
      <c r="G23" s="102">
        <v>1531.788</v>
      </c>
      <c r="H23" s="634" t="s">
        <v>86</v>
      </c>
      <c r="I23" s="436">
        <f t="shared" si="2"/>
        <v>3.0183375394043899</v>
      </c>
      <c r="J23" s="73"/>
      <c r="L23" s="635"/>
    </row>
    <row r="24" spans="1:12" ht="14.25" x14ac:dyDescent="0.2">
      <c r="A24" s="699" t="s">
        <v>1329</v>
      </c>
      <c r="B24" s="632" t="s">
        <v>1330</v>
      </c>
      <c r="C24" s="43">
        <f t="shared" si="0"/>
        <v>6.4275246379092668E-2</v>
      </c>
      <c r="D24" s="7">
        <f t="shared" si="1"/>
        <v>50731472.720168024</v>
      </c>
      <c r="E24" s="102">
        <v>8174.8295012181807</v>
      </c>
      <c r="F24" s="102">
        <v>14228.43818817216</v>
      </c>
      <c r="G24" s="102">
        <v>8739.4079999999994</v>
      </c>
      <c r="H24" s="634" t="s">
        <v>86</v>
      </c>
      <c r="I24" s="436">
        <f t="shared" si="2"/>
        <v>2.2088040952787908</v>
      </c>
      <c r="J24" s="102">
        <v>135.03200000000001</v>
      </c>
      <c r="K24" s="102">
        <v>2440.1759999999999</v>
      </c>
      <c r="L24" s="16"/>
    </row>
    <row r="25" spans="1:12" x14ac:dyDescent="0.2">
      <c r="A25" s="699" t="s">
        <v>1331</v>
      </c>
      <c r="B25" s="632" t="s">
        <v>180</v>
      </c>
      <c r="C25" s="43">
        <f t="shared" si="0"/>
        <v>2.8632013805243006E-3</v>
      </c>
      <c r="D25" s="7">
        <f t="shared" si="1"/>
        <v>2259881.2281747092</v>
      </c>
      <c r="E25" s="102">
        <v>276.72011914972762</v>
      </c>
      <c r="F25" s="102">
        <v>4158.4661104532015</v>
      </c>
      <c r="G25" s="102">
        <v>0.12</v>
      </c>
      <c r="H25" s="634" t="s">
        <v>86</v>
      </c>
      <c r="I25" s="436">
        <f t="shared" si="2"/>
        <v>0.54342537779707734</v>
      </c>
      <c r="J25" s="73"/>
      <c r="L25" s="16"/>
    </row>
    <row r="26" spans="1:12" x14ac:dyDescent="0.2">
      <c r="A26" s="699" t="s">
        <v>1332</v>
      </c>
      <c r="B26" s="632" t="s">
        <v>181</v>
      </c>
      <c r="C26" s="43">
        <f t="shared" si="0"/>
        <v>2.4331421002904926E-3</v>
      </c>
      <c r="D26" s="7">
        <f t="shared" si="1"/>
        <v>1920441.9903294339</v>
      </c>
      <c r="E26" s="102">
        <v>242.05527605734676</v>
      </c>
      <c r="F26" s="102">
        <v>1091.0646749029352</v>
      </c>
      <c r="G26" s="102">
        <v>0.93600000000000005</v>
      </c>
      <c r="H26" s="634" t="s">
        <v>86</v>
      </c>
      <c r="I26" s="436">
        <f t="shared" si="2"/>
        <v>1.75864542437223</v>
      </c>
      <c r="J26" s="73"/>
      <c r="L26" s="16"/>
    </row>
    <row r="27" spans="1:12" x14ac:dyDescent="0.2">
      <c r="A27" s="699" t="s">
        <v>1333</v>
      </c>
      <c r="B27" s="632" t="s">
        <v>182</v>
      </c>
      <c r="C27" s="43">
        <f t="shared" si="0"/>
        <v>1.6892390401834507E-2</v>
      </c>
      <c r="D27" s="7">
        <f t="shared" si="1"/>
        <v>13332906.385059785</v>
      </c>
      <c r="E27" s="102">
        <v>2250.1429617557028</v>
      </c>
      <c r="F27" s="102">
        <v>9211.4452347380466</v>
      </c>
      <c r="G27" s="102">
        <v>5.2919999999999998</v>
      </c>
      <c r="H27" s="634" t="s">
        <v>86</v>
      </c>
      <c r="I27" s="436">
        <f t="shared" si="2"/>
        <v>1.4465972117343027</v>
      </c>
      <c r="J27" s="73"/>
      <c r="L27" s="16"/>
    </row>
    <row r="28" spans="1:12" x14ac:dyDescent="0.2">
      <c r="A28" s="699" t="s">
        <v>1334</v>
      </c>
      <c r="B28" s="632" t="s">
        <v>1335</v>
      </c>
      <c r="C28" s="43">
        <f t="shared" si="0"/>
        <v>1.4083907713013581E-3</v>
      </c>
      <c r="D28" s="7">
        <f t="shared" si="1"/>
        <v>1111621.3786595813</v>
      </c>
      <c r="E28" s="102">
        <v>175.71001694110919</v>
      </c>
      <c r="F28" s="102">
        <v>417.48152054845798</v>
      </c>
      <c r="G28" s="102">
        <v>4.26</v>
      </c>
      <c r="H28" s="634" t="s">
        <v>86</v>
      </c>
      <c r="I28" s="436">
        <f t="shared" si="2"/>
        <v>2.6357883312365407</v>
      </c>
      <c r="J28" s="73"/>
      <c r="L28" s="16"/>
    </row>
    <row r="29" spans="1:12" x14ac:dyDescent="0.2">
      <c r="A29" s="699" t="s">
        <v>1336</v>
      </c>
      <c r="B29" s="632" t="s">
        <v>1337</v>
      </c>
      <c r="C29" s="43">
        <f t="shared" si="0"/>
        <v>3.9063481986885123E-3</v>
      </c>
      <c r="D29" s="636">
        <f t="shared" si="1"/>
        <v>3083221.1191913174</v>
      </c>
      <c r="E29" s="102">
        <v>728.47662640002318</v>
      </c>
      <c r="F29" s="102">
        <v>0</v>
      </c>
      <c r="G29" s="102">
        <v>0</v>
      </c>
      <c r="H29" s="633">
        <f>D29/(E29*1000000)</f>
        <v>4.2324228498969709E-3</v>
      </c>
      <c r="I29" s="634" t="s">
        <v>86</v>
      </c>
      <c r="L29" s="16"/>
    </row>
    <row r="30" spans="1:12" x14ac:dyDescent="0.2">
      <c r="A30" s="699" t="s">
        <v>1338</v>
      </c>
      <c r="B30" s="632" t="s">
        <v>1782</v>
      </c>
      <c r="C30" s="634" t="s">
        <v>86</v>
      </c>
      <c r="D30" s="634" t="s">
        <v>86</v>
      </c>
      <c r="E30" s="637" t="s">
        <v>86</v>
      </c>
      <c r="F30" s="637" t="s">
        <v>86</v>
      </c>
      <c r="G30" s="637" t="s">
        <v>86</v>
      </c>
      <c r="H30" s="634" t="s">
        <v>86</v>
      </c>
      <c r="I30" s="634" t="s">
        <v>86</v>
      </c>
      <c r="L30" s="627" t="s">
        <v>1350</v>
      </c>
    </row>
    <row r="31" spans="1:12" x14ac:dyDescent="0.2">
      <c r="A31" s="699" t="s">
        <v>1340</v>
      </c>
      <c r="B31" s="632" t="s">
        <v>1783</v>
      </c>
      <c r="C31" s="634" t="s">
        <v>86</v>
      </c>
      <c r="D31" s="634" t="s">
        <v>86</v>
      </c>
      <c r="E31" s="637" t="s">
        <v>86</v>
      </c>
      <c r="F31" s="637" t="s">
        <v>86</v>
      </c>
      <c r="G31" s="637" t="s">
        <v>86</v>
      </c>
      <c r="H31" s="634" t="s">
        <v>86</v>
      </c>
      <c r="I31" s="634" t="s">
        <v>86</v>
      </c>
      <c r="L31" s="627" t="s">
        <v>1350</v>
      </c>
    </row>
    <row r="32" spans="1:12" ht="14.25" x14ac:dyDescent="0.2">
      <c r="A32" s="699" t="s">
        <v>1341</v>
      </c>
      <c r="B32" s="632" t="s">
        <v>1784</v>
      </c>
      <c r="C32" s="634" t="s">
        <v>86</v>
      </c>
      <c r="D32" s="634" t="s">
        <v>86</v>
      </c>
      <c r="E32" s="637" t="s">
        <v>86</v>
      </c>
      <c r="F32" s="637" t="s">
        <v>86</v>
      </c>
      <c r="G32" s="637" t="s">
        <v>86</v>
      </c>
      <c r="H32" s="634" t="s">
        <v>86</v>
      </c>
      <c r="I32" s="634" t="s">
        <v>86</v>
      </c>
      <c r="J32" s="637" t="s">
        <v>86</v>
      </c>
      <c r="K32" s="637" t="s">
        <v>86</v>
      </c>
      <c r="L32" s="627" t="s">
        <v>1350</v>
      </c>
    </row>
    <row r="33" spans="1:12" x14ac:dyDescent="0.2">
      <c r="A33" s="699" t="s">
        <v>1342</v>
      </c>
      <c r="B33" s="632" t="s">
        <v>1343</v>
      </c>
      <c r="C33" s="634" t="s">
        <v>86</v>
      </c>
      <c r="D33" s="634" t="s">
        <v>86</v>
      </c>
      <c r="E33" s="637" t="s">
        <v>86</v>
      </c>
      <c r="F33" s="637" t="s">
        <v>86</v>
      </c>
      <c r="G33" s="637" t="s">
        <v>86</v>
      </c>
      <c r="H33" s="634" t="s">
        <v>86</v>
      </c>
      <c r="I33" s="634" t="s">
        <v>86</v>
      </c>
      <c r="L33" s="627" t="s">
        <v>1350</v>
      </c>
    </row>
    <row r="34" spans="1:12" x14ac:dyDescent="0.2">
      <c r="A34" s="699" t="s">
        <v>1344</v>
      </c>
      <c r="B34" s="632" t="s">
        <v>1345</v>
      </c>
      <c r="C34" s="634" t="s">
        <v>86</v>
      </c>
      <c r="D34" s="634" t="s">
        <v>86</v>
      </c>
      <c r="E34" s="637" t="s">
        <v>86</v>
      </c>
      <c r="F34" s="637" t="s">
        <v>86</v>
      </c>
      <c r="G34" s="637" t="s">
        <v>86</v>
      </c>
      <c r="H34" s="634" t="s">
        <v>86</v>
      </c>
      <c r="I34" s="634" t="s">
        <v>86</v>
      </c>
      <c r="L34" s="627" t="s">
        <v>1350</v>
      </c>
    </row>
    <row r="35" spans="1:12" x14ac:dyDescent="0.2">
      <c r="A35" s="699" t="s">
        <v>1346</v>
      </c>
      <c r="B35" s="779" t="s">
        <v>574</v>
      </c>
      <c r="C35" s="634" t="s">
        <v>86</v>
      </c>
      <c r="D35" s="634" t="s">
        <v>86</v>
      </c>
      <c r="E35" s="637" t="s">
        <v>86</v>
      </c>
      <c r="F35" s="637" t="s">
        <v>86</v>
      </c>
      <c r="G35" s="637" t="s">
        <v>86</v>
      </c>
      <c r="H35" s="634" t="s">
        <v>86</v>
      </c>
      <c r="I35" s="634" t="s">
        <v>86</v>
      </c>
      <c r="K35" s="16"/>
    </row>
    <row r="36" spans="1:12" x14ac:dyDescent="0.2">
      <c r="A36" s="699">
        <v>2</v>
      </c>
      <c r="B36" s="638" t="s">
        <v>225</v>
      </c>
      <c r="C36" s="433">
        <f>SUM(C17:C29)</f>
        <v>1</v>
      </c>
      <c r="D36" s="434">
        <f>SUM(D17:D29)</f>
        <v>789284764.7904135</v>
      </c>
      <c r="E36" s="435">
        <f>SUM(E17:E29)</f>
        <v>85576.760120315375</v>
      </c>
      <c r="F36" s="435">
        <f>SUM(F17:F29)</f>
        <v>144060.11496558765</v>
      </c>
      <c r="G36" s="435">
        <f>SUM(G17:G29)</f>
        <v>10872.119999999999</v>
      </c>
      <c r="H36" s="700"/>
    </row>
    <row r="37" spans="1:12" x14ac:dyDescent="0.2">
      <c r="A37" s="699">
        <f>A36+1</f>
        <v>3</v>
      </c>
    </row>
    <row r="38" spans="1:12" x14ac:dyDescent="0.2">
      <c r="A38" s="699">
        <f t="shared" ref="A38:A46" si="3">A37+1</f>
        <v>4</v>
      </c>
      <c r="I38" s="86"/>
    </row>
    <row r="39" spans="1:12" x14ac:dyDescent="0.2">
      <c r="A39" s="699">
        <f t="shared" si="3"/>
        <v>5</v>
      </c>
      <c r="B39" s="1" t="s">
        <v>1347</v>
      </c>
    </row>
    <row r="40" spans="1:12" x14ac:dyDescent="0.2">
      <c r="A40" s="699">
        <f t="shared" si="3"/>
        <v>6</v>
      </c>
      <c r="C40" s="86" t="s">
        <v>403</v>
      </c>
      <c r="D40" s="86" t="s">
        <v>387</v>
      </c>
      <c r="E40" s="86" t="s">
        <v>388</v>
      </c>
      <c r="F40" s="86" t="s">
        <v>389</v>
      </c>
      <c r="G40" s="86" t="s">
        <v>390</v>
      </c>
      <c r="H40" s="86" t="s">
        <v>391</v>
      </c>
      <c r="I40" s="86" t="s">
        <v>392</v>
      </c>
      <c r="J40" s="86" t="s">
        <v>606</v>
      </c>
    </row>
    <row r="41" spans="1:12" x14ac:dyDescent="0.2">
      <c r="A41" s="699">
        <f t="shared" si="3"/>
        <v>7</v>
      </c>
      <c r="C41" s="627" t="s">
        <v>1882</v>
      </c>
      <c r="D41" s="627" t="s">
        <v>1883</v>
      </c>
      <c r="E41" s="627" t="s">
        <v>1884</v>
      </c>
      <c r="F41" s="627" t="s">
        <v>1363</v>
      </c>
      <c r="G41" s="627" t="s">
        <v>1364</v>
      </c>
      <c r="H41" s="627" t="s">
        <v>1786</v>
      </c>
      <c r="I41" s="627" t="s">
        <v>1365</v>
      </c>
    </row>
    <row r="42" spans="1:12" x14ac:dyDescent="0.2">
      <c r="A42" s="699">
        <f t="shared" si="3"/>
        <v>8</v>
      </c>
      <c r="C42" s="627" t="s">
        <v>1362</v>
      </c>
      <c r="D42" s="627"/>
      <c r="E42" s="627"/>
      <c r="F42" s="86"/>
      <c r="G42" s="86"/>
      <c r="H42" s="627" t="s">
        <v>1787</v>
      </c>
      <c r="I42" s="86"/>
    </row>
    <row r="43" spans="1:12" x14ac:dyDescent="0.2">
      <c r="A43" s="699">
        <f t="shared" si="3"/>
        <v>9</v>
      </c>
      <c r="I43" s="699"/>
    </row>
    <row r="44" spans="1:12" x14ac:dyDescent="0.2">
      <c r="A44" s="699">
        <f t="shared" si="3"/>
        <v>10</v>
      </c>
      <c r="B44" s="1255" t="s">
        <v>1317</v>
      </c>
      <c r="C44" s="1244" t="s">
        <v>1351</v>
      </c>
      <c r="D44" s="1244" t="str">
        <f>F186</f>
        <v>Total 12-CP</v>
      </c>
      <c r="E44" s="1244" t="str">
        <f>G186</f>
        <v>Backup 12-CP</v>
      </c>
      <c r="F44" s="1244" t="s">
        <v>1788</v>
      </c>
      <c r="G44" s="1249" t="s">
        <v>1789</v>
      </c>
      <c r="H44" s="1244" t="s">
        <v>1779</v>
      </c>
      <c r="I44" s="1244" t="s">
        <v>1790</v>
      </c>
      <c r="J44" s="1258" t="s">
        <v>196</v>
      </c>
    </row>
    <row r="45" spans="1:12" x14ac:dyDescent="0.2">
      <c r="A45" s="699">
        <f t="shared" si="3"/>
        <v>11</v>
      </c>
      <c r="B45" s="1256"/>
      <c r="C45" s="1244"/>
      <c r="D45" s="1244"/>
      <c r="E45" s="1244"/>
      <c r="F45" s="1244"/>
      <c r="G45" s="1250"/>
      <c r="H45" s="1244"/>
      <c r="I45" s="1244"/>
      <c r="J45" s="1259"/>
    </row>
    <row r="46" spans="1:12" x14ac:dyDescent="0.2">
      <c r="A46" s="699">
        <f t="shared" si="3"/>
        <v>12</v>
      </c>
      <c r="B46" s="1257"/>
      <c r="C46" s="1244"/>
      <c r="D46" s="1244"/>
      <c r="E46" s="1244"/>
      <c r="F46" s="1244"/>
      <c r="G46" s="1251"/>
      <c r="H46" s="1244"/>
      <c r="I46" s="1244"/>
      <c r="J46" s="1260"/>
    </row>
    <row r="47" spans="1:12" x14ac:dyDescent="0.2">
      <c r="A47" s="699" t="s">
        <v>1352</v>
      </c>
      <c r="B47" s="632" t="s">
        <v>1326</v>
      </c>
      <c r="C47" s="7">
        <f>D22</f>
        <v>76456255.19232367</v>
      </c>
      <c r="D47" s="103">
        <f t="shared" ref="D47:E51" si="4">F188</f>
        <v>18203.350344666665</v>
      </c>
      <c r="E47" s="103">
        <f t="shared" si="4"/>
        <v>199.37864000000002</v>
      </c>
      <c r="F47" s="7">
        <f>C47-G47</f>
        <v>75618840.986086369</v>
      </c>
      <c r="G47" s="7">
        <f>C47*E47/D47</f>
        <v>837414.20623729541</v>
      </c>
      <c r="H47" s="103">
        <f>G22</f>
        <v>463.596</v>
      </c>
      <c r="I47" s="436">
        <f>G47/(H47*1000)</f>
        <v>1.8063447618989279</v>
      </c>
      <c r="J47" s="700"/>
    </row>
    <row r="48" spans="1:12" x14ac:dyDescent="0.2">
      <c r="A48" s="699" t="s">
        <v>1353</v>
      </c>
      <c r="B48" s="632" t="s">
        <v>1328</v>
      </c>
      <c r="C48" s="437">
        <f>D23</f>
        <v>48406526.484365225</v>
      </c>
      <c r="D48" s="438">
        <f t="shared" si="4"/>
        <v>11603.192064000001</v>
      </c>
      <c r="E48" s="438">
        <f t="shared" si="4"/>
        <v>501.14250666666669</v>
      </c>
      <c r="F48" s="7">
        <f>C48-G48</f>
        <v>46315845.929600842</v>
      </c>
      <c r="G48" s="7">
        <f>C48*E48/D48</f>
        <v>2090680.5547643802</v>
      </c>
      <c r="H48" s="438">
        <f>G23</f>
        <v>1531.788</v>
      </c>
      <c r="I48" s="439">
        <f>G48/(H48*1000)</f>
        <v>1.3648628627227659</v>
      </c>
      <c r="J48" s="700"/>
    </row>
    <row r="49" spans="1:12" ht="14.25" x14ac:dyDescent="0.2">
      <c r="A49" s="699" t="s">
        <v>1354</v>
      </c>
      <c r="B49" s="632" t="s">
        <v>1330</v>
      </c>
      <c r="C49" s="440">
        <f>D24</f>
        <v>50731472.720168024</v>
      </c>
      <c r="D49" s="639">
        <f t="shared" si="4"/>
        <v>11719.600620000003</v>
      </c>
      <c r="E49" s="639">
        <f t="shared" si="4"/>
        <v>1169.0952000000002</v>
      </c>
      <c r="F49" s="448">
        <f>C49-G49</f>
        <v>45670726.7810219</v>
      </c>
      <c r="G49" s="448">
        <f>C49*E49/D49</f>
        <v>5060745.939146122</v>
      </c>
      <c r="H49" s="441">
        <f>G24</f>
        <v>8739.4079999999994</v>
      </c>
      <c r="I49" s="640" t="s">
        <v>86</v>
      </c>
      <c r="J49" s="442"/>
    </row>
    <row r="50" spans="1:12" ht="15" x14ac:dyDescent="0.25">
      <c r="A50" s="699" t="s">
        <v>1355</v>
      </c>
      <c r="B50" s="632" t="s">
        <v>1356</v>
      </c>
      <c r="C50" s="437">
        <f>C49*D50/D49</f>
        <v>49010124.172874004</v>
      </c>
      <c r="D50" s="438">
        <f t="shared" si="4"/>
        <v>11321.947715000002</v>
      </c>
      <c r="E50" s="438">
        <f t="shared" si="4"/>
        <v>803.0432800000001</v>
      </c>
      <c r="F50" s="7">
        <f>C50-G50</f>
        <v>45533933.338955104</v>
      </c>
      <c r="G50" s="7">
        <f>C50*E50/D50</f>
        <v>3476190.8339188993</v>
      </c>
      <c r="H50" s="117">
        <f>H49-H51</f>
        <v>6299.232</v>
      </c>
      <c r="I50" s="443">
        <f>G50/(H50*1000)</f>
        <v>0.55184359520635207</v>
      </c>
      <c r="J50" s="700"/>
    </row>
    <row r="51" spans="1:12" ht="15" x14ac:dyDescent="0.25">
      <c r="A51" s="699" t="s">
        <v>1357</v>
      </c>
      <c r="B51" s="632" t="s">
        <v>1358</v>
      </c>
      <c r="C51" s="641">
        <f>C49-C50</f>
        <v>1721348.5472940207</v>
      </c>
      <c r="D51" s="438">
        <f t="shared" si="4"/>
        <v>397.65290500000003</v>
      </c>
      <c r="E51" s="438">
        <f t="shared" si="4"/>
        <v>366.05192000000005</v>
      </c>
      <c r="F51" s="7">
        <f>C51-G51</f>
        <v>136793.44206679473</v>
      </c>
      <c r="G51" s="7">
        <f>C51*E51/D51</f>
        <v>1584555.1052272259</v>
      </c>
      <c r="H51" s="117">
        <f>K24</f>
        <v>2440.1759999999999</v>
      </c>
      <c r="I51" s="443">
        <f>G51/(H51*1000)</f>
        <v>0.64936099085771926</v>
      </c>
      <c r="J51" s="627" t="s">
        <v>1880</v>
      </c>
    </row>
    <row r="52" spans="1:12" ht="14.25" x14ac:dyDescent="0.2">
      <c r="A52" s="699" t="s">
        <v>1359</v>
      </c>
      <c r="B52" s="632" t="s">
        <v>1792</v>
      </c>
      <c r="C52" s="634" t="s">
        <v>86</v>
      </c>
      <c r="D52" s="634" t="s">
        <v>86</v>
      </c>
      <c r="E52" s="634" t="s">
        <v>86</v>
      </c>
      <c r="F52" s="634" t="s">
        <v>86</v>
      </c>
      <c r="G52" s="634" t="s">
        <v>86</v>
      </c>
      <c r="H52" s="634" t="s">
        <v>86</v>
      </c>
      <c r="I52" s="634" t="s">
        <v>86</v>
      </c>
      <c r="J52" s="627" t="s">
        <v>1350</v>
      </c>
    </row>
    <row r="53" spans="1:12" ht="15" x14ac:dyDescent="0.25">
      <c r="A53" s="699" t="s">
        <v>1360</v>
      </c>
      <c r="B53" s="632" t="s">
        <v>1793</v>
      </c>
      <c r="C53" s="634" t="s">
        <v>86</v>
      </c>
      <c r="D53" s="634" t="s">
        <v>86</v>
      </c>
      <c r="E53" s="634" t="s">
        <v>86</v>
      </c>
      <c r="F53" s="634" t="s">
        <v>86</v>
      </c>
      <c r="G53" s="634" t="s">
        <v>86</v>
      </c>
      <c r="H53" s="634" t="s">
        <v>86</v>
      </c>
      <c r="I53" s="634" t="s">
        <v>86</v>
      </c>
      <c r="J53" s="627" t="s">
        <v>1350</v>
      </c>
    </row>
    <row r="54" spans="1:12" ht="15" x14ac:dyDescent="0.25">
      <c r="A54" s="699" t="s">
        <v>1361</v>
      </c>
      <c r="B54" s="632" t="s">
        <v>1794</v>
      </c>
      <c r="C54" s="634" t="s">
        <v>86</v>
      </c>
      <c r="D54" s="634" t="s">
        <v>86</v>
      </c>
      <c r="E54" s="634" t="s">
        <v>86</v>
      </c>
      <c r="F54" s="634" t="s">
        <v>86</v>
      </c>
      <c r="G54" s="634" t="s">
        <v>86</v>
      </c>
      <c r="H54" s="634" t="s">
        <v>86</v>
      </c>
      <c r="I54" s="634" t="s">
        <v>86</v>
      </c>
      <c r="J54" s="627" t="s">
        <v>1350</v>
      </c>
    </row>
    <row r="55" spans="1:12" x14ac:dyDescent="0.2">
      <c r="A55" s="699">
        <v>14</v>
      </c>
    </row>
    <row r="56" spans="1:12" x14ac:dyDescent="0.2">
      <c r="A56" s="699">
        <f>A55+1</f>
        <v>15</v>
      </c>
      <c r="B56" s="444" t="s">
        <v>2112</v>
      </c>
    </row>
    <row r="57" spans="1:12" x14ac:dyDescent="0.2">
      <c r="A57" s="699">
        <f t="shared" ref="A57:A65" si="5">A56+1</f>
        <v>16</v>
      </c>
    </row>
    <row r="58" spans="1:12" x14ac:dyDescent="0.2">
      <c r="A58" s="699">
        <f>A57+1</f>
        <v>17</v>
      </c>
      <c r="C58" s="86" t="s">
        <v>403</v>
      </c>
      <c r="D58" s="86" t="s">
        <v>387</v>
      </c>
      <c r="E58" s="86" t="s">
        <v>388</v>
      </c>
      <c r="F58" s="86" t="s">
        <v>389</v>
      </c>
      <c r="G58" s="86" t="s">
        <v>390</v>
      </c>
      <c r="H58" s="86" t="s">
        <v>391</v>
      </c>
      <c r="I58" s="86" t="s">
        <v>392</v>
      </c>
      <c r="J58" s="86" t="s">
        <v>606</v>
      </c>
      <c r="K58" s="86" t="s">
        <v>1055</v>
      </c>
      <c r="L58" s="86" t="s">
        <v>1072</v>
      </c>
    </row>
    <row r="59" spans="1:12" x14ac:dyDescent="0.2">
      <c r="A59" s="699"/>
      <c r="C59" s="642" t="s">
        <v>1785</v>
      </c>
      <c r="D59" s="86"/>
      <c r="E59" s="86"/>
      <c r="F59" s="86"/>
      <c r="G59" s="86"/>
      <c r="H59" s="86"/>
      <c r="I59" s="86"/>
      <c r="J59" s="86"/>
      <c r="K59" s="86"/>
      <c r="L59" s="86"/>
    </row>
    <row r="60" spans="1:12" x14ac:dyDescent="0.2">
      <c r="A60" s="699">
        <f>A58+1</f>
        <v>18</v>
      </c>
      <c r="C60" s="627" t="s">
        <v>1795</v>
      </c>
      <c r="D60" s="627" t="s">
        <v>1366</v>
      </c>
      <c r="E60" s="627" t="s">
        <v>1314</v>
      </c>
      <c r="G60" s="627" t="s">
        <v>1796</v>
      </c>
      <c r="H60" s="627" t="s">
        <v>1791</v>
      </c>
      <c r="I60" s="627" t="s">
        <v>1885</v>
      </c>
      <c r="J60" s="627" t="s">
        <v>1886</v>
      </c>
      <c r="K60" s="627" t="s">
        <v>1886</v>
      </c>
    </row>
    <row r="61" spans="1:12" x14ac:dyDescent="0.2">
      <c r="A61" s="699">
        <f t="shared" si="5"/>
        <v>19</v>
      </c>
      <c r="C61" s="627"/>
      <c r="G61" s="1252" t="s">
        <v>2117</v>
      </c>
      <c r="H61" s="1253"/>
      <c r="I61" s="1253"/>
      <c r="J61" s="1253"/>
      <c r="K61" s="1254"/>
    </row>
    <row r="62" spans="1:12" x14ac:dyDescent="0.2">
      <c r="A62" s="699">
        <f t="shared" si="5"/>
        <v>20</v>
      </c>
      <c r="B62" s="1248" t="s">
        <v>1317</v>
      </c>
      <c r="C62" s="1244" t="s">
        <v>1351</v>
      </c>
      <c r="D62" s="1244" t="s">
        <v>1797</v>
      </c>
      <c r="E62" s="1244" t="s">
        <v>1798</v>
      </c>
      <c r="G62" s="1244" t="s">
        <v>1367</v>
      </c>
      <c r="H62" s="1244" t="s">
        <v>1369</v>
      </c>
      <c r="I62" s="1244" t="s">
        <v>1368</v>
      </c>
      <c r="J62" s="1244" t="s">
        <v>1371</v>
      </c>
      <c r="K62" s="1244" t="s">
        <v>1370</v>
      </c>
      <c r="L62" s="1261" t="s">
        <v>196</v>
      </c>
    </row>
    <row r="63" spans="1:12" x14ac:dyDescent="0.2">
      <c r="A63" s="699">
        <f t="shared" si="5"/>
        <v>21</v>
      </c>
      <c r="B63" s="1248"/>
      <c r="C63" s="1244"/>
      <c r="D63" s="1244"/>
      <c r="E63" s="1244"/>
      <c r="G63" s="1244"/>
      <c r="H63" s="1244"/>
      <c r="I63" s="1244"/>
      <c r="J63" s="1244"/>
      <c r="K63" s="1244"/>
      <c r="L63" s="1262"/>
    </row>
    <row r="64" spans="1:12" x14ac:dyDescent="0.2">
      <c r="A64" s="699">
        <f t="shared" si="5"/>
        <v>22</v>
      </c>
      <c r="B64" s="1248"/>
      <c r="C64" s="1244"/>
      <c r="D64" s="1244"/>
      <c r="E64" s="1244"/>
      <c r="G64" s="1244"/>
      <c r="H64" s="1244"/>
      <c r="I64" s="1244"/>
      <c r="J64" s="1244"/>
      <c r="K64" s="1244"/>
      <c r="L64" s="1262"/>
    </row>
    <row r="65" spans="1:12" x14ac:dyDescent="0.2">
      <c r="A65" s="699">
        <f t="shared" si="5"/>
        <v>23</v>
      </c>
      <c r="B65" s="1248"/>
      <c r="C65" s="1244"/>
      <c r="D65" s="1244"/>
      <c r="E65" s="1244"/>
      <c r="G65" s="1244"/>
      <c r="H65" s="1244"/>
      <c r="I65" s="1244"/>
      <c r="J65" s="1244"/>
      <c r="K65" s="1244"/>
      <c r="L65" s="1263"/>
    </row>
    <row r="66" spans="1:12" x14ac:dyDescent="0.2">
      <c r="A66" s="699" t="s">
        <v>975</v>
      </c>
      <c r="B66" s="632" t="s">
        <v>175</v>
      </c>
      <c r="C66" s="7">
        <f t="shared" ref="C66:C73" si="6">D17</f>
        <v>310722575.65989983</v>
      </c>
      <c r="D66" s="7">
        <f>C66-E66</f>
        <v>310722575.65989983</v>
      </c>
      <c r="E66" s="445">
        <v>0</v>
      </c>
      <c r="G66" s="446">
        <f t="shared" ref="G66:G72" si="7">H17</f>
        <v>1.0650913593381777E-2</v>
      </c>
      <c r="H66" s="447" t="s">
        <v>86</v>
      </c>
      <c r="I66" s="447" t="s">
        <v>86</v>
      </c>
      <c r="J66" s="447" t="s">
        <v>86</v>
      </c>
      <c r="K66" s="447" t="s">
        <v>86</v>
      </c>
    </row>
    <row r="67" spans="1:12" x14ac:dyDescent="0.2">
      <c r="A67" s="699" t="s">
        <v>977</v>
      </c>
      <c r="B67" s="632" t="s">
        <v>176</v>
      </c>
      <c r="C67" s="7">
        <f t="shared" si="6"/>
        <v>53786240.453410923</v>
      </c>
      <c r="D67" s="7">
        <f>C67-E67</f>
        <v>53786240.453410923</v>
      </c>
      <c r="E67" s="445">
        <v>0</v>
      </c>
      <c r="G67" s="446">
        <f t="shared" si="7"/>
        <v>1.0691792563495109E-2</v>
      </c>
      <c r="H67" s="447" t="s">
        <v>86</v>
      </c>
      <c r="I67" s="447" t="s">
        <v>86</v>
      </c>
      <c r="J67" s="447" t="s">
        <v>86</v>
      </c>
      <c r="K67" s="447" t="s">
        <v>86</v>
      </c>
    </row>
    <row r="68" spans="1:12" x14ac:dyDescent="0.2">
      <c r="A68" s="699" t="s">
        <v>979</v>
      </c>
      <c r="B68" s="632" t="s">
        <v>177</v>
      </c>
      <c r="C68" s="7">
        <f t="shared" si="6"/>
        <v>418998.70981124882</v>
      </c>
      <c r="D68" s="7">
        <f>C68-E68</f>
        <v>418998.70981124882</v>
      </c>
      <c r="E68" s="445">
        <v>0</v>
      </c>
      <c r="G68" s="446">
        <f t="shared" si="7"/>
        <v>6.3745549577270211E-3</v>
      </c>
      <c r="H68" s="447" t="s">
        <v>86</v>
      </c>
      <c r="I68" s="447" t="s">
        <v>86</v>
      </c>
      <c r="J68" s="447" t="s">
        <v>86</v>
      </c>
      <c r="K68" s="447" t="s">
        <v>86</v>
      </c>
    </row>
    <row r="69" spans="1:12" x14ac:dyDescent="0.2">
      <c r="A69" s="699" t="s">
        <v>981</v>
      </c>
      <c r="B69" s="632" t="s">
        <v>178</v>
      </c>
      <c r="C69" s="7">
        <f t="shared" si="6"/>
        <v>149863758.91530058</v>
      </c>
      <c r="D69" s="7">
        <f>C69-E69</f>
        <v>149798166.92430651</v>
      </c>
      <c r="E69" s="445">
        <f>G20*I69*1000</f>
        <v>65591.990994073873</v>
      </c>
      <c r="G69" s="446" t="str">
        <f t="shared" si="7"/>
        <v>---</v>
      </c>
      <c r="H69" s="443">
        <f>D69/(F20*1000)</f>
        <v>2.8298073921525111</v>
      </c>
      <c r="I69" s="443">
        <f>MIN(I20,$I$47)</f>
        <v>1.8063447618989279</v>
      </c>
      <c r="J69" s="447" t="s">
        <v>86</v>
      </c>
      <c r="K69" s="447" t="s">
        <v>86</v>
      </c>
    </row>
    <row r="70" spans="1:12" x14ac:dyDescent="0.2">
      <c r="A70" s="699" t="s">
        <v>983</v>
      </c>
      <c r="B70" s="632" t="s">
        <v>179</v>
      </c>
      <c r="C70" s="7">
        <f t="shared" si="6"/>
        <v>77190864.553719118</v>
      </c>
      <c r="D70" s="7">
        <f>C70-E70</f>
        <v>77028900.456988215</v>
      </c>
      <c r="E70" s="445">
        <f>G21*I70*1000</f>
        <v>161964.09673090547</v>
      </c>
      <c r="G70" s="446" t="str">
        <f t="shared" si="7"/>
        <v>---</v>
      </c>
      <c r="H70" s="443">
        <f>D70/(F21*1000)</f>
        <v>3.1432284691279793</v>
      </c>
      <c r="I70" s="443">
        <f>MIN(I21,$I$47)</f>
        <v>1.8063447618989279</v>
      </c>
      <c r="J70" s="447" t="s">
        <v>86</v>
      </c>
      <c r="K70" s="447" t="s">
        <v>86</v>
      </c>
    </row>
    <row r="71" spans="1:12" x14ac:dyDescent="0.2">
      <c r="A71" s="699" t="s">
        <v>985</v>
      </c>
      <c r="B71" s="632" t="s">
        <v>1326</v>
      </c>
      <c r="C71" s="7">
        <f t="shared" si="6"/>
        <v>76456255.19232367</v>
      </c>
      <c r="D71" s="437">
        <f t="shared" ref="D71:E75" si="8">F47</f>
        <v>75618840.986086369</v>
      </c>
      <c r="E71" s="445">
        <f t="shared" si="8"/>
        <v>837414.20623729541</v>
      </c>
      <c r="G71" s="446" t="str">
        <f t="shared" si="7"/>
        <v>---</v>
      </c>
      <c r="H71" s="443">
        <f>D71/(F22*1000)</f>
        <v>3.2870024951246566</v>
      </c>
      <c r="I71" s="443">
        <f>I47</f>
        <v>1.8063447618989279</v>
      </c>
      <c r="J71" s="447" t="s">
        <v>86</v>
      </c>
      <c r="K71" s="447" t="s">
        <v>86</v>
      </c>
    </row>
    <row r="72" spans="1:12" x14ac:dyDescent="0.2">
      <c r="A72" s="699" t="s">
        <v>987</v>
      </c>
      <c r="B72" s="632" t="s">
        <v>1328</v>
      </c>
      <c r="C72" s="7">
        <f t="shared" si="6"/>
        <v>48406526.484365225</v>
      </c>
      <c r="D72" s="437">
        <f t="shared" si="8"/>
        <v>46315845.929600842</v>
      </c>
      <c r="E72" s="445">
        <f t="shared" si="8"/>
        <v>2090680.5547643802</v>
      </c>
      <c r="G72" s="446" t="str">
        <f t="shared" si="7"/>
        <v>---</v>
      </c>
      <c r="H72" s="443">
        <f>D72/(F23*1000)</f>
        <v>3.1929429805772354</v>
      </c>
      <c r="I72" s="443">
        <f>I48</f>
        <v>1.3648628627227659</v>
      </c>
      <c r="J72" s="447" t="s">
        <v>86</v>
      </c>
      <c r="K72" s="447" t="s">
        <v>86</v>
      </c>
    </row>
    <row r="73" spans="1:12" x14ac:dyDescent="0.2">
      <c r="A73" s="699" t="s">
        <v>988</v>
      </c>
      <c r="B73" s="632" t="s">
        <v>1372</v>
      </c>
      <c r="C73" s="448">
        <f t="shared" si="6"/>
        <v>50731472.720168024</v>
      </c>
      <c r="D73" s="448">
        <f t="shared" si="8"/>
        <v>45670726.7810219</v>
      </c>
      <c r="E73" s="449">
        <f t="shared" si="8"/>
        <v>5060745.939146122</v>
      </c>
      <c r="G73" s="446" t="s">
        <v>86</v>
      </c>
      <c r="H73" s="446" t="s">
        <v>86</v>
      </c>
      <c r="I73" s="446" t="s">
        <v>86</v>
      </c>
      <c r="J73" s="446" t="s">
        <v>86</v>
      </c>
      <c r="K73" s="446" t="s">
        <v>86</v>
      </c>
    </row>
    <row r="74" spans="1:12" ht="15" x14ac:dyDescent="0.25">
      <c r="A74" s="699" t="s">
        <v>1373</v>
      </c>
      <c r="B74" s="632" t="s">
        <v>1356</v>
      </c>
      <c r="C74" s="446" t="s">
        <v>86</v>
      </c>
      <c r="D74" s="7">
        <f t="shared" si="8"/>
        <v>45533933.338955104</v>
      </c>
      <c r="E74" s="445">
        <f t="shared" si="8"/>
        <v>3476190.8339188993</v>
      </c>
      <c r="G74" s="695" t="str">
        <f>H25</f>
        <v>---</v>
      </c>
      <c r="H74" s="696">
        <f>D74/((F24-J24)*1000)</f>
        <v>3.2308678775730799</v>
      </c>
      <c r="I74" s="696">
        <f>I50</f>
        <v>0.55184359520635207</v>
      </c>
      <c r="J74" s="697" t="s">
        <v>86</v>
      </c>
      <c r="K74" s="697" t="s">
        <v>86</v>
      </c>
    </row>
    <row r="75" spans="1:12" ht="15" x14ac:dyDescent="0.25">
      <c r="A75" s="699" t="s">
        <v>1374</v>
      </c>
      <c r="B75" s="632" t="s">
        <v>1358</v>
      </c>
      <c r="C75" s="450" t="s">
        <v>86</v>
      </c>
      <c r="D75" s="448">
        <f t="shared" si="8"/>
        <v>136793.44206679473</v>
      </c>
      <c r="E75" s="449">
        <f t="shared" si="8"/>
        <v>1584555.1052272259</v>
      </c>
      <c r="G75" s="450" t="str">
        <f>H26</f>
        <v>---</v>
      </c>
      <c r="H75" s="451">
        <f>D75/(J24*1000)</f>
        <v>1.013044626953572</v>
      </c>
      <c r="I75" s="451">
        <f>I51</f>
        <v>0.64936099085771926</v>
      </c>
      <c r="J75" s="452" t="s">
        <v>86</v>
      </c>
      <c r="K75" s="452" t="s">
        <v>86</v>
      </c>
      <c r="L75" s="627" t="s">
        <v>1880</v>
      </c>
    </row>
    <row r="76" spans="1:12" x14ac:dyDescent="0.2">
      <c r="A76" s="699" t="s">
        <v>990</v>
      </c>
      <c r="B76" s="632" t="s">
        <v>180</v>
      </c>
      <c r="C76" s="7">
        <f>D25</f>
        <v>2259881.2281747092</v>
      </c>
      <c r="D76" s="7">
        <f>C76-E76</f>
        <v>2259816.0171293737</v>
      </c>
      <c r="E76" s="445">
        <f>G25*I76*1000</f>
        <v>65.211045335649288</v>
      </c>
      <c r="G76" s="446" t="str">
        <f>H25</f>
        <v>---</v>
      </c>
      <c r="H76" s="443">
        <f>D76/(F25*1000)</f>
        <v>0.54342537779707734</v>
      </c>
      <c r="I76" s="443">
        <f>MIN(I25,$I$47)</f>
        <v>0.54342537779707734</v>
      </c>
      <c r="J76" s="443">
        <f>H76*0.75</f>
        <v>0.40756903334780803</v>
      </c>
      <c r="K76" s="443">
        <f>I76*0.75</f>
        <v>0.40756903334780803</v>
      </c>
      <c r="L76" s="628"/>
    </row>
    <row r="77" spans="1:12" x14ac:dyDescent="0.2">
      <c r="A77" s="699" t="s">
        <v>992</v>
      </c>
      <c r="B77" s="632" t="s">
        <v>181</v>
      </c>
      <c r="C77" s="7">
        <f>D26</f>
        <v>1920441.9903294339</v>
      </c>
      <c r="D77" s="7">
        <f>C77-E77</f>
        <v>1918795.8982122215</v>
      </c>
      <c r="E77" s="445">
        <f>G26*I77*1000</f>
        <v>1646.0921172124074</v>
      </c>
      <c r="G77" s="446" t="str">
        <f>H26</f>
        <v>---</v>
      </c>
      <c r="H77" s="443">
        <f>D77/(F26*1000)</f>
        <v>1.7586454243722296</v>
      </c>
      <c r="I77" s="443">
        <f>MIN(I26,$I$47)</f>
        <v>1.75864542437223</v>
      </c>
      <c r="J77" s="447" t="s">
        <v>86</v>
      </c>
      <c r="K77" s="447" t="s">
        <v>86</v>
      </c>
      <c r="L77" s="626"/>
    </row>
    <row r="78" spans="1:12" x14ac:dyDescent="0.2">
      <c r="A78" s="699" t="s">
        <v>994</v>
      </c>
      <c r="B78" s="632" t="s">
        <v>182</v>
      </c>
      <c r="C78" s="7">
        <f>D27</f>
        <v>13332906.385059785</v>
      </c>
      <c r="D78" s="7">
        <f>C78-E78</f>
        <v>13325250.992615286</v>
      </c>
      <c r="E78" s="445">
        <f>G27*I78*1000</f>
        <v>7655.3924444979293</v>
      </c>
      <c r="G78" s="446" t="str">
        <f>H27</f>
        <v>---</v>
      </c>
      <c r="H78" s="443">
        <f>D78/(F27*1000)</f>
        <v>1.4465972117343027</v>
      </c>
      <c r="I78" s="443">
        <f>MIN(I27,$I$47)</f>
        <v>1.4465972117343027</v>
      </c>
      <c r="J78" s="443">
        <f>H78*0.75</f>
        <v>1.084947908800727</v>
      </c>
      <c r="K78" s="443">
        <f>I78*0.75</f>
        <v>1.084947908800727</v>
      </c>
      <c r="L78" s="626"/>
    </row>
    <row r="79" spans="1:12" x14ac:dyDescent="0.2">
      <c r="A79" s="699" t="s">
        <v>996</v>
      </c>
      <c r="B79" s="632" t="s">
        <v>1335</v>
      </c>
      <c r="C79" s="7">
        <f>D28</f>
        <v>1111621.3786595813</v>
      </c>
      <c r="D79" s="7">
        <f>C79-E79</f>
        <v>1103926.3499738919</v>
      </c>
      <c r="E79" s="445">
        <f>G28*I79*1000</f>
        <v>7695.0286856894318</v>
      </c>
      <c r="G79" s="446" t="str">
        <f>H28</f>
        <v>---</v>
      </c>
      <c r="H79" s="443">
        <f>D79/(F28*1000)</f>
        <v>2.6442520103012721</v>
      </c>
      <c r="I79" s="443">
        <f>MIN(I28,$I$47)</f>
        <v>1.8063447618989279</v>
      </c>
      <c r="J79" s="447" t="s">
        <v>86</v>
      </c>
      <c r="K79" s="447" t="s">
        <v>86</v>
      </c>
      <c r="L79" s="626"/>
    </row>
    <row r="80" spans="1:12" x14ac:dyDescent="0.2">
      <c r="A80" s="699" t="s">
        <v>998</v>
      </c>
      <c r="B80" s="632" t="s">
        <v>1337</v>
      </c>
      <c r="C80" s="7">
        <f>D29</f>
        <v>3083221.1191913174</v>
      </c>
      <c r="D80" s="7">
        <f>C80-E80</f>
        <v>3083221.1191913174</v>
      </c>
      <c r="E80" s="445">
        <f>F29</f>
        <v>0</v>
      </c>
      <c r="G80" s="446">
        <f>H29</f>
        <v>4.2324228498969709E-3</v>
      </c>
      <c r="H80" s="447" t="s">
        <v>86</v>
      </c>
      <c r="I80" s="447" t="s">
        <v>86</v>
      </c>
      <c r="J80" s="447" t="s">
        <v>86</v>
      </c>
      <c r="K80" s="447" t="s">
        <v>86</v>
      </c>
      <c r="L80" s="626"/>
    </row>
    <row r="81" spans="1:12" x14ac:dyDescent="0.2">
      <c r="A81" s="699" t="s">
        <v>1000</v>
      </c>
      <c r="B81" s="632" t="s">
        <v>1782</v>
      </c>
      <c r="C81" s="446" t="s">
        <v>86</v>
      </c>
      <c r="D81" s="446" t="s">
        <v>86</v>
      </c>
      <c r="E81" s="446" t="s">
        <v>86</v>
      </c>
      <c r="G81" s="446" t="s">
        <v>86</v>
      </c>
      <c r="H81" s="446" t="s">
        <v>86</v>
      </c>
      <c r="I81" s="446" t="s">
        <v>86</v>
      </c>
      <c r="J81" s="446" t="s">
        <v>86</v>
      </c>
      <c r="K81" s="446" t="s">
        <v>86</v>
      </c>
      <c r="L81" s="627" t="s">
        <v>1350</v>
      </c>
    </row>
    <row r="82" spans="1:12" x14ac:dyDescent="0.2">
      <c r="A82" s="699" t="s">
        <v>1002</v>
      </c>
      <c r="B82" s="632" t="s">
        <v>1783</v>
      </c>
      <c r="C82" s="446" t="s">
        <v>86</v>
      </c>
      <c r="D82" s="446" t="s">
        <v>86</v>
      </c>
      <c r="E82" s="446" t="s">
        <v>86</v>
      </c>
      <c r="G82" s="446" t="s">
        <v>86</v>
      </c>
      <c r="H82" s="446" t="s">
        <v>86</v>
      </c>
      <c r="I82" s="446" t="s">
        <v>86</v>
      </c>
      <c r="J82" s="446" t="s">
        <v>86</v>
      </c>
      <c r="K82" s="446" t="s">
        <v>86</v>
      </c>
      <c r="L82" s="627" t="s">
        <v>1350</v>
      </c>
    </row>
    <row r="83" spans="1:12" x14ac:dyDescent="0.2">
      <c r="A83" s="699" t="s">
        <v>1375</v>
      </c>
      <c r="B83" s="632" t="s">
        <v>1799</v>
      </c>
      <c r="C83" s="446" t="s">
        <v>86</v>
      </c>
      <c r="D83" s="446" t="s">
        <v>86</v>
      </c>
      <c r="E83" s="446" t="s">
        <v>86</v>
      </c>
      <c r="G83" s="446" t="s">
        <v>86</v>
      </c>
      <c r="H83" s="446" t="s">
        <v>86</v>
      </c>
      <c r="I83" s="446" t="s">
        <v>86</v>
      </c>
      <c r="J83" s="446" t="s">
        <v>86</v>
      </c>
      <c r="K83" s="446" t="s">
        <v>86</v>
      </c>
      <c r="L83" s="627" t="s">
        <v>1350</v>
      </c>
    </row>
    <row r="84" spans="1:12" ht="15" x14ac:dyDescent="0.25">
      <c r="A84" s="699" t="s">
        <v>1376</v>
      </c>
      <c r="B84" s="632" t="s">
        <v>1793</v>
      </c>
      <c r="C84" s="446" t="s">
        <v>86</v>
      </c>
      <c r="D84" s="446" t="s">
        <v>86</v>
      </c>
      <c r="E84" s="446" t="s">
        <v>86</v>
      </c>
      <c r="G84" s="446" t="s">
        <v>86</v>
      </c>
      <c r="H84" s="446" t="s">
        <v>86</v>
      </c>
      <c r="I84" s="446" t="s">
        <v>86</v>
      </c>
      <c r="J84" s="446" t="s">
        <v>86</v>
      </c>
      <c r="K84" s="446" t="s">
        <v>86</v>
      </c>
      <c r="L84" s="627" t="s">
        <v>1350</v>
      </c>
    </row>
    <row r="85" spans="1:12" ht="15" x14ac:dyDescent="0.25">
      <c r="A85" s="699" t="s">
        <v>1377</v>
      </c>
      <c r="B85" s="632" t="s">
        <v>1800</v>
      </c>
      <c r="C85" s="446" t="s">
        <v>86</v>
      </c>
      <c r="D85" s="446" t="s">
        <v>86</v>
      </c>
      <c r="E85" s="446" t="s">
        <v>86</v>
      </c>
      <c r="G85" s="446" t="s">
        <v>86</v>
      </c>
      <c r="H85" s="446" t="s">
        <v>86</v>
      </c>
      <c r="I85" s="446" t="s">
        <v>86</v>
      </c>
      <c r="J85" s="446" t="s">
        <v>86</v>
      </c>
      <c r="K85" s="446" t="s">
        <v>86</v>
      </c>
      <c r="L85" s="627" t="s">
        <v>1350</v>
      </c>
    </row>
    <row r="86" spans="1:12" x14ac:dyDescent="0.2">
      <c r="A86" s="699" t="s">
        <v>1442</v>
      </c>
      <c r="B86" s="632" t="s">
        <v>1343</v>
      </c>
      <c r="C86" s="446" t="s">
        <v>86</v>
      </c>
      <c r="D86" s="446" t="s">
        <v>86</v>
      </c>
      <c r="E86" s="446" t="s">
        <v>86</v>
      </c>
      <c r="G86" s="446" t="s">
        <v>86</v>
      </c>
      <c r="H86" s="446" t="s">
        <v>86</v>
      </c>
      <c r="I86" s="446" t="s">
        <v>86</v>
      </c>
      <c r="J86" s="446" t="s">
        <v>86</v>
      </c>
      <c r="K86" s="446" t="s">
        <v>86</v>
      </c>
      <c r="L86" s="627" t="s">
        <v>1350</v>
      </c>
    </row>
    <row r="87" spans="1:12" x14ac:dyDescent="0.2">
      <c r="A87" s="699" t="s">
        <v>1378</v>
      </c>
      <c r="B87" s="632" t="s">
        <v>1345</v>
      </c>
      <c r="C87" s="446" t="s">
        <v>86</v>
      </c>
      <c r="D87" s="446" t="s">
        <v>86</v>
      </c>
      <c r="E87" s="446" t="s">
        <v>86</v>
      </c>
      <c r="G87" s="446" t="s">
        <v>86</v>
      </c>
      <c r="H87" s="446" t="s">
        <v>86</v>
      </c>
      <c r="I87" s="446" t="s">
        <v>86</v>
      </c>
      <c r="J87" s="446" t="s">
        <v>86</v>
      </c>
      <c r="K87" s="446" t="s">
        <v>86</v>
      </c>
      <c r="L87" s="627" t="s">
        <v>1350</v>
      </c>
    </row>
    <row r="88" spans="1:12" x14ac:dyDescent="0.2">
      <c r="A88" s="699" t="s">
        <v>1379</v>
      </c>
      <c r="B88" s="779" t="s">
        <v>574</v>
      </c>
      <c r="C88" s="446" t="s">
        <v>86</v>
      </c>
      <c r="D88" s="446" t="s">
        <v>86</v>
      </c>
      <c r="E88" s="446" t="s">
        <v>86</v>
      </c>
      <c r="G88" s="446" t="s">
        <v>86</v>
      </c>
      <c r="H88" s="446" t="s">
        <v>86</v>
      </c>
      <c r="I88" s="446" t="s">
        <v>86</v>
      </c>
      <c r="J88" s="446" t="s">
        <v>86</v>
      </c>
      <c r="K88" s="446" t="s">
        <v>86</v>
      </c>
      <c r="L88" s="626"/>
    </row>
    <row r="89" spans="1:12" x14ac:dyDescent="0.2">
      <c r="A89" s="699">
        <v>25</v>
      </c>
      <c r="B89" s="635" t="s">
        <v>225</v>
      </c>
      <c r="C89" s="434">
        <f>SUM(C66:C73,C76:C80)</f>
        <v>789284764.7904135</v>
      </c>
      <c r="D89" s="434">
        <f>SUM(D66:D73,D76:D80)</f>
        <v>781051306.27824807</v>
      </c>
      <c r="E89" s="434">
        <f>SUM(E66:E73,E76:E80)</f>
        <v>8233458.512165512</v>
      </c>
      <c r="I89" s="626"/>
      <c r="J89" s="626"/>
      <c r="K89" s="626"/>
      <c r="L89" s="626"/>
    </row>
    <row r="90" spans="1:12" x14ac:dyDescent="0.2">
      <c r="I90" s="626"/>
      <c r="J90" s="626"/>
      <c r="K90" s="626"/>
      <c r="L90" s="626"/>
    </row>
    <row r="91" spans="1:12" x14ac:dyDescent="0.2">
      <c r="A91" s="699">
        <v>26</v>
      </c>
      <c r="B91" s="53" t="s">
        <v>265</v>
      </c>
      <c r="I91" s="626"/>
      <c r="J91" s="626"/>
      <c r="K91" s="626"/>
      <c r="L91" s="626"/>
    </row>
    <row r="92" spans="1:12" x14ac:dyDescent="0.2">
      <c r="B92" s="628" t="s">
        <v>1380</v>
      </c>
      <c r="C92" s="14"/>
      <c r="D92" s="14"/>
      <c r="E92" s="14"/>
      <c r="F92" s="14"/>
      <c r="G92" s="14"/>
      <c r="H92" s="14"/>
      <c r="I92" s="628"/>
      <c r="J92" s="628"/>
      <c r="K92" s="628"/>
      <c r="L92" s="628"/>
    </row>
    <row r="93" spans="1:12" x14ac:dyDescent="0.2">
      <c r="B93" s="628" t="s">
        <v>2442</v>
      </c>
      <c r="C93" s="14"/>
      <c r="D93" s="14"/>
      <c r="E93" s="14"/>
      <c r="F93" s="14"/>
      <c r="G93" s="14"/>
      <c r="H93" s="14"/>
      <c r="I93" s="628"/>
      <c r="J93" s="628"/>
      <c r="K93" s="628"/>
      <c r="L93" s="628"/>
    </row>
    <row r="94" spans="1:12" x14ac:dyDescent="0.2">
      <c r="B94" s="625" t="s">
        <v>2443</v>
      </c>
      <c r="C94" s="14"/>
      <c r="D94" s="14"/>
      <c r="E94" s="14"/>
      <c r="F94" s="14"/>
      <c r="G94" s="14"/>
      <c r="H94" s="14"/>
      <c r="I94" s="628"/>
      <c r="J94" s="628"/>
      <c r="K94" s="628"/>
      <c r="L94" s="628"/>
    </row>
    <row r="95" spans="1:12" x14ac:dyDescent="0.2">
      <c r="B95" s="628" t="s">
        <v>2134</v>
      </c>
      <c r="C95" s="14"/>
      <c r="D95" s="14"/>
      <c r="E95" s="14"/>
      <c r="F95" s="14"/>
      <c r="G95" s="14"/>
      <c r="H95" s="14"/>
      <c r="I95" s="628"/>
      <c r="J95" s="628"/>
      <c r="K95" s="628"/>
      <c r="L95" s="628"/>
    </row>
    <row r="96" spans="1:12" x14ac:dyDescent="0.2">
      <c r="B96" s="628" t="s">
        <v>2135</v>
      </c>
      <c r="C96" s="14"/>
      <c r="D96" s="14"/>
      <c r="E96" s="14"/>
      <c r="F96" s="14"/>
      <c r="G96" s="14"/>
      <c r="H96" s="14"/>
      <c r="I96" s="628"/>
      <c r="J96" s="628"/>
      <c r="K96" s="628"/>
      <c r="L96" s="628"/>
    </row>
    <row r="97" spans="2:12" x14ac:dyDescent="0.2">
      <c r="B97" s="628" t="s">
        <v>1887</v>
      </c>
      <c r="C97" s="14"/>
      <c r="D97" s="14"/>
      <c r="E97" s="14"/>
      <c r="F97" s="14"/>
      <c r="G97" s="14"/>
      <c r="H97" s="14"/>
      <c r="I97" s="628"/>
      <c r="J97" s="628"/>
      <c r="K97" s="628"/>
      <c r="L97" s="628"/>
    </row>
    <row r="98" spans="2:12" x14ac:dyDescent="0.2">
      <c r="B98" s="628" t="s">
        <v>1888</v>
      </c>
      <c r="C98" s="14"/>
      <c r="D98" s="14"/>
      <c r="E98" s="14"/>
      <c r="F98" s="14"/>
      <c r="G98" s="14"/>
      <c r="H98" s="14"/>
      <c r="I98" s="635"/>
      <c r="J98" s="628"/>
      <c r="K98" s="628"/>
      <c r="L98" s="628"/>
    </row>
    <row r="99" spans="2:12" x14ac:dyDescent="0.2">
      <c r="B99" s="625" t="s">
        <v>1889</v>
      </c>
      <c r="C99" s="14"/>
      <c r="D99" s="14"/>
      <c r="E99" s="14"/>
      <c r="F99" s="14"/>
      <c r="G99" s="14"/>
      <c r="H99" s="14"/>
      <c r="I99" s="635"/>
      <c r="J99" s="628"/>
      <c r="K99" s="628"/>
      <c r="L99" s="628"/>
    </row>
    <row r="100" spans="2:12" x14ac:dyDescent="0.2">
      <c r="B100" s="625" t="s">
        <v>1381</v>
      </c>
      <c r="C100" s="14"/>
      <c r="D100" s="14"/>
      <c r="E100" s="14"/>
      <c r="F100" s="14"/>
      <c r="G100" s="14"/>
      <c r="H100" s="14"/>
      <c r="I100" s="635"/>
      <c r="J100" s="628"/>
      <c r="K100" s="628"/>
      <c r="L100" s="628"/>
    </row>
    <row r="101" spans="2:12" x14ac:dyDescent="0.2">
      <c r="B101" s="628" t="s">
        <v>1890</v>
      </c>
      <c r="C101" s="14"/>
      <c r="D101" s="14"/>
      <c r="E101" s="14"/>
      <c r="F101" s="14"/>
      <c r="G101" s="14"/>
      <c r="H101" s="14"/>
      <c r="I101" s="635"/>
      <c r="J101" s="628"/>
      <c r="K101" s="628"/>
      <c r="L101" s="628"/>
    </row>
    <row r="102" spans="2:12" x14ac:dyDescent="0.2">
      <c r="B102" s="628" t="s">
        <v>1458</v>
      </c>
    </row>
    <row r="103" spans="2:12" x14ac:dyDescent="0.2">
      <c r="B103" s="628" t="s">
        <v>1891</v>
      </c>
      <c r="C103" s="14"/>
      <c r="D103" s="14"/>
      <c r="E103" s="14"/>
      <c r="F103" s="14"/>
      <c r="G103" s="14"/>
      <c r="H103" s="14"/>
      <c r="I103" s="628"/>
      <c r="J103" s="628"/>
      <c r="K103" s="628"/>
      <c r="L103" s="628"/>
    </row>
    <row r="104" spans="2:12" x14ac:dyDescent="0.2">
      <c r="B104" s="628" t="s">
        <v>1801</v>
      </c>
      <c r="C104" s="14"/>
      <c r="D104" s="14"/>
      <c r="E104" s="14"/>
      <c r="F104" s="14"/>
      <c r="G104" s="14"/>
      <c r="H104" s="14"/>
      <c r="I104" s="628"/>
      <c r="J104" s="628"/>
      <c r="K104" s="628"/>
      <c r="L104" s="628"/>
    </row>
    <row r="105" spans="2:12" x14ac:dyDescent="0.2">
      <c r="B105" s="628" t="s">
        <v>1892</v>
      </c>
      <c r="C105" s="14"/>
      <c r="D105" s="14"/>
      <c r="E105" s="14"/>
      <c r="F105" s="14"/>
      <c r="G105" s="14"/>
      <c r="H105" s="14"/>
      <c r="I105" s="628"/>
      <c r="J105" s="628"/>
      <c r="K105" s="628"/>
      <c r="L105" s="628"/>
    </row>
    <row r="106" spans="2:12" x14ac:dyDescent="0.2">
      <c r="B106" s="628" t="s">
        <v>1893</v>
      </c>
      <c r="C106" s="14"/>
      <c r="D106" s="14"/>
      <c r="E106" s="14"/>
      <c r="F106" s="14"/>
      <c r="G106" s="14"/>
      <c r="H106" s="14"/>
      <c r="I106" s="628"/>
      <c r="J106" s="628"/>
      <c r="K106" s="628"/>
      <c r="L106" s="628"/>
    </row>
    <row r="107" spans="2:12" x14ac:dyDescent="0.2">
      <c r="B107" s="628" t="s">
        <v>1894</v>
      </c>
      <c r="C107" s="14"/>
      <c r="D107" s="14"/>
      <c r="E107" s="14"/>
      <c r="F107" s="14"/>
      <c r="G107" s="14"/>
      <c r="H107" s="14"/>
      <c r="I107" s="628"/>
      <c r="J107" s="628"/>
      <c r="K107" s="628"/>
      <c r="L107" s="628"/>
    </row>
    <row r="108" spans="2:12" x14ac:dyDescent="0.2">
      <c r="B108" s="628" t="s">
        <v>1895</v>
      </c>
      <c r="C108" s="14"/>
      <c r="D108" s="14"/>
      <c r="E108" s="14"/>
      <c r="F108" s="14"/>
      <c r="G108" s="14"/>
      <c r="H108" s="14"/>
      <c r="I108" s="628"/>
      <c r="J108" s="628"/>
      <c r="K108" s="628"/>
      <c r="L108" s="628"/>
    </row>
    <row r="109" spans="2:12" x14ac:dyDescent="0.2">
      <c r="B109" s="628" t="s">
        <v>1802</v>
      </c>
      <c r="C109" s="14"/>
      <c r="D109" s="14"/>
      <c r="E109" s="14"/>
      <c r="F109" s="14"/>
      <c r="G109" s="14"/>
      <c r="H109" s="14"/>
      <c r="I109" s="628"/>
      <c r="J109" s="628"/>
      <c r="K109" s="628"/>
      <c r="L109" s="628"/>
    </row>
    <row r="110" spans="2:12" x14ac:dyDescent="0.2">
      <c r="B110" s="628" t="s">
        <v>1896</v>
      </c>
      <c r="C110" s="14"/>
      <c r="D110" s="14"/>
      <c r="E110" s="14"/>
      <c r="F110" s="14"/>
      <c r="G110" s="14"/>
      <c r="H110" s="14"/>
      <c r="I110" s="628"/>
      <c r="J110" s="628"/>
      <c r="K110" s="628"/>
      <c r="L110" s="628"/>
    </row>
    <row r="111" spans="2:12" x14ac:dyDescent="0.2">
      <c r="B111" s="628" t="s">
        <v>1803</v>
      </c>
      <c r="C111" s="14"/>
      <c r="D111" s="14"/>
      <c r="E111" s="14"/>
      <c r="F111" s="14"/>
      <c r="G111" s="14"/>
      <c r="H111" s="14"/>
      <c r="I111" s="628"/>
      <c r="J111" s="628"/>
      <c r="K111" s="628"/>
      <c r="L111" s="628"/>
    </row>
    <row r="112" spans="2:12" x14ac:dyDescent="0.2">
      <c r="B112" s="628" t="s">
        <v>1897</v>
      </c>
      <c r="C112" s="14"/>
      <c r="D112" s="14"/>
      <c r="E112" s="14"/>
      <c r="F112" s="14"/>
      <c r="G112" s="14"/>
      <c r="H112" s="14"/>
      <c r="I112" s="628"/>
      <c r="J112" s="628"/>
      <c r="K112" s="628"/>
      <c r="L112" s="628"/>
    </row>
    <row r="113" spans="1:12" x14ac:dyDescent="0.2">
      <c r="B113" s="628" t="s">
        <v>2136</v>
      </c>
      <c r="C113" s="14"/>
      <c r="D113" s="14"/>
      <c r="E113" s="14"/>
      <c r="F113" s="14"/>
      <c r="G113" s="14"/>
      <c r="H113" s="14"/>
      <c r="I113" s="628"/>
      <c r="J113" s="628"/>
      <c r="K113" s="628"/>
      <c r="L113" s="628"/>
    </row>
    <row r="114" spans="1:12" x14ac:dyDescent="0.2">
      <c r="B114" s="628" t="s">
        <v>1898</v>
      </c>
      <c r="C114" s="14"/>
      <c r="D114" s="14"/>
      <c r="E114" s="14"/>
      <c r="F114" s="14"/>
      <c r="G114" s="14"/>
      <c r="H114" s="14"/>
      <c r="I114" s="628"/>
      <c r="J114" s="628"/>
      <c r="K114" s="628"/>
      <c r="L114" s="628"/>
    </row>
    <row r="115" spans="1:12" x14ac:dyDescent="0.2">
      <c r="B115" s="628" t="s">
        <v>1899</v>
      </c>
      <c r="C115" s="14"/>
      <c r="D115" s="14"/>
      <c r="E115" s="14"/>
      <c r="F115" s="14"/>
      <c r="G115" s="14"/>
      <c r="H115" s="14"/>
      <c r="I115" s="14"/>
      <c r="J115" s="14"/>
      <c r="K115" s="14"/>
      <c r="L115" s="14"/>
    </row>
    <row r="116" spans="1:12" x14ac:dyDescent="0.2">
      <c r="B116" s="628" t="s">
        <v>1804</v>
      </c>
      <c r="C116" s="14"/>
      <c r="D116" s="14"/>
      <c r="E116" s="14"/>
      <c r="F116" s="14"/>
      <c r="G116" s="14"/>
      <c r="H116" s="14"/>
      <c r="I116" s="14"/>
      <c r="J116" s="14"/>
      <c r="K116" s="14"/>
      <c r="L116" s="14"/>
    </row>
    <row r="117" spans="1:12" x14ac:dyDescent="0.2">
      <c r="B117" s="628" t="s">
        <v>1900</v>
      </c>
      <c r="C117" s="14"/>
      <c r="D117" s="14"/>
      <c r="E117" s="14"/>
      <c r="F117" s="14"/>
      <c r="G117" s="14"/>
      <c r="H117" s="14"/>
      <c r="I117" s="14"/>
      <c r="J117" s="14"/>
      <c r="K117" s="14"/>
      <c r="L117" s="14"/>
    </row>
    <row r="118" spans="1:12" x14ac:dyDescent="0.2">
      <c r="B118" s="698" t="s">
        <v>1901</v>
      </c>
      <c r="C118" s="14"/>
      <c r="D118" s="14"/>
      <c r="E118" s="14"/>
      <c r="F118" s="14"/>
      <c r="G118" s="14"/>
      <c r="H118" s="14"/>
      <c r="I118" s="14"/>
      <c r="J118" s="14"/>
      <c r="K118" s="14"/>
      <c r="L118" s="14"/>
    </row>
    <row r="119" spans="1:12" x14ac:dyDescent="0.2">
      <c r="B119" s="67"/>
    </row>
    <row r="120" spans="1:12" x14ac:dyDescent="0.2">
      <c r="B120" s="1" t="s">
        <v>1382</v>
      </c>
    </row>
    <row r="122" spans="1:12" x14ac:dyDescent="0.2">
      <c r="B122" s="129" t="s">
        <v>1317</v>
      </c>
      <c r="C122" s="53" t="s">
        <v>1383</v>
      </c>
    </row>
    <row r="123" spans="1:12" x14ac:dyDescent="0.2">
      <c r="A123" s="699" t="s">
        <v>1384</v>
      </c>
      <c r="B123" s="632" t="s">
        <v>175</v>
      </c>
      <c r="C123" s="643" t="s">
        <v>3194</v>
      </c>
      <c r="D123" s="644"/>
      <c r="E123" s="644"/>
      <c r="F123" s="644"/>
      <c r="G123" s="644"/>
      <c r="H123" s="644"/>
    </row>
    <row r="124" spans="1:12" x14ac:dyDescent="0.2">
      <c r="A124" s="699" t="s">
        <v>1385</v>
      </c>
      <c r="B124" s="645" t="s">
        <v>1386</v>
      </c>
      <c r="C124" s="643" t="s">
        <v>3195</v>
      </c>
      <c r="D124" s="644"/>
      <c r="E124" s="644"/>
      <c r="F124" s="644"/>
      <c r="G124" s="644"/>
      <c r="H124" s="644"/>
      <c r="J124" s="635"/>
    </row>
    <row r="125" spans="1:12" x14ac:dyDescent="0.2">
      <c r="A125" s="699" t="s">
        <v>1387</v>
      </c>
      <c r="B125" s="632" t="s">
        <v>176</v>
      </c>
      <c r="C125" s="643" t="s">
        <v>3196</v>
      </c>
      <c r="D125" s="644"/>
      <c r="E125" s="644"/>
      <c r="F125" s="644"/>
      <c r="G125" s="644"/>
      <c r="H125" s="644"/>
      <c r="J125" s="635"/>
    </row>
    <row r="126" spans="1:12" x14ac:dyDescent="0.2">
      <c r="A126" s="699" t="s">
        <v>1388</v>
      </c>
      <c r="B126" s="632" t="s">
        <v>177</v>
      </c>
      <c r="C126" s="643" t="s">
        <v>3197</v>
      </c>
      <c r="D126" s="644"/>
      <c r="E126" s="644"/>
      <c r="F126" s="644"/>
      <c r="G126" s="644"/>
      <c r="H126" s="644"/>
      <c r="J126" s="635"/>
    </row>
    <row r="127" spans="1:12" x14ac:dyDescent="0.2">
      <c r="A127" s="699" t="s">
        <v>1389</v>
      </c>
      <c r="B127" s="632" t="s">
        <v>178</v>
      </c>
      <c r="C127" s="643" t="s">
        <v>3198</v>
      </c>
      <c r="D127" s="644"/>
      <c r="E127" s="644"/>
      <c r="F127" s="644"/>
      <c r="G127" s="644"/>
      <c r="H127" s="644"/>
      <c r="J127" s="635"/>
    </row>
    <row r="128" spans="1:12" x14ac:dyDescent="0.2">
      <c r="A128" s="699" t="s">
        <v>1390</v>
      </c>
      <c r="B128" s="632" t="s">
        <v>179</v>
      </c>
      <c r="C128" s="643" t="s">
        <v>3199</v>
      </c>
      <c r="D128" s="644"/>
      <c r="E128" s="644"/>
      <c r="F128" s="644"/>
      <c r="G128" s="644"/>
      <c r="H128" s="644"/>
      <c r="J128" s="635"/>
    </row>
    <row r="129" spans="1:10" x14ac:dyDescent="0.2">
      <c r="A129" s="699" t="s">
        <v>1391</v>
      </c>
      <c r="B129" s="632" t="s">
        <v>1326</v>
      </c>
      <c r="C129" s="643" t="s">
        <v>3200</v>
      </c>
      <c r="D129" s="644"/>
      <c r="E129" s="644"/>
      <c r="F129" s="644"/>
      <c r="G129" s="644"/>
      <c r="H129" s="644"/>
      <c r="J129" s="635"/>
    </row>
    <row r="130" spans="1:10" x14ac:dyDescent="0.2">
      <c r="A130" s="699" t="s">
        <v>1392</v>
      </c>
      <c r="B130" s="632" t="s">
        <v>1328</v>
      </c>
      <c r="C130" s="643" t="s">
        <v>3200</v>
      </c>
      <c r="D130" s="644"/>
      <c r="E130" s="644"/>
      <c r="F130" s="644"/>
      <c r="G130" s="644"/>
      <c r="H130" s="644"/>
      <c r="J130" s="635"/>
    </row>
    <row r="131" spans="1:10" x14ac:dyDescent="0.2">
      <c r="A131" s="699" t="s">
        <v>1393</v>
      </c>
      <c r="B131" s="632" t="s">
        <v>1372</v>
      </c>
      <c r="C131" s="643" t="s">
        <v>3200</v>
      </c>
      <c r="D131" s="644"/>
      <c r="E131" s="644"/>
      <c r="F131" s="644"/>
      <c r="G131" s="644"/>
      <c r="H131" s="644"/>
      <c r="J131" s="635"/>
    </row>
    <row r="132" spans="1:10" ht="15" x14ac:dyDescent="0.25">
      <c r="A132" s="699" t="s">
        <v>1394</v>
      </c>
      <c r="B132" s="632" t="s">
        <v>1356</v>
      </c>
      <c r="C132" s="643" t="s">
        <v>3200</v>
      </c>
      <c r="D132" s="644"/>
      <c r="E132" s="644"/>
      <c r="F132" s="644"/>
      <c r="G132" s="644"/>
      <c r="H132" s="644"/>
      <c r="J132" s="635"/>
    </row>
    <row r="133" spans="1:10" ht="15" x14ac:dyDescent="0.25">
      <c r="A133" s="699" t="s">
        <v>1395</v>
      </c>
      <c r="B133" s="632" t="s">
        <v>1358</v>
      </c>
      <c r="C133" s="643" t="s">
        <v>3200</v>
      </c>
      <c r="D133" s="644"/>
      <c r="E133" s="644"/>
      <c r="F133" s="644"/>
      <c r="G133" s="644"/>
      <c r="H133" s="644"/>
      <c r="J133" s="635"/>
    </row>
    <row r="134" spans="1:10" x14ac:dyDescent="0.2">
      <c r="A134" s="699" t="s">
        <v>1396</v>
      </c>
      <c r="B134" s="632" t="s">
        <v>180</v>
      </c>
      <c r="C134" s="643" t="s">
        <v>3201</v>
      </c>
      <c r="D134" s="644"/>
      <c r="E134" s="644"/>
      <c r="F134" s="644"/>
      <c r="G134" s="644"/>
      <c r="H134" s="644"/>
      <c r="J134" s="635"/>
    </row>
    <row r="135" spans="1:10" x14ac:dyDescent="0.2">
      <c r="A135" s="699" t="s">
        <v>1397</v>
      </c>
      <c r="B135" s="632" t="s">
        <v>181</v>
      </c>
      <c r="C135" s="643" t="s">
        <v>3202</v>
      </c>
      <c r="D135" s="644"/>
      <c r="E135" s="644"/>
      <c r="F135" s="644"/>
      <c r="G135" s="644"/>
      <c r="H135" s="644"/>
      <c r="J135" s="635"/>
    </row>
    <row r="136" spans="1:10" x14ac:dyDescent="0.2">
      <c r="A136" s="699" t="s">
        <v>1398</v>
      </c>
      <c r="B136" s="632" t="s">
        <v>182</v>
      </c>
      <c r="C136" s="643" t="s">
        <v>3203</v>
      </c>
      <c r="D136" s="644"/>
      <c r="E136" s="644"/>
      <c r="F136" s="644"/>
      <c r="G136" s="644"/>
      <c r="H136" s="644"/>
      <c r="J136" s="635"/>
    </row>
    <row r="137" spans="1:10" x14ac:dyDescent="0.2">
      <c r="A137" s="699" t="s">
        <v>1399</v>
      </c>
      <c r="B137" s="632" t="s">
        <v>1335</v>
      </c>
      <c r="C137" s="643" t="s">
        <v>3204</v>
      </c>
      <c r="D137" s="644"/>
      <c r="E137" s="644"/>
      <c r="F137" s="644"/>
      <c r="G137" s="644"/>
      <c r="H137" s="644"/>
      <c r="J137" s="635"/>
    </row>
    <row r="138" spans="1:10" x14ac:dyDescent="0.2">
      <c r="A138" s="699" t="s">
        <v>1400</v>
      </c>
      <c r="B138" s="632" t="s">
        <v>1337</v>
      </c>
      <c r="C138" s="643" t="s">
        <v>3205</v>
      </c>
      <c r="D138" s="644"/>
      <c r="E138" s="644"/>
      <c r="F138" s="644"/>
      <c r="G138" s="644"/>
      <c r="H138" s="644"/>
      <c r="J138" s="635"/>
    </row>
    <row r="139" spans="1:10" x14ac:dyDescent="0.2">
      <c r="A139" s="699" t="s">
        <v>1401</v>
      </c>
      <c r="B139" s="632" t="s">
        <v>1782</v>
      </c>
      <c r="C139" s="44"/>
      <c r="D139" s="44"/>
      <c r="E139" s="44"/>
      <c r="F139" s="44"/>
      <c r="G139" s="44"/>
      <c r="H139" s="44"/>
      <c r="J139" s="635"/>
    </row>
    <row r="140" spans="1:10" x14ac:dyDescent="0.2">
      <c r="A140" s="699" t="s">
        <v>1402</v>
      </c>
      <c r="B140" s="632" t="s">
        <v>1783</v>
      </c>
      <c r="C140" s="44"/>
      <c r="D140" s="44"/>
      <c r="E140" s="44"/>
      <c r="F140" s="44"/>
      <c r="G140" s="44"/>
      <c r="H140" s="44"/>
      <c r="J140" s="635"/>
    </row>
    <row r="141" spans="1:10" x14ac:dyDescent="0.2">
      <c r="A141" s="699" t="s">
        <v>1403</v>
      </c>
      <c r="B141" s="632" t="s">
        <v>1799</v>
      </c>
      <c r="C141" s="44"/>
      <c r="D141" s="44"/>
      <c r="E141" s="44"/>
      <c r="F141" s="44"/>
      <c r="G141" s="44"/>
      <c r="H141" s="44"/>
      <c r="J141" s="635"/>
    </row>
    <row r="142" spans="1:10" ht="15" x14ac:dyDescent="0.25">
      <c r="A142" s="699" t="s">
        <v>1404</v>
      </c>
      <c r="B142" s="632" t="s">
        <v>1793</v>
      </c>
      <c r="C142" s="44"/>
      <c r="D142" s="44"/>
      <c r="E142" s="44"/>
      <c r="F142" s="44"/>
      <c r="G142" s="44"/>
      <c r="H142" s="44"/>
      <c r="J142" s="635"/>
    </row>
    <row r="143" spans="1:10" ht="15" x14ac:dyDescent="0.25">
      <c r="A143" s="699" t="s">
        <v>1405</v>
      </c>
      <c r="B143" s="632" t="s">
        <v>1800</v>
      </c>
      <c r="C143" s="44"/>
      <c r="D143" s="44"/>
      <c r="E143" s="44"/>
      <c r="F143" s="44"/>
      <c r="G143" s="44"/>
      <c r="H143" s="44"/>
      <c r="J143" s="635"/>
    </row>
    <row r="144" spans="1:10" x14ac:dyDescent="0.2">
      <c r="A144" s="699" t="s">
        <v>1406</v>
      </c>
      <c r="B144" s="632" t="s">
        <v>1343</v>
      </c>
      <c r="C144" s="44"/>
      <c r="D144" s="44"/>
      <c r="E144" s="44"/>
      <c r="F144" s="44"/>
      <c r="G144" s="44"/>
      <c r="H144" s="44"/>
      <c r="J144" s="635"/>
    </row>
    <row r="145" spans="1:12" x14ac:dyDescent="0.2">
      <c r="A145" s="699" t="s">
        <v>1407</v>
      </c>
      <c r="B145" s="632" t="s">
        <v>1345</v>
      </c>
      <c r="C145" s="44"/>
      <c r="D145" s="44"/>
      <c r="E145" s="44"/>
      <c r="F145" s="44"/>
      <c r="G145" s="44"/>
      <c r="H145" s="44"/>
      <c r="J145" s="635"/>
    </row>
    <row r="146" spans="1:12" x14ac:dyDescent="0.2">
      <c r="A146" s="699" t="s">
        <v>1408</v>
      </c>
      <c r="B146" s="779" t="s">
        <v>574</v>
      </c>
      <c r="C146" s="44"/>
      <c r="D146" s="44"/>
      <c r="E146" s="44"/>
      <c r="F146" s="44"/>
      <c r="G146" s="44"/>
      <c r="H146" s="44"/>
      <c r="J146" s="635"/>
    </row>
    <row r="147" spans="1:12" x14ac:dyDescent="0.2">
      <c r="A147" s="699" t="s">
        <v>1409</v>
      </c>
      <c r="B147" s="779" t="s">
        <v>574</v>
      </c>
      <c r="C147" s="44"/>
      <c r="D147" s="44"/>
      <c r="E147" s="44"/>
      <c r="F147" s="44"/>
      <c r="G147" s="44"/>
      <c r="H147" s="44"/>
      <c r="J147" s="635"/>
    </row>
    <row r="148" spans="1:12" x14ac:dyDescent="0.2">
      <c r="A148" s="699" t="s">
        <v>1410</v>
      </c>
      <c r="B148" s="779" t="s">
        <v>574</v>
      </c>
      <c r="C148" s="44"/>
      <c r="D148" s="44"/>
      <c r="E148" s="44"/>
      <c r="F148" s="44"/>
      <c r="G148" s="44"/>
      <c r="H148" s="44"/>
      <c r="J148" s="635"/>
    </row>
    <row r="150" spans="1:12" x14ac:dyDescent="0.2">
      <c r="B150" s="1" t="s">
        <v>1411</v>
      </c>
    </row>
    <row r="151" spans="1:12" x14ac:dyDescent="0.2">
      <c r="F151" s="646"/>
      <c r="G151" s="646"/>
      <c r="H151" s="628"/>
    </row>
    <row r="152" spans="1:12" x14ac:dyDescent="0.2">
      <c r="C152" s="86" t="s">
        <v>403</v>
      </c>
      <c r="D152" s="86" t="s">
        <v>387</v>
      </c>
      <c r="E152" s="86" t="s">
        <v>388</v>
      </c>
      <c r="F152" s="86" t="s">
        <v>389</v>
      </c>
      <c r="G152" s="376" t="s">
        <v>390</v>
      </c>
      <c r="H152" s="376" t="s">
        <v>391</v>
      </c>
      <c r="I152" s="376" t="s">
        <v>392</v>
      </c>
      <c r="J152" s="376" t="s">
        <v>606</v>
      </c>
      <c r="K152" s="376" t="s">
        <v>1055</v>
      </c>
      <c r="L152" s="376" t="s">
        <v>1072</v>
      </c>
    </row>
    <row r="153" spans="1:12" x14ac:dyDescent="0.2">
      <c r="C153" s="86"/>
      <c r="D153" s="86"/>
      <c r="E153" s="86"/>
      <c r="F153" s="1264" t="s">
        <v>1805</v>
      </c>
      <c r="G153" s="376"/>
      <c r="H153" s="1265"/>
      <c r="I153" s="1264" t="s">
        <v>1906</v>
      </c>
      <c r="J153" s="1264" t="s">
        <v>1907</v>
      </c>
      <c r="K153" s="1264" t="s">
        <v>1908</v>
      </c>
      <c r="L153" s="376"/>
    </row>
    <row r="154" spans="1:12" x14ac:dyDescent="0.2">
      <c r="A154" s="700"/>
      <c r="B154" s="700"/>
      <c r="C154" s="86"/>
      <c r="D154" s="86"/>
      <c r="E154" s="86"/>
      <c r="F154" s="1266"/>
      <c r="G154" s="700"/>
      <c r="H154" s="1265"/>
      <c r="I154" s="1264"/>
      <c r="J154" s="1264"/>
      <c r="K154" s="1264"/>
      <c r="L154" s="376"/>
    </row>
    <row r="155" spans="1:12" x14ac:dyDescent="0.2">
      <c r="C155" s="1269" t="s">
        <v>1806</v>
      </c>
      <c r="D155" s="1270"/>
      <c r="E155" s="1270"/>
      <c r="F155" s="1271"/>
      <c r="H155" s="1289" t="s">
        <v>3208</v>
      </c>
      <c r="I155" s="1255" t="s">
        <v>1909</v>
      </c>
      <c r="K155" s="86"/>
      <c r="L155" s="628"/>
    </row>
    <row r="156" spans="1:12" x14ac:dyDescent="0.2">
      <c r="B156" s="1272" t="s">
        <v>1317</v>
      </c>
      <c r="C156" s="1273">
        <v>2008</v>
      </c>
      <c r="D156" s="1273">
        <v>2009</v>
      </c>
      <c r="E156" s="1275">
        <v>2010</v>
      </c>
      <c r="F156" s="1256" t="s">
        <v>1412</v>
      </c>
      <c r="G156" s="1277" t="s">
        <v>1413</v>
      </c>
      <c r="H156" s="1290"/>
      <c r="I156" s="1256"/>
      <c r="J156" s="1243" t="s">
        <v>1807</v>
      </c>
      <c r="K156" s="1243" t="s">
        <v>1318</v>
      </c>
      <c r="L156" s="1243" t="s">
        <v>196</v>
      </c>
    </row>
    <row r="157" spans="1:12" x14ac:dyDescent="0.2">
      <c r="A157" s="55" t="s">
        <v>359</v>
      </c>
      <c r="B157" s="1272"/>
      <c r="C157" s="1274"/>
      <c r="D157" s="1274"/>
      <c r="E157" s="1276"/>
      <c r="F157" s="1257"/>
      <c r="G157" s="1277"/>
      <c r="H157" s="1273"/>
      <c r="I157" s="1257"/>
      <c r="J157" s="1243"/>
      <c r="K157" s="1243"/>
      <c r="L157" s="1243"/>
    </row>
    <row r="158" spans="1:12" x14ac:dyDescent="0.2">
      <c r="A158" s="699" t="s">
        <v>1007</v>
      </c>
      <c r="B158" s="632" t="s">
        <v>175</v>
      </c>
      <c r="C158" s="102">
        <v>70407.09</v>
      </c>
      <c r="D158" s="102">
        <v>68372.98</v>
      </c>
      <c r="E158" s="102">
        <v>63487.76</v>
      </c>
      <c r="F158" s="103">
        <f t="shared" ref="F158:F170" si="9">SUM(C158:E158)/3</f>
        <v>67422.61</v>
      </c>
      <c r="G158" s="647">
        <v>1.0974999999999999</v>
      </c>
      <c r="H158" s="102">
        <v>29449.221648999999</v>
      </c>
      <c r="I158" s="103">
        <f t="shared" ref="I158:I170" si="10">E17</f>
        <v>29173.326112886261</v>
      </c>
      <c r="J158" s="103">
        <f>F158*G158/H158*I158</f>
        <v>73303.078738726661</v>
      </c>
      <c r="K158" s="43">
        <f t="shared" ref="K158:K170" si="11">J158/$J$179</f>
        <v>0.39367613505425902</v>
      </c>
      <c r="L158" s="453"/>
    </row>
    <row r="159" spans="1:12" x14ac:dyDescent="0.2">
      <c r="A159" s="699" t="s">
        <v>1010</v>
      </c>
      <c r="B159" s="632" t="s">
        <v>176</v>
      </c>
      <c r="C159" s="102">
        <v>11486.249999999998</v>
      </c>
      <c r="D159" s="102">
        <v>10674.880000000001</v>
      </c>
      <c r="E159" s="102">
        <v>10675.43</v>
      </c>
      <c r="F159" s="103">
        <f t="shared" si="9"/>
        <v>10945.519999999999</v>
      </c>
      <c r="G159" s="647">
        <v>1.0976999999999999</v>
      </c>
      <c r="H159" s="102">
        <v>4763.4337743333326</v>
      </c>
      <c r="I159" s="103">
        <f t="shared" si="10"/>
        <v>5030.6101744858761</v>
      </c>
      <c r="J159" s="103">
        <f t="shared" ref="J159:J170" si="12">F159*G159/H159*I159</f>
        <v>12688.801290485984</v>
      </c>
      <c r="K159" s="43">
        <f t="shared" si="11"/>
        <v>6.814554499565606E-2</v>
      </c>
      <c r="L159" s="453"/>
    </row>
    <row r="160" spans="1:12" x14ac:dyDescent="0.2">
      <c r="A160" s="699" t="s">
        <v>1012</v>
      </c>
      <c r="B160" s="632" t="s">
        <v>177</v>
      </c>
      <c r="C160" s="102">
        <v>94.239999999999981</v>
      </c>
      <c r="D160" s="102">
        <v>92.98</v>
      </c>
      <c r="E160" s="102">
        <v>90.64</v>
      </c>
      <c r="F160" s="103">
        <f t="shared" si="9"/>
        <v>92.61999999999999</v>
      </c>
      <c r="G160" s="647">
        <v>1.0987</v>
      </c>
      <c r="H160" s="102">
        <v>67.668199999999999</v>
      </c>
      <c r="I160" s="103">
        <f t="shared" si="10"/>
        <v>65.729876452528288</v>
      </c>
      <c r="J160" s="103">
        <f t="shared" si="12"/>
        <v>98.846681324940562</v>
      </c>
      <c r="K160" s="43">
        <f t="shared" si="11"/>
        <v>5.3085873249119372E-4</v>
      </c>
      <c r="L160" s="453"/>
    </row>
    <row r="161" spans="1:12" x14ac:dyDescent="0.2">
      <c r="A161" s="699" t="s">
        <v>1014</v>
      </c>
      <c r="B161" s="632" t="s">
        <v>178</v>
      </c>
      <c r="C161" s="102">
        <v>34335.160000000003</v>
      </c>
      <c r="D161" s="102">
        <v>32332.239999999998</v>
      </c>
      <c r="E161" s="102">
        <v>33001.040000000001</v>
      </c>
      <c r="F161" s="103">
        <f t="shared" si="9"/>
        <v>33222.813333333332</v>
      </c>
      <c r="G161" s="647">
        <v>1.0973999999999999</v>
      </c>
      <c r="H161" s="102">
        <v>15756.945529666666</v>
      </c>
      <c r="I161" s="103">
        <f t="shared" si="10"/>
        <v>15279.765898922191</v>
      </c>
      <c r="J161" s="103">
        <f t="shared" si="12"/>
        <v>35354.608195170011</v>
      </c>
      <c r="K161" s="43">
        <f t="shared" si="11"/>
        <v>0.18987286414314028</v>
      </c>
      <c r="L161" s="453"/>
    </row>
    <row r="162" spans="1:12" x14ac:dyDescent="0.2">
      <c r="A162" s="699" t="s">
        <v>1414</v>
      </c>
      <c r="B162" s="632" t="s">
        <v>179</v>
      </c>
      <c r="C162" s="102">
        <v>17094.95</v>
      </c>
      <c r="D162" s="102">
        <v>15963.619999999999</v>
      </c>
      <c r="E162" s="102">
        <v>16556.07</v>
      </c>
      <c r="F162" s="103">
        <f t="shared" si="9"/>
        <v>16538.213333333333</v>
      </c>
      <c r="G162" s="647">
        <v>1.0969</v>
      </c>
      <c r="H162" s="102">
        <v>8504.5156163333322</v>
      </c>
      <c r="I162" s="103">
        <f t="shared" si="10"/>
        <v>8537.0783861382806</v>
      </c>
      <c r="J162" s="103">
        <f t="shared" si="12"/>
        <v>18210.225022352279</v>
      </c>
      <c r="K162" s="43">
        <f t="shared" si="11"/>
        <v>9.779849807973473E-2</v>
      </c>
      <c r="L162" s="453"/>
    </row>
    <row r="163" spans="1:12" x14ac:dyDescent="0.2">
      <c r="A163" s="699" t="s">
        <v>1415</v>
      </c>
      <c r="B163" s="632" t="s">
        <v>1326</v>
      </c>
      <c r="C163" s="102">
        <v>17453.47</v>
      </c>
      <c r="D163" s="102">
        <v>16216.98</v>
      </c>
      <c r="E163" s="102">
        <v>16070</v>
      </c>
      <c r="F163" s="103">
        <f t="shared" si="9"/>
        <v>16580.149999999998</v>
      </c>
      <c r="G163" s="647">
        <v>1.0979000000000001</v>
      </c>
      <c r="H163" s="102">
        <v>9293.7988306666666</v>
      </c>
      <c r="I163" s="103">
        <f t="shared" si="10"/>
        <v>9208.8300299182592</v>
      </c>
      <c r="J163" s="103">
        <f t="shared" si="12"/>
        <v>18036.92210818129</v>
      </c>
      <c r="K163" s="43">
        <f t="shared" si="11"/>
        <v>9.6867770167369013E-2</v>
      </c>
      <c r="L163" s="453"/>
    </row>
    <row r="164" spans="1:12" x14ac:dyDescent="0.2">
      <c r="A164" s="699" t="s">
        <v>1416</v>
      </c>
      <c r="B164" s="632" t="s">
        <v>1328</v>
      </c>
      <c r="C164" s="102">
        <v>11197.960000000001</v>
      </c>
      <c r="D164" s="102">
        <v>10768.69</v>
      </c>
      <c r="E164" s="102">
        <v>10601.91</v>
      </c>
      <c r="F164" s="103">
        <f t="shared" si="9"/>
        <v>10856.186666666666</v>
      </c>
      <c r="G164" s="647">
        <v>1.0688</v>
      </c>
      <c r="H164" s="102">
        <v>6536.8229499999998</v>
      </c>
      <c r="I164" s="103">
        <f t="shared" si="10"/>
        <v>6433.485139989888</v>
      </c>
      <c r="J164" s="103">
        <f t="shared" si="12"/>
        <v>11419.664035726553</v>
      </c>
      <c r="K164" s="43">
        <f t="shared" si="11"/>
        <v>6.1329609595617986E-2</v>
      </c>
      <c r="L164" s="453"/>
    </row>
    <row r="165" spans="1:12" ht="14.25" x14ac:dyDescent="0.2">
      <c r="A165" s="699" t="s">
        <v>1417</v>
      </c>
      <c r="B165" s="632" t="s">
        <v>1330</v>
      </c>
      <c r="C165" s="102">
        <v>11709.66</v>
      </c>
      <c r="D165" s="102">
        <v>11051.17</v>
      </c>
      <c r="E165" s="102">
        <v>11258.33</v>
      </c>
      <c r="F165" s="103">
        <f t="shared" si="9"/>
        <v>11339.720000000001</v>
      </c>
      <c r="G165" s="647">
        <v>1.0335000000000001</v>
      </c>
      <c r="H165" s="102">
        <v>8005.0608666666667</v>
      </c>
      <c r="I165" s="103">
        <f t="shared" si="10"/>
        <v>8174.8295012181807</v>
      </c>
      <c r="J165" s="103">
        <f t="shared" si="12"/>
        <v>11968.145962488445</v>
      </c>
      <c r="K165" s="43">
        <f t="shared" si="11"/>
        <v>6.4275246379092668E-2</v>
      </c>
      <c r="L165" s="453"/>
    </row>
    <row r="166" spans="1:12" x14ac:dyDescent="0.2">
      <c r="A166" s="699" t="s">
        <v>1418</v>
      </c>
      <c r="B166" s="632" t="s">
        <v>180</v>
      </c>
      <c r="C166" s="102">
        <v>779.17000000000007</v>
      </c>
      <c r="D166" s="102">
        <v>662.66000000000008</v>
      </c>
      <c r="E166" s="102">
        <v>535.61</v>
      </c>
      <c r="F166" s="103">
        <f t="shared" si="9"/>
        <v>659.14666666666665</v>
      </c>
      <c r="G166" s="647">
        <v>1.0980000000000001</v>
      </c>
      <c r="H166" s="102">
        <v>375.65581366666669</v>
      </c>
      <c r="I166" s="103">
        <f t="shared" si="10"/>
        <v>276.72011914972762</v>
      </c>
      <c r="J166" s="103">
        <f t="shared" si="12"/>
        <v>533.13233278028508</v>
      </c>
      <c r="K166" s="43">
        <f t="shared" si="11"/>
        <v>2.8632013805243006E-3</v>
      </c>
      <c r="L166" s="453"/>
    </row>
    <row r="167" spans="1:12" x14ac:dyDescent="0.2">
      <c r="A167" s="699" t="s">
        <v>1419</v>
      </c>
      <c r="B167" s="632" t="s">
        <v>181</v>
      </c>
      <c r="C167" s="102">
        <v>569.32999999999993</v>
      </c>
      <c r="D167" s="102">
        <v>534.06000000000006</v>
      </c>
      <c r="E167" s="102">
        <v>412.15</v>
      </c>
      <c r="F167" s="103">
        <f t="shared" si="9"/>
        <v>505.18</v>
      </c>
      <c r="G167" s="647">
        <v>1.0980000000000001</v>
      </c>
      <c r="H167" s="102">
        <v>296.35512466666671</v>
      </c>
      <c r="I167" s="103">
        <f t="shared" si="10"/>
        <v>242.05527605734676</v>
      </c>
      <c r="J167" s="103">
        <f t="shared" si="12"/>
        <v>453.0546585850891</v>
      </c>
      <c r="K167" s="43">
        <f t="shared" si="11"/>
        <v>2.4331421002904926E-3</v>
      </c>
      <c r="L167" s="453"/>
    </row>
    <row r="168" spans="1:12" x14ac:dyDescent="0.2">
      <c r="A168" s="699" t="s">
        <v>1420</v>
      </c>
      <c r="B168" s="632" t="s">
        <v>182</v>
      </c>
      <c r="C168" s="102">
        <v>2034.83</v>
      </c>
      <c r="D168" s="102">
        <v>2173.11</v>
      </c>
      <c r="E168" s="102">
        <v>2669.99</v>
      </c>
      <c r="F168" s="103">
        <f t="shared" si="9"/>
        <v>2292.6433333333334</v>
      </c>
      <c r="G168" s="647">
        <v>1.0967</v>
      </c>
      <c r="H168" s="102">
        <v>1798.7061306666667</v>
      </c>
      <c r="I168" s="103">
        <f t="shared" si="10"/>
        <v>2250.1429617557028</v>
      </c>
      <c r="J168" s="103">
        <f t="shared" si="12"/>
        <v>3145.388082872536</v>
      </c>
      <c r="K168" s="43">
        <f t="shared" si="11"/>
        <v>1.6892390401834507E-2</v>
      </c>
      <c r="L168" s="453"/>
    </row>
    <row r="169" spans="1:12" x14ac:dyDescent="0.2">
      <c r="A169" s="699" t="s">
        <v>1421</v>
      </c>
      <c r="B169" s="632" t="s">
        <v>1335</v>
      </c>
      <c r="C169" s="102">
        <v>1231.1099999999999</v>
      </c>
      <c r="D169" s="102">
        <v>1080.3699999999999</v>
      </c>
      <c r="E169" s="102">
        <v>490.33</v>
      </c>
      <c r="F169" s="103">
        <f t="shared" si="9"/>
        <v>933.9366666666665</v>
      </c>
      <c r="G169" s="647">
        <v>1.0974999999999999</v>
      </c>
      <c r="H169" s="102">
        <v>686.77136366666662</v>
      </c>
      <c r="I169" s="103">
        <f t="shared" si="10"/>
        <v>175.71001694110919</v>
      </c>
      <c r="J169" s="103">
        <f t="shared" si="12"/>
        <v>262.24444514364654</v>
      </c>
      <c r="K169" s="43">
        <f t="shared" si="11"/>
        <v>1.4083907713013581E-3</v>
      </c>
      <c r="L169" s="453"/>
    </row>
    <row r="170" spans="1:12" x14ac:dyDescent="0.2">
      <c r="A170" s="699" t="s">
        <v>1422</v>
      </c>
      <c r="B170" s="632" t="s">
        <v>1337</v>
      </c>
      <c r="C170" s="102">
        <v>682</v>
      </c>
      <c r="D170" s="102">
        <v>790.25</v>
      </c>
      <c r="E170" s="102">
        <v>471.52</v>
      </c>
      <c r="F170" s="648">
        <f t="shared" si="9"/>
        <v>647.92333333333329</v>
      </c>
      <c r="G170" s="647">
        <v>1.1013999999999999</v>
      </c>
      <c r="H170" s="102">
        <v>714.71061899999995</v>
      </c>
      <c r="I170" s="103">
        <f t="shared" si="10"/>
        <v>728.47662640002318</v>
      </c>
      <c r="J170" s="103">
        <f t="shared" si="12"/>
        <v>727.36781351981324</v>
      </c>
      <c r="K170" s="43">
        <f t="shared" si="11"/>
        <v>3.9063481986885123E-3</v>
      </c>
      <c r="L170" s="454"/>
    </row>
    <row r="171" spans="1:12" x14ac:dyDescent="0.2">
      <c r="A171" s="699" t="s">
        <v>1423</v>
      </c>
      <c r="B171" s="632" t="s">
        <v>1782</v>
      </c>
      <c r="C171" s="649" t="s">
        <v>86</v>
      </c>
      <c r="D171" s="649" t="s">
        <v>86</v>
      </c>
      <c r="E171" s="649" t="s">
        <v>86</v>
      </c>
      <c r="F171" s="446" t="s">
        <v>86</v>
      </c>
      <c r="G171" s="649" t="s">
        <v>86</v>
      </c>
      <c r="H171" s="701" t="s">
        <v>86</v>
      </c>
      <c r="I171" s="446" t="s">
        <v>86</v>
      </c>
      <c r="J171" s="446" t="s">
        <v>86</v>
      </c>
      <c r="K171" s="446" t="s">
        <v>86</v>
      </c>
      <c r="L171" s="627" t="s">
        <v>1350</v>
      </c>
    </row>
    <row r="172" spans="1:12" x14ac:dyDescent="0.2">
      <c r="A172" s="699" t="s">
        <v>1424</v>
      </c>
      <c r="B172" s="632" t="s">
        <v>1783</v>
      </c>
      <c r="C172" s="649" t="s">
        <v>86</v>
      </c>
      <c r="D172" s="649" t="s">
        <v>86</v>
      </c>
      <c r="E172" s="649" t="s">
        <v>86</v>
      </c>
      <c r="F172" s="446" t="s">
        <v>86</v>
      </c>
      <c r="G172" s="649" t="s">
        <v>86</v>
      </c>
      <c r="H172" s="701" t="s">
        <v>86</v>
      </c>
      <c r="I172" s="446" t="s">
        <v>86</v>
      </c>
      <c r="J172" s="446" t="s">
        <v>86</v>
      </c>
      <c r="K172" s="446" t="s">
        <v>86</v>
      </c>
      <c r="L172" s="627" t="s">
        <v>1350</v>
      </c>
    </row>
    <row r="173" spans="1:12" ht="14.25" x14ac:dyDescent="0.2">
      <c r="A173" s="699" t="s">
        <v>1425</v>
      </c>
      <c r="B173" s="632" t="s">
        <v>1784</v>
      </c>
      <c r="C173" s="649" t="s">
        <v>86</v>
      </c>
      <c r="D173" s="649" t="s">
        <v>86</v>
      </c>
      <c r="E173" s="649" t="s">
        <v>86</v>
      </c>
      <c r="F173" s="446" t="s">
        <v>86</v>
      </c>
      <c r="G173" s="649" t="s">
        <v>86</v>
      </c>
      <c r="H173" s="701" t="s">
        <v>86</v>
      </c>
      <c r="I173" s="446" t="s">
        <v>86</v>
      </c>
      <c r="J173" s="446" t="s">
        <v>86</v>
      </c>
      <c r="K173" s="446" t="s">
        <v>86</v>
      </c>
      <c r="L173" s="627" t="s">
        <v>1350</v>
      </c>
    </row>
    <row r="174" spans="1:12" x14ac:dyDescent="0.2">
      <c r="A174" s="699" t="s">
        <v>1426</v>
      </c>
      <c r="B174" s="632" t="s">
        <v>1343</v>
      </c>
      <c r="C174" s="649" t="s">
        <v>86</v>
      </c>
      <c r="D174" s="649" t="s">
        <v>86</v>
      </c>
      <c r="E174" s="649" t="s">
        <v>86</v>
      </c>
      <c r="F174" s="446" t="s">
        <v>86</v>
      </c>
      <c r="G174" s="649" t="s">
        <v>86</v>
      </c>
      <c r="H174" s="701" t="s">
        <v>86</v>
      </c>
      <c r="I174" s="446" t="s">
        <v>86</v>
      </c>
      <c r="J174" s="446" t="s">
        <v>86</v>
      </c>
      <c r="K174" s="446" t="s">
        <v>86</v>
      </c>
      <c r="L174" s="627" t="s">
        <v>1350</v>
      </c>
    </row>
    <row r="175" spans="1:12" x14ac:dyDescent="0.2">
      <c r="A175" s="699" t="s">
        <v>1427</v>
      </c>
      <c r="B175" s="632" t="s">
        <v>1345</v>
      </c>
      <c r="C175" s="649" t="s">
        <v>86</v>
      </c>
      <c r="D175" s="649" t="s">
        <v>86</v>
      </c>
      <c r="E175" s="649" t="s">
        <v>86</v>
      </c>
      <c r="F175" s="446" t="s">
        <v>86</v>
      </c>
      <c r="G175" s="649" t="s">
        <v>86</v>
      </c>
      <c r="H175" s="701" t="s">
        <v>86</v>
      </c>
      <c r="I175" s="446" t="s">
        <v>86</v>
      </c>
      <c r="J175" s="446" t="s">
        <v>86</v>
      </c>
      <c r="K175" s="446" t="s">
        <v>86</v>
      </c>
      <c r="L175" s="627" t="s">
        <v>1350</v>
      </c>
    </row>
    <row r="176" spans="1:12" x14ac:dyDescent="0.2">
      <c r="A176" s="699" t="s">
        <v>1428</v>
      </c>
      <c r="B176" s="779" t="s">
        <v>574</v>
      </c>
      <c r="C176" s="649" t="s">
        <v>86</v>
      </c>
      <c r="D176" s="649" t="s">
        <v>86</v>
      </c>
      <c r="E176" s="649" t="s">
        <v>86</v>
      </c>
      <c r="F176" s="446" t="s">
        <v>86</v>
      </c>
      <c r="G176" s="649" t="s">
        <v>86</v>
      </c>
      <c r="H176" s="701" t="s">
        <v>86</v>
      </c>
      <c r="I176" s="446" t="s">
        <v>86</v>
      </c>
      <c r="J176" s="446" t="s">
        <v>86</v>
      </c>
      <c r="K176" s="446" t="s">
        <v>86</v>
      </c>
      <c r="L176" s="454"/>
    </row>
    <row r="177" spans="1:12" x14ac:dyDescent="0.2">
      <c r="A177" s="699" t="s">
        <v>1429</v>
      </c>
      <c r="B177" s="779" t="s">
        <v>574</v>
      </c>
      <c r="C177" s="649" t="s">
        <v>86</v>
      </c>
      <c r="D177" s="649" t="s">
        <v>86</v>
      </c>
      <c r="E177" s="649" t="s">
        <v>86</v>
      </c>
      <c r="F177" s="446" t="s">
        <v>86</v>
      </c>
      <c r="G177" s="649" t="s">
        <v>86</v>
      </c>
      <c r="H177" s="701" t="s">
        <v>86</v>
      </c>
      <c r="I177" s="446" t="s">
        <v>86</v>
      </c>
      <c r="J177" s="446" t="s">
        <v>86</v>
      </c>
      <c r="K177" s="446" t="s">
        <v>86</v>
      </c>
      <c r="L177" s="635"/>
    </row>
    <row r="178" spans="1:12" x14ac:dyDescent="0.2">
      <c r="A178" s="699" t="s">
        <v>1430</v>
      </c>
      <c r="B178" s="779" t="s">
        <v>574</v>
      </c>
      <c r="C178" s="649" t="s">
        <v>86</v>
      </c>
      <c r="D178" s="649" t="s">
        <v>86</v>
      </c>
      <c r="E178" s="649" t="s">
        <v>86</v>
      </c>
      <c r="F178" s="446" t="s">
        <v>86</v>
      </c>
      <c r="G178" s="649" t="s">
        <v>86</v>
      </c>
      <c r="H178" s="701" t="s">
        <v>86</v>
      </c>
      <c r="I178" s="446" t="s">
        <v>86</v>
      </c>
      <c r="J178" s="446" t="s">
        <v>86</v>
      </c>
      <c r="K178" s="446" t="s">
        <v>86</v>
      </c>
      <c r="L178" s="635"/>
    </row>
    <row r="179" spans="1:12" x14ac:dyDescent="0.2">
      <c r="A179" s="699">
        <v>29</v>
      </c>
      <c r="B179" s="638" t="s">
        <v>225</v>
      </c>
      <c r="C179" s="435">
        <f>SUM(C158:C170)</f>
        <v>179075.21999999997</v>
      </c>
      <c r="D179" s="435">
        <f>SUM(D158:D170)</f>
        <v>170713.99</v>
      </c>
      <c r="E179" s="435">
        <f>SUM(E158:E170)</f>
        <v>166320.77999999994</v>
      </c>
      <c r="F179" s="435">
        <f>SUM(F158:F170)</f>
        <v>172036.66333333336</v>
      </c>
      <c r="G179" s="433"/>
      <c r="H179" s="435">
        <f>SUM(H158:H170)</f>
        <v>86249.666468333322</v>
      </c>
      <c r="I179" s="435">
        <f>SUM(I158:I170)</f>
        <v>85576.760120315375</v>
      </c>
      <c r="J179" s="435">
        <f>SUM(J158:J170)</f>
        <v>186201.4793673575</v>
      </c>
      <c r="K179" s="455">
        <f>SUM(K158:K170)</f>
        <v>1</v>
      </c>
    </row>
    <row r="182" spans="1:12" x14ac:dyDescent="0.2">
      <c r="B182" s="1" t="s">
        <v>1808</v>
      </c>
    </row>
    <row r="183" spans="1:12" x14ac:dyDescent="0.2">
      <c r="C183" s="86" t="s">
        <v>403</v>
      </c>
      <c r="D183" s="86" t="s">
        <v>387</v>
      </c>
      <c r="E183" s="86" t="s">
        <v>388</v>
      </c>
      <c r="F183" s="86" t="s">
        <v>389</v>
      </c>
      <c r="G183" s="86" t="s">
        <v>390</v>
      </c>
      <c r="H183" s="86" t="s">
        <v>391</v>
      </c>
    </row>
    <row r="184" spans="1:12" x14ac:dyDescent="0.2">
      <c r="C184" s="1237" t="s">
        <v>1806</v>
      </c>
      <c r="D184" s="1238"/>
      <c r="E184" s="86"/>
      <c r="F184" s="642" t="s">
        <v>1809</v>
      </c>
      <c r="G184" s="642" t="s">
        <v>1810</v>
      </c>
    </row>
    <row r="185" spans="1:12" x14ac:dyDescent="0.2">
      <c r="B185" s="1272" t="s">
        <v>1317</v>
      </c>
      <c r="C185" s="1281" t="s">
        <v>1811</v>
      </c>
      <c r="D185" s="1281" t="s">
        <v>1812</v>
      </c>
      <c r="E185" s="1283" t="s">
        <v>1413</v>
      </c>
      <c r="F185" s="1284" t="s">
        <v>1431</v>
      </c>
      <c r="G185" s="1284"/>
      <c r="H185" s="1239" t="s">
        <v>196</v>
      </c>
    </row>
    <row r="186" spans="1:12" x14ac:dyDescent="0.2">
      <c r="B186" s="1272"/>
      <c r="C186" s="1282"/>
      <c r="D186" s="1282"/>
      <c r="E186" s="1283"/>
      <c r="F186" s="1284" t="s">
        <v>1813</v>
      </c>
      <c r="G186" s="1285" t="s">
        <v>1814</v>
      </c>
      <c r="H186" s="1239"/>
    </row>
    <row r="187" spans="1:12" x14ac:dyDescent="0.2">
      <c r="A187" s="55" t="s">
        <v>359</v>
      </c>
      <c r="B187" s="1272"/>
      <c r="C187" s="1282"/>
      <c r="D187" s="1282"/>
      <c r="E187" s="1283"/>
      <c r="F187" s="1284"/>
      <c r="G187" s="1285"/>
      <c r="H187" s="1239"/>
    </row>
    <row r="188" spans="1:12" x14ac:dyDescent="0.2">
      <c r="A188" s="699" t="s">
        <v>1432</v>
      </c>
      <c r="B188" s="632" t="s">
        <v>1326</v>
      </c>
      <c r="C188" s="102">
        <v>16580.153333333332</v>
      </c>
      <c r="D188" s="102">
        <v>181.6</v>
      </c>
      <c r="E188" s="647">
        <v>1.0979000000000001</v>
      </c>
      <c r="F188" s="103">
        <f t="shared" ref="F188:G192" si="13">C188*$E188</f>
        <v>18203.350344666665</v>
      </c>
      <c r="G188" s="103">
        <f t="shared" si="13"/>
        <v>199.37864000000002</v>
      </c>
    </row>
    <row r="189" spans="1:12" x14ac:dyDescent="0.2">
      <c r="A189" s="699" t="s">
        <v>1433</v>
      </c>
      <c r="B189" s="632" t="s">
        <v>1328</v>
      </c>
      <c r="C189" s="102">
        <v>10856.28</v>
      </c>
      <c r="D189" s="102">
        <v>468.88333333333338</v>
      </c>
      <c r="E189" s="647">
        <v>1.0688</v>
      </c>
      <c r="F189" s="103">
        <f t="shared" si="13"/>
        <v>11603.192064000001</v>
      </c>
      <c r="G189" s="103">
        <f t="shared" si="13"/>
        <v>501.14250666666669</v>
      </c>
    </row>
    <row r="190" spans="1:12" ht="14.25" x14ac:dyDescent="0.2">
      <c r="A190" s="699" t="s">
        <v>1434</v>
      </c>
      <c r="B190" s="632" t="s">
        <v>1330</v>
      </c>
      <c r="C190" s="650">
        <v>11339.720000000001</v>
      </c>
      <c r="D190" s="650">
        <v>1131.2</v>
      </c>
      <c r="E190" s="651">
        <v>1.0335000000000001</v>
      </c>
      <c r="F190" s="639">
        <f t="shared" si="13"/>
        <v>11719.600620000003</v>
      </c>
      <c r="G190" s="639">
        <f t="shared" si="13"/>
        <v>1169.0952000000002</v>
      </c>
    </row>
    <row r="191" spans="1:12" ht="15" x14ac:dyDescent="0.25">
      <c r="A191" s="699" t="s">
        <v>1435</v>
      </c>
      <c r="B191" s="632" t="s">
        <v>1356</v>
      </c>
      <c r="C191" s="102">
        <v>10954.956666666667</v>
      </c>
      <c r="D191" s="102">
        <v>777.01333333333332</v>
      </c>
      <c r="E191" s="647">
        <v>1.0335000000000001</v>
      </c>
      <c r="F191" s="103">
        <f t="shared" si="13"/>
        <v>11321.947715000002</v>
      </c>
      <c r="G191" s="103">
        <f t="shared" si="13"/>
        <v>803.0432800000001</v>
      </c>
    </row>
    <row r="192" spans="1:12" ht="15" x14ac:dyDescent="0.25">
      <c r="A192" s="699" t="s">
        <v>1436</v>
      </c>
      <c r="B192" s="632" t="s">
        <v>1358</v>
      </c>
      <c r="C192" s="102">
        <v>384.76333333333332</v>
      </c>
      <c r="D192" s="102">
        <v>354.18666666666667</v>
      </c>
      <c r="E192" s="647">
        <v>1.0335000000000001</v>
      </c>
      <c r="F192" s="103">
        <f t="shared" si="13"/>
        <v>397.65290500000003</v>
      </c>
      <c r="G192" s="103">
        <f t="shared" si="13"/>
        <v>366.05192000000005</v>
      </c>
      <c r="H192" s="627" t="s">
        <v>1880</v>
      </c>
    </row>
    <row r="193" spans="1:12" x14ac:dyDescent="0.2">
      <c r="A193" s="699" t="s">
        <v>1437</v>
      </c>
      <c r="B193" s="632" t="s">
        <v>1782</v>
      </c>
      <c r="C193" s="649" t="s">
        <v>86</v>
      </c>
      <c r="D193" s="649" t="s">
        <v>86</v>
      </c>
      <c r="E193" s="649" t="s">
        <v>86</v>
      </c>
      <c r="F193" s="446" t="s">
        <v>86</v>
      </c>
      <c r="G193" s="446" t="s">
        <v>86</v>
      </c>
      <c r="H193" s="627" t="s">
        <v>1350</v>
      </c>
    </row>
    <row r="194" spans="1:12" x14ac:dyDescent="0.2">
      <c r="A194" s="699" t="s">
        <v>1438</v>
      </c>
      <c r="B194" s="632" t="s">
        <v>1783</v>
      </c>
      <c r="C194" s="649" t="s">
        <v>86</v>
      </c>
      <c r="D194" s="649" t="s">
        <v>86</v>
      </c>
      <c r="E194" s="649" t="s">
        <v>86</v>
      </c>
      <c r="F194" s="446" t="s">
        <v>86</v>
      </c>
      <c r="G194" s="446" t="s">
        <v>86</v>
      </c>
      <c r="H194" s="627" t="s">
        <v>1350</v>
      </c>
    </row>
    <row r="195" spans="1:12" ht="14.25" x14ac:dyDescent="0.2">
      <c r="A195" s="699" t="s">
        <v>1439</v>
      </c>
      <c r="B195" s="632" t="s">
        <v>1784</v>
      </c>
      <c r="C195" s="649" t="s">
        <v>86</v>
      </c>
      <c r="D195" s="649" t="s">
        <v>86</v>
      </c>
      <c r="E195" s="649" t="s">
        <v>86</v>
      </c>
      <c r="F195" s="446" t="s">
        <v>86</v>
      </c>
      <c r="G195" s="446" t="s">
        <v>86</v>
      </c>
      <c r="H195" s="627" t="s">
        <v>1350</v>
      </c>
    </row>
    <row r="196" spans="1:12" ht="15" x14ac:dyDescent="0.25">
      <c r="A196" s="699" t="s">
        <v>1440</v>
      </c>
      <c r="B196" s="632" t="s">
        <v>1793</v>
      </c>
      <c r="C196" s="649" t="s">
        <v>86</v>
      </c>
      <c r="D196" s="649" t="s">
        <v>86</v>
      </c>
      <c r="E196" s="649" t="s">
        <v>86</v>
      </c>
      <c r="F196" s="446" t="s">
        <v>86</v>
      </c>
      <c r="G196" s="446" t="s">
        <v>86</v>
      </c>
      <c r="H196" s="627" t="s">
        <v>1350</v>
      </c>
    </row>
    <row r="197" spans="1:12" ht="15" x14ac:dyDescent="0.25">
      <c r="A197" s="699" t="s">
        <v>1441</v>
      </c>
      <c r="B197" s="632" t="s">
        <v>1800</v>
      </c>
      <c r="C197" s="649" t="s">
        <v>86</v>
      </c>
      <c r="D197" s="649" t="s">
        <v>86</v>
      </c>
      <c r="E197" s="649" t="s">
        <v>86</v>
      </c>
      <c r="F197" s="446" t="s">
        <v>86</v>
      </c>
      <c r="G197" s="446" t="s">
        <v>86</v>
      </c>
      <c r="H197" s="627" t="s">
        <v>1350</v>
      </c>
    </row>
    <row r="201" spans="1:12" ht="23.25" x14ac:dyDescent="0.35">
      <c r="B201" s="654" t="s">
        <v>2113</v>
      </c>
      <c r="C201" s="653"/>
      <c r="D201" s="653"/>
      <c r="E201" s="653"/>
      <c r="F201" s="653"/>
      <c r="G201" s="653"/>
      <c r="H201" s="653"/>
      <c r="I201" s="653"/>
      <c r="J201" s="653"/>
      <c r="K201" s="653"/>
      <c r="L201" s="653"/>
    </row>
    <row r="202" spans="1:12" ht="25.5" x14ac:dyDescent="0.2">
      <c r="A202" s="55" t="s">
        <v>359</v>
      </c>
      <c r="B202" s="655" t="s">
        <v>1815</v>
      </c>
      <c r="C202" s="656" t="s">
        <v>1816</v>
      </c>
      <c r="D202" s="656" t="s">
        <v>1817</v>
      </c>
      <c r="E202" s="656" t="s">
        <v>1818</v>
      </c>
      <c r="F202" s="656" t="s">
        <v>1819</v>
      </c>
      <c r="G202" s="656" t="s">
        <v>1820</v>
      </c>
      <c r="H202" s="657" t="s">
        <v>2114</v>
      </c>
      <c r="I202" s="657" t="s">
        <v>2115</v>
      </c>
      <c r="J202" s="657" t="s">
        <v>2116</v>
      </c>
    </row>
    <row r="203" spans="1:12" x14ac:dyDescent="0.2">
      <c r="B203" s="658"/>
      <c r="C203" s="86" t="s">
        <v>403</v>
      </c>
      <c r="D203" s="86" t="s">
        <v>387</v>
      </c>
      <c r="E203" s="86" t="s">
        <v>388</v>
      </c>
      <c r="F203" s="86" t="s">
        <v>389</v>
      </c>
      <c r="G203" s="86" t="s">
        <v>390</v>
      </c>
      <c r="H203" s="86" t="s">
        <v>391</v>
      </c>
      <c r="I203" s="86" t="s">
        <v>392</v>
      </c>
      <c r="J203" s="86" t="s">
        <v>606</v>
      </c>
    </row>
    <row r="204" spans="1:12" x14ac:dyDescent="0.2">
      <c r="B204" s="659"/>
      <c r="C204" s="1240" t="s">
        <v>1821</v>
      </c>
      <c r="D204" s="1240" t="s">
        <v>1822</v>
      </c>
      <c r="E204" s="1240" t="s">
        <v>1823</v>
      </c>
      <c r="F204" s="1240" t="s">
        <v>1824</v>
      </c>
      <c r="G204" s="1240" t="s">
        <v>1825</v>
      </c>
      <c r="H204" s="1240" t="s">
        <v>1826</v>
      </c>
      <c r="I204" s="1240" t="s">
        <v>1827</v>
      </c>
      <c r="J204" s="1240" t="s">
        <v>1828</v>
      </c>
    </row>
    <row r="205" spans="1:12" x14ac:dyDescent="0.2">
      <c r="B205" s="659"/>
      <c r="C205" s="1240"/>
      <c r="D205" s="1240"/>
      <c r="E205" s="1240"/>
      <c r="F205" s="1240"/>
      <c r="G205" s="1240"/>
      <c r="H205" s="1240"/>
      <c r="I205" s="1240"/>
      <c r="J205" s="1240"/>
    </row>
    <row r="206" spans="1:12" x14ac:dyDescent="0.2">
      <c r="B206" s="659"/>
      <c r="C206" s="653"/>
      <c r="D206" s="653"/>
      <c r="E206" s="653"/>
      <c r="F206" s="653"/>
      <c r="G206" s="653"/>
      <c r="H206" s="653"/>
      <c r="I206" s="653"/>
      <c r="J206" s="653"/>
    </row>
    <row r="207" spans="1:12" x14ac:dyDescent="0.2">
      <c r="A207" s="699" t="s">
        <v>1829</v>
      </c>
      <c r="B207" s="632" t="s">
        <v>175</v>
      </c>
      <c r="C207" s="660">
        <f>C17</f>
        <v>0.39367613505425902</v>
      </c>
      <c r="D207" s="661">
        <f>D17</f>
        <v>310722575.65989983</v>
      </c>
      <c r="E207" s="662">
        <f>E17</f>
        <v>29173.326112886261</v>
      </c>
      <c r="F207" s="662">
        <f>F17</f>
        <v>0</v>
      </c>
      <c r="G207" s="662">
        <f>G17</f>
        <v>1.2E-2</v>
      </c>
      <c r="H207" s="663">
        <f>G66</f>
        <v>1.0650913593381777E-2</v>
      </c>
      <c r="I207" s="653"/>
      <c r="J207" s="653"/>
      <c r="K207" s="663"/>
      <c r="L207" s="653"/>
    </row>
    <row r="208" spans="1:12" x14ac:dyDescent="0.2">
      <c r="D208" s="445"/>
      <c r="E208" s="664"/>
      <c r="F208" s="664"/>
      <c r="G208" s="664"/>
      <c r="H208" s="94"/>
      <c r="I208" s="652"/>
      <c r="J208" s="652"/>
      <c r="K208" s="94"/>
      <c r="L208" s="652"/>
    </row>
    <row r="209" spans="1:12" x14ac:dyDescent="0.2">
      <c r="A209" s="699" t="s">
        <v>1830</v>
      </c>
      <c r="B209" s="632" t="s">
        <v>176</v>
      </c>
      <c r="C209" s="660">
        <f t="shared" ref="C209:G212" si="14">C18</f>
        <v>6.814554499565606E-2</v>
      </c>
      <c r="D209" s="661">
        <f t="shared" si="14"/>
        <v>53786240.453410923</v>
      </c>
      <c r="E209" s="662">
        <f t="shared" si="14"/>
        <v>5030.6101744858761</v>
      </c>
      <c r="F209" s="662">
        <f t="shared" si="14"/>
        <v>0</v>
      </c>
      <c r="G209" s="662">
        <f t="shared" si="14"/>
        <v>0.73199999999999998</v>
      </c>
      <c r="H209" s="663">
        <f>G67</f>
        <v>1.0691792563495109E-2</v>
      </c>
      <c r="I209" s="652"/>
      <c r="J209" s="652"/>
      <c r="K209" s="663"/>
      <c r="L209" s="652"/>
    </row>
    <row r="210" spans="1:12" x14ac:dyDescent="0.2">
      <c r="A210" s="699" t="s">
        <v>1831</v>
      </c>
      <c r="B210" s="632" t="s">
        <v>177</v>
      </c>
      <c r="C210" s="660">
        <f t="shared" si="14"/>
        <v>5.3085873249119372E-4</v>
      </c>
      <c r="D210" s="661">
        <f t="shared" si="14"/>
        <v>418998.70981124882</v>
      </c>
      <c r="E210" s="662">
        <f t="shared" si="14"/>
        <v>65.729876452528288</v>
      </c>
      <c r="F210" s="662">
        <f t="shared" si="14"/>
        <v>0</v>
      </c>
      <c r="G210" s="662">
        <f t="shared" si="14"/>
        <v>0</v>
      </c>
      <c r="H210" s="663">
        <f>G68</f>
        <v>6.3745549577270211E-3</v>
      </c>
      <c r="I210" s="653"/>
      <c r="J210" s="653"/>
      <c r="K210" s="663"/>
      <c r="L210" s="653"/>
    </row>
    <row r="211" spans="1:12" x14ac:dyDescent="0.2">
      <c r="A211" s="699" t="s">
        <v>1832</v>
      </c>
      <c r="B211" s="632" t="s">
        <v>178</v>
      </c>
      <c r="C211" s="660">
        <f t="shared" si="14"/>
        <v>0.18987286414314028</v>
      </c>
      <c r="D211" s="661">
        <f t="shared" si="14"/>
        <v>149863758.91530058</v>
      </c>
      <c r="E211" s="662">
        <f t="shared" si="14"/>
        <v>15279.765898922191</v>
      </c>
      <c r="F211" s="662">
        <f t="shared" si="14"/>
        <v>52935.8172360846</v>
      </c>
      <c r="G211" s="662">
        <f t="shared" si="14"/>
        <v>36.311999999999998</v>
      </c>
      <c r="H211" s="665"/>
      <c r="I211" s="666">
        <f>H69</f>
        <v>2.8298073921525111</v>
      </c>
      <c r="J211" s="666">
        <f>I69</f>
        <v>1.8063447618989279</v>
      </c>
      <c r="K211" s="665"/>
      <c r="L211" s="666"/>
    </row>
    <row r="212" spans="1:12" x14ac:dyDescent="0.2">
      <c r="A212" s="699" t="s">
        <v>1833</v>
      </c>
      <c r="B212" s="632" t="s">
        <v>179</v>
      </c>
      <c r="C212" s="660">
        <f t="shared" si="14"/>
        <v>9.779849807973473E-2</v>
      </c>
      <c r="D212" s="661">
        <f t="shared" si="14"/>
        <v>77190864.553719118</v>
      </c>
      <c r="E212" s="662">
        <f t="shared" si="14"/>
        <v>8537.0783861382806</v>
      </c>
      <c r="F212" s="662">
        <f t="shared" si="14"/>
        <v>24506.300198521116</v>
      </c>
      <c r="G212" s="662">
        <f t="shared" si="14"/>
        <v>89.664000000000001</v>
      </c>
      <c r="H212" s="665"/>
      <c r="I212" s="666">
        <f>H70</f>
        <v>3.1432284691279793</v>
      </c>
      <c r="J212" s="666">
        <f>I70</f>
        <v>1.8063447618989279</v>
      </c>
      <c r="K212" s="665"/>
      <c r="L212" s="666"/>
    </row>
    <row r="213" spans="1:12" x14ac:dyDescent="0.2">
      <c r="D213" s="445"/>
      <c r="E213" s="664"/>
      <c r="F213" s="664"/>
      <c r="G213" s="664"/>
      <c r="H213" s="665"/>
      <c r="I213" s="667"/>
      <c r="J213" s="667"/>
      <c r="K213" s="665"/>
      <c r="L213" s="667"/>
    </row>
    <row r="214" spans="1:12" x14ac:dyDescent="0.2">
      <c r="A214" s="699" t="s">
        <v>1834</v>
      </c>
      <c r="B214" s="632" t="s">
        <v>1326</v>
      </c>
      <c r="C214" s="660">
        <f t="shared" ref="C214:G215" si="15">C22</f>
        <v>9.6867770167369013E-2</v>
      </c>
      <c r="D214" s="661">
        <f t="shared" si="15"/>
        <v>76456255.19232367</v>
      </c>
      <c r="E214" s="662">
        <f t="shared" si="15"/>
        <v>9208.8300299182592</v>
      </c>
      <c r="F214" s="662">
        <f t="shared" si="15"/>
        <v>23005.410278284133</v>
      </c>
      <c r="G214" s="662">
        <f t="shared" si="15"/>
        <v>463.596</v>
      </c>
      <c r="H214" s="668"/>
      <c r="I214" s="666">
        <f>H71</f>
        <v>3.2870024951246566</v>
      </c>
      <c r="J214" s="666">
        <f>I71</f>
        <v>1.8063447618989279</v>
      </c>
      <c r="K214" s="668"/>
      <c r="L214" s="666"/>
    </row>
    <row r="215" spans="1:12" x14ac:dyDescent="0.2">
      <c r="A215" s="699" t="s">
        <v>1835</v>
      </c>
      <c r="B215" s="632" t="s">
        <v>1328</v>
      </c>
      <c r="C215" s="660">
        <f t="shared" si="15"/>
        <v>6.1329609595617986E-2</v>
      </c>
      <c r="D215" s="661">
        <f t="shared" si="15"/>
        <v>48406526.484365225</v>
      </c>
      <c r="E215" s="662">
        <f t="shared" si="15"/>
        <v>6433.485139989888</v>
      </c>
      <c r="F215" s="662">
        <f t="shared" si="15"/>
        <v>14505.691523882973</v>
      </c>
      <c r="G215" s="662">
        <f t="shared" si="15"/>
        <v>1531.788</v>
      </c>
      <c r="H215" s="668"/>
      <c r="I215" s="666">
        <f>H72</f>
        <v>3.1929429805772354</v>
      </c>
      <c r="J215" s="666">
        <f>I72</f>
        <v>1.3648628627227659</v>
      </c>
      <c r="K215" s="668"/>
      <c r="L215" s="666"/>
    </row>
    <row r="216" spans="1:12" ht="14.25" x14ac:dyDescent="0.2">
      <c r="A216" s="699" t="s">
        <v>1836</v>
      </c>
      <c r="B216" s="632" t="s">
        <v>1356</v>
      </c>
      <c r="C216" s="1286">
        <f>C24</f>
        <v>6.4275246379092668E-2</v>
      </c>
      <c r="D216" s="1287">
        <f>D24</f>
        <v>50731472.720168024</v>
      </c>
      <c r="E216" s="1288">
        <f>E24</f>
        <v>8174.8295012181807</v>
      </c>
      <c r="F216" s="662">
        <f>F24-F217</f>
        <v>14093.406188172161</v>
      </c>
      <c r="G216" s="662">
        <f>G24-G217</f>
        <v>6299.232</v>
      </c>
      <c r="H216" s="668"/>
      <c r="I216" s="666">
        <f>H74</f>
        <v>3.2308678775730799</v>
      </c>
      <c r="J216" s="666">
        <f>I74</f>
        <v>0.55184359520635207</v>
      </c>
      <c r="K216" s="668"/>
      <c r="L216" s="666"/>
    </row>
    <row r="217" spans="1:12" ht="14.25" x14ac:dyDescent="0.2">
      <c r="A217" s="699" t="s">
        <v>1837</v>
      </c>
      <c r="B217" s="632" t="s">
        <v>1358</v>
      </c>
      <c r="C217" s="1286"/>
      <c r="D217" s="1287"/>
      <c r="E217" s="1288"/>
      <c r="F217" s="662">
        <f>J24</f>
        <v>135.03200000000001</v>
      </c>
      <c r="G217" s="662">
        <f>K24</f>
        <v>2440.1759999999999</v>
      </c>
      <c r="H217" s="668"/>
      <c r="I217" s="666">
        <f>H75</f>
        <v>1.013044626953572</v>
      </c>
      <c r="J217" s="666">
        <f>I75</f>
        <v>0.64936099085771926</v>
      </c>
      <c r="K217" s="668"/>
      <c r="L217" s="666"/>
    </row>
    <row r="218" spans="1:12" x14ac:dyDescent="0.2">
      <c r="C218" s="660"/>
      <c r="D218" s="669"/>
      <c r="E218" s="670"/>
      <c r="F218" s="670"/>
      <c r="G218" s="670"/>
      <c r="H218" s="671"/>
      <c r="I218" s="672"/>
      <c r="J218" s="672"/>
      <c r="K218" s="671"/>
      <c r="L218" s="672"/>
    </row>
    <row r="219" spans="1:12" x14ac:dyDescent="0.2">
      <c r="A219" s="699" t="s">
        <v>1838</v>
      </c>
      <c r="B219" s="632" t="s">
        <v>180</v>
      </c>
      <c r="C219" s="660">
        <f t="shared" ref="C219:G222" si="16">C25</f>
        <v>2.8632013805243006E-3</v>
      </c>
      <c r="D219" s="661">
        <f t="shared" si="16"/>
        <v>2259881.2281747092</v>
      </c>
      <c r="E219" s="662">
        <f t="shared" si="16"/>
        <v>276.72011914972762</v>
      </c>
      <c r="F219" s="662">
        <f t="shared" si="16"/>
        <v>4158.4661104532015</v>
      </c>
      <c r="G219" s="662">
        <f t="shared" si="16"/>
        <v>0.12</v>
      </c>
      <c r="H219" s="671"/>
      <c r="I219" s="666">
        <f t="shared" ref="I219:J222" si="17">H76</f>
        <v>0.54342537779707734</v>
      </c>
      <c r="J219" s="666">
        <f t="shared" si="17"/>
        <v>0.54342537779707734</v>
      </c>
      <c r="K219" s="671"/>
      <c r="L219" s="666"/>
    </row>
    <row r="220" spans="1:12" x14ac:dyDescent="0.2">
      <c r="A220" s="699" t="s">
        <v>1839</v>
      </c>
      <c r="B220" s="632" t="s">
        <v>181</v>
      </c>
      <c r="C220" s="660">
        <f t="shared" si="16"/>
        <v>2.4331421002904926E-3</v>
      </c>
      <c r="D220" s="661">
        <f t="shared" si="16"/>
        <v>1920441.9903294339</v>
      </c>
      <c r="E220" s="662">
        <f t="shared" si="16"/>
        <v>242.05527605734676</v>
      </c>
      <c r="F220" s="662">
        <f t="shared" si="16"/>
        <v>1091.0646749029352</v>
      </c>
      <c r="G220" s="662">
        <f t="shared" si="16"/>
        <v>0.93600000000000005</v>
      </c>
      <c r="H220" s="671"/>
      <c r="I220" s="666">
        <f t="shared" si="17"/>
        <v>1.7586454243722296</v>
      </c>
      <c r="J220" s="666">
        <f t="shared" si="17"/>
        <v>1.75864542437223</v>
      </c>
      <c r="K220" s="671"/>
      <c r="L220" s="666"/>
    </row>
    <row r="221" spans="1:12" x14ac:dyDescent="0.2">
      <c r="A221" s="699" t="s">
        <v>1840</v>
      </c>
      <c r="B221" s="632" t="s">
        <v>182</v>
      </c>
      <c r="C221" s="660">
        <f t="shared" si="16"/>
        <v>1.6892390401834507E-2</v>
      </c>
      <c r="D221" s="661">
        <f t="shared" si="16"/>
        <v>13332906.385059785</v>
      </c>
      <c r="E221" s="662">
        <f t="shared" si="16"/>
        <v>2250.1429617557028</v>
      </c>
      <c r="F221" s="662">
        <f t="shared" si="16"/>
        <v>9211.4452347380466</v>
      </c>
      <c r="G221" s="662">
        <f t="shared" si="16"/>
        <v>5.2919999999999998</v>
      </c>
      <c r="H221" s="671"/>
      <c r="I221" s="666">
        <f t="shared" si="17"/>
        <v>1.4465972117343027</v>
      </c>
      <c r="J221" s="666">
        <f t="shared" si="17"/>
        <v>1.4465972117343027</v>
      </c>
      <c r="K221" s="671"/>
      <c r="L221" s="666"/>
    </row>
    <row r="222" spans="1:12" x14ac:dyDescent="0.2">
      <c r="A222" s="699" t="s">
        <v>1841</v>
      </c>
      <c r="B222" s="632" t="s">
        <v>1335</v>
      </c>
      <c r="C222" s="660">
        <f t="shared" si="16"/>
        <v>1.4083907713013581E-3</v>
      </c>
      <c r="D222" s="661">
        <f t="shared" si="16"/>
        <v>1111621.3786595813</v>
      </c>
      <c r="E222" s="662">
        <f t="shared" si="16"/>
        <v>175.71001694110919</v>
      </c>
      <c r="F222" s="662">
        <f t="shared" si="16"/>
        <v>417.48152054845798</v>
      </c>
      <c r="G222" s="662">
        <f t="shared" si="16"/>
        <v>4.26</v>
      </c>
      <c r="H222" s="665"/>
      <c r="I222" s="666">
        <f t="shared" si="17"/>
        <v>2.6442520103012721</v>
      </c>
      <c r="J222" s="666">
        <f t="shared" si="17"/>
        <v>1.8063447618989279</v>
      </c>
      <c r="K222" s="665"/>
      <c r="L222" s="666"/>
    </row>
    <row r="223" spans="1:12" x14ac:dyDescent="0.2">
      <c r="D223" s="445"/>
      <c r="E223" s="664"/>
      <c r="F223" s="664"/>
      <c r="G223" s="664"/>
      <c r="H223" s="665"/>
      <c r="I223" s="653"/>
      <c r="J223" s="653"/>
      <c r="K223" s="665"/>
      <c r="L223" s="653"/>
    </row>
    <row r="224" spans="1:12" x14ac:dyDescent="0.2">
      <c r="A224" s="699" t="s">
        <v>1842</v>
      </c>
      <c r="B224" s="632" t="s">
        <v>1337</v>
      </c>
      <c r="C224" s="660">
        <f>C29</f>
        <v>3.9063481986885123E-3</v>
      </c>
      <c r="D224" s="661">
        <f>D29</f>
        <v>3083221.1191913174</v>
      </c>
      <c r="E224" s="662">
        <f>E29</f>
        <v>728.47662640002318</v>
      </c>
      <c r="F224" s="662">
        <f>F29</f>
        <v>0</v>
      </c>
      <c r="G224" s="662">
        <f>G29</f>
        <v>0</v>
      </c>
      <c r="H224" s="663">
        <f>G80</f>
        <v>4.2324228498969709E-3</v>
      </c>
      <c r="I224" s="653"/>
      <c r="J224" s="653"/>
      <c r="K224" s="663"/>
      <c r="L224" s="653"/>
    </row>
    <row r="225" spans="1:10" x14ac:dyDescent="0.2">
      <c r="B225" s="659"/>
      <c r="C225" s="673"/>
      <c r="D225" s="674"/>
      <c r="E225" s="675"/>
      <c r="F225" s="675"/>
      <c r="G225" s="675"/>
      <c r="I225" s="653"/>
      <c r="J225" s="653"/>
    </row>
    <row r="226" spans="1:10" x14ac:dyDescent="0.2">
      <c r="A226" s="699" t="s">
        <v>1843</v>
      </c>
      <c r="B226" s="659" t="s">
        <v>1844</v>
      </c>
      <c r="C226" s="676">
        <f>SUM(C207:C224)</f>
        <v>1</v>
      </c>
      <c r="D226" s="677">
        <f>SUM(D207:D224)</f>
        <v>789284764.7904135</v>
      </c>
      <c r="E226" s="678">
        <f>SUM(E207:E224)</f>
        <v>85576.760120315375</v>
      </c>
      <c r="F226" s="678">
        <f>SUM(F207:F224)</f>
        <v>144060.11496558765</v>
      </c>
      <c r="G226" s="678">
        <f>SUM(G207:G224)</f>
        <v>10872.119999999999</v>
      </c>
      <c r="I226" s="653"/>
      <c r="J226" s="679"/>
    </row>
    <row r="227" spans="1:10" x14ac:dyDescent="0.2">
      <c r="D227" s="73"/>
    </row>
    <row r="228" spans="1:10" x14ac:dyDescent="0.2">
      <c r="D228" s="680"/>
      <c r="E228" s="680"/>
      <c r="F228" s="681"/>
    </row>
    <row r="229" spans="1:10" ht="23.25" x14ac:dyDescent="0.35">
      <c r="B229" s="654" t="s">
        <v>2118</v>
      </c>
    </row>
    <row r="230" spans="1:10" ht="51" x14ac:dyDescent="0.2">
      <c r="A230" s="55" t="s">
        <v>359</v>
      </c>
      <c r="B230" s="655" t="s">
        <v>1815</v>
      </c>
      <c r="C230" s="656" t="s">
        <v>1845</v>
      </c>
      <c r="D230" s="656" t="s">
        <v>1846</v>
      </c>
      <c r="E230" s="656" t="s">
        <v>1847</v>
      </c>
      <c r="F230" s="656" t="s">
        <v>1848</v>
      </c>
    </row>
    <row r="231" spans="1:10" x14ac:dyDescent="0.2">
      <c r="B231" s="659"/>
      <c r="C231" s="86" t="s">
        <v>403</v>
      </c>
      <c r="D231" s="86" t="s">
        <v>387</v>
      </c>
      <c r="E231" s="86" t="s">
        <v>388</v>
      </c>
      <c r="F231" s="86" t="s">
        <v>389</v>
      </c>
    </row>
    <row r="232" spans="1:10" x14ac:dyDescent="0.2">
      <c r="B232" s="659"/>
      <c r="C232" s="1240" t="s">
        <v>1902</v>
      </c>
      <c r="D232" s="1240" t="s">
        <v>1903</v>
      </c>
      <c r="E232" s="1240" t="s">
        <v>1904</v>
      </c>
      <c r="F232" s="1240" t="s">
        <v>1905</v>
      </c>
    </row>
    <row r="233" spans="1:10" x14ac:dyDescent="0.2">
      <c r="B233" s="659"/>
      <c r="C233" s="1240"/>
      <c r="D233" s="1240"/>
      <c r="E233" s="1240"/>
      <c r="F233" s="1240"/>
    </row>
    <row r="234" spans="1:10" x14ac:dyDescent="0.2">
      <c r="B234" s="659"/>
      <c r="D234" s="653"/>
      <c r="E234" s="653"/>
      <c r="F234" s="653"/>
    </row>
    <row r="235" spans="1:10" x14ac:dyDescent="0.2">
      <c r="A235" s="699" t="s">
        <v>1849</v>
      </c>
      <c r="B235" s="632" t="s">
        <v>175</v>
      </c>
      <c r="C235" s="682">
        <f>E207*H207*10^6</f>
        <v>310722575.65989983</v>
      </c>
      <c r="E235" s="683"/>
      <c r="F235" s="682">
        <f>SUM(C235:E235)</f>
        <v>310722575.65989983</v>
      </c>
    </row>
    <row r="236" spans="1:10" x14ac:dyDescent="0.2">
      <c r="D236" s="682"/>
      <c r="E236" s="682"/>
      <c r="F236" s="682"/>
    </row>
    <row r="237" spans="1:10" x14ac:dyDescent="0.2">
      <c r="A237" s="699" t="s">
        <v>1850</v>
      </c>
      <c r="B237" s="632" t="s">
        <v>176</v>
      </c>
      <c r="C237" s="682">
        <f>E209*H209*10^6</f>
        <v>53786240.453410916</v>
      </c>
      <c r="E237" s="682"/>
      <c r="F237" s="682">
        <f>SUM(C237:E237)</f>
        <v>53786240.453410916</v>
      </c>
    </row>
    <row r="238" spans="1:10" x14ac:dyDescent="0.2">
      <c r="A238" s="699" t="s">
        <v>1851</v>
      </c>
      <c r="B238" s="632" t="s">
        <v>177</v>
      </c>
      <c r="C238" s="682">
        <f>E210*H210*10^6</f>
        <v>418998.70981124876</v>
      </c>
      <c r="E238" s="682"/>
      <c r="F238" s="682">
        <f>SUM(C238:E238)</f>
        <v>418998.70981124876</v>
      </c>
    </row>
    <row r="239" spans="1:10" x14ac:dyDescent="0.2">
      <c r="A239" s="699" t="s">
        <v>1852</v>
      </c>
      <c r="B239" s="632" t="s">
        <v>178</v>
      </c>
      <c r="D239" s="682">
        <f>F211*I211*1000</f>
        <v>149798166.92430651</v>
      </c>
      <c r="E239" s="682">
        <f>G211*J211*1000</f>
        <v>65591.990994073873</v>
      </c>
      <c r="F239" s="682">
        <f>SUM(D239:E239)</f>
        <v>149863758.91530058</v>
      </c>
    </row>
    <row r="240" spans="1:10" x14ac:dyDescent="0.2">
      <c r="A240" s="699" t="s">
        <v>1853</v>
      </c>
      <c r="B240" s="632" t="s">
        <v>179</v>
      </c>
      <c r="D240" s="682">
        <f>F212*I212*1000</f>
        <v>77028900.45698823</v>
      </c>
      <c r="E240" s="682">
        <f>G212*J212*1000</f>
        <v>161964.09673090547</v>
      </c>
      <c r="F240" s="682">
        <f>SUM(D240:E240)</f>
        <v>77190864.553719133</v>
      </c>
    </row>
    <row r="241" spans="1:6" x14ac:dyDescent="0.2">
      <c r="D241" s="683"/>
      <c r="E241" s="683"/>
      <c r="F241" s="683"/>
    </row>
    <row r="242" spans="1:6" x14ac:dyDescent="0.2">
      <c r="A242" s="699" t="s">
        <v>1854</v>
      </c>
      <c r="B242" s="632" t="s">
        <v>1326</v>
      </c>
      <c r="D242" s="682">
        <f t="shared" ref="D242:E245" si="18">F214*I214*1000</f>
        <v>75618840.986086369</v>
      </c>
      <c r="E242" s="682">
        <f t="shared" si="18"/>
        <v>837414.20623729541</v>
      </c>
      <c r="F242" s="682">
        <f>SUM(D242:E242)</f>
        <v>76456255.19232367</v>
      </c>
    </row>
    <row r="243" spans="1:6" x14ac:dyDescent="0.2">
      <c r="A243" s="699" t="s">
        <v>1855</v>
      </c>
      <c r="B243" s="632" t="s">
        <v>1328</v>
      </c>
      <c r="D243" s="682">
        <f t="shared" si="18"/>
        <v>46315845.929600835</v>
      </c>
      <c r="E243" s="682">
        <f t="shared" si="18"/>
        <v>2090680.5547643802</v>
      </c>
      <c r="F243" s="682">
        <f>SUM(D243:E243)</f>
        <v>48406526.484365217</v>
      </c>
    </row>
    <row r="244" spans="1:6" ht="14.25" x14ac:dyDescent="0.2">
      <c r="A244" s="699" t="s">
        <v>1856</v>
      </c>
      <c r="B244" s="632" t="s">
        <v>1356</v>
      </c>
      <c r="D244" s="682">
        <f t="shared" si="18"/>
        <v>45533933.338955104</v>
      </c>
      <c r="E244" s="682">
        <f t="shared" si="18"/>
        <v>3476190.8339188993</v>
      </c>
      <c r="F244" s="682">
        <f>SUM(D244:E244)</f>
        <v>49010124.172874004</v>
      </c>
    </row>
    <row r="245" spans="1:6" ht="14.25" x14ac:dyDescent="0.2">
      <c r="A245" s="699" t="s">
        <v>1857</v>
      </c>
      <c r="B245" s="632" t="s">
        <v>1358</v>
      </c>
      <c r="D245" s="682">
        <f t="shared" si="18"/>
        <v>136793.44206679473</v>
      </c>
      <c r="E245" s="682">
        <f t="shared" si="18"/>
        <v>1584555.1052272257</v>
      </c>
      <c r="F245" s="682">
        <f>SUM(D245:E245)</f>
        <v>1721348.5472940204</v>
      </c>
    </row>
    <row r="246" spans="1:6" x14ac:dyDescent="0.2">
      <c r="D246" s="682"/>
      <c r="E246" s="682"/>
      <c r="F246" s="682"/>
    </row>
    <row r="247" spans="1:6" x14ac:dyDescent="0.2">
      <c r="A247" s="699" t="s">
        <v>1858</v>
      </c>
      <c r="B247" s="632" t="s">
        <v>180</v>
      </c>
      <c r="D247" s="682">
        <f t="shared" ref="D247:E250" si="19">F219*I219*1000</f>
        <v>2259816.0171293737</v>
      </c>
      <c r="E247" s="682">
        <f t="shared" si="19"/>
        <v>65.211045335649288</v>
      </c>
      <c r="F247" s="682">
        <f>SUM(D247:E247)</f>
        <v>2259881.2281747092</v>
      </c>
    </row>
    <row r="248" spans="1:6" x14ac:dyDescent="0.2">
      <c r="A248" s="699" t="s">
        <v>1859</v>
      </c>
      <c r="B248" s="632" t="s">
        <v>181</v>
      </c>
      <c r="D248" s="682">
        <f t="shared" si="19"/>
        <v>1918795.8982122212</v>
      </c>
      <c r="E248" s="682">
        <f t="shared" si="19"/>
        <v>1646.0921172124074</v>
      </c>
      <c r="F248" s="682">
        <f>SUM(D248:E248)</f>
        <v>1920441.9903294337</v>
      </c>
    </row>
    <row r="249" spans="1:6" x14ac:dyDescent="0.2">
      <c r="A249" s="699" t="s">
        <v>1860</v>
      </c>
      <c r="B249" s="632" t="s">
        <v>182</v>
      </c>
      <c r="D249" s="682">
        <f t="shared" si="19"/>
        <v>13325250.992615286</v>
      </c>
      <c r="E249" s="682">
        <f t="shared" si="19"/>
        <v>7655.3924444979293</v>
      </c>
      <c r="F249" s="682">
        <f>SUM(D249:E249)</f>
        <v>13332906.385059785</v>
      </c>
    </row>
    <row r="250" spans="1:6" x14ac:dyDescent="0.2">
      <c r="A250" s="699" t="s">
        <v>1861</v>
      </c>
      <c r="B250" s="632" t="s">
        <v>1335</v>
      </c>
      <c r="D250" s="682">
        <f t="shared" si="19"/>
        <v>1103926.3499738919</v>
      </c>
      <c r="E250" s="682">
        <f t="shared" si="19"/>
        <v>7695.0286856894318</v>
      </c>
      <c r="F250" s="682">
        <f>SUM(D250:E250)</f>
        <v>1111621.3786595813</v>
      </c>
    </row>
    <row r="251" spans="1:6" x14ac:dyDescent="0.2">
      <c r="D251" s="683"/>
      <c r="E251" s="683"/>
      <c r="F251" s="683"/>
    </row>
    <row r="252" spans="1:6" x14ac:dyDescent="0.2">
      <c r="A252" s="699" t="s">
        <v>1862</v>
      </c>
      <c r="B252" s="632" t="s">
        <v>1337</v>
      </c>
      <c r="C252" s="682">
        <f>E224*H224*10^6</f>
        <v>3083221.1191913174</v>
      </c>
      <c r="E252" s="683"/>
      <c r="F252" s="682">
        <f>SUM(C252:E252)</f>
        <v>3083221.1191913174</v>
      </c>
    </row>
    <row r="253" spans="1:6" x14ac:dyDescent="0.2">
      <c r="B253" s="659"/>
      <c r="D253" s="653"/>
      <c r="E253" s="653"/>
      <c r="F253" s="684"/>
    </row>
    <row r="254" spans="1:6" x14ac:dyDescent="0.2">
      <c r="A254" s="699" t="s">
        <v>1863</v>
      </c>
      <c r="B254" s="659" t="s">
        <v>1844</v>
      </c>
      <c r="C254" s="685">
        <f>SUM(C235:C252)</f>
        <v>368011035.94231331</v>
      </c>
      <c r="D254" s="685">
        <f>SUM(D235:D252)</f>
        <v>413040270.33593458</v>
      </c>
      <c r="E254" s="685">
        <f>SUM(E235:E252)</f>
        <v>8233458.5121655148</v>
      </c>
      <c r="F254" s="685">
        <f>SUM(F235:F252)</f>
        <v>789284764.7904135</v>
      </c>
    </row>
  </sheetData>
  <mergeCells count="80">
    <mergeCell ref="H155:H157"/>
    <mergeCell ref="I155:I157"/>
    <mergeCell ref="K156:K157"/>
    <mergeCell ref="L156:L157"/>
    <mergeCell ref="J204:J205"/>
    <mergeCell ref="F232:F233"/>
    <mergeCell ref="I204:I205"/>
    <mergeCell ref="B185:B187"/>
    <mergeCell ref="C185:C187"/>
    <mergeCell ref="D185:D187"/>
    <mergeCell ref="E185:E187"/>
    <mergeCell ref="F185:G185"/>
    <mergeCell ref="F186:F187"/>
    <mergeCell ref="G186:G187"/>
    <mergeCell ref="C216:C217"/>
    <mergeCell ref="D216:D217"/>
    <mergeCell ref="E216:E217"/>
    <mergeCell ref="C232:C233"/>
    <mergeCell ref="D232:D233"/>
    <mergeCell ref="E232:E233"/>
    <mergeCell ref="K9:K11"/>
    <mergeCell ref="C155:F155"/>
    <mergeCell ref="B156:B157"/>
    <mergeCell ref="C156:C157"/>
    <mergeCell ref="D156:D157"/>
    <mergeCell ref="E156:E157"/>
    <mergeCell ref="F156:F157"/>
    <mergeCell ref="G156:G157"/>
    <mergeCell ref="J156:J157"/>
    <mergeCell ref="D9:D12"/>
    <mergeCell ref="E9:E11"/>
    <mergeCell ref="F9:F11"/>
    <mergeCell ref="G9:G11"/>
    <mergeCell ref="J9:J11"/>
    <mergeCell ref="B13:B16"/>
    <mergeCell ref="C13:C16"/>
    <mergeCell ref="D13:D16"/>
    <mergeCell ref="E13:E16"/>
    <mergeCell ref="F13:F16"/>
    <mergeCell ref="H153:H154"/>
    <mergeCell ref="I153:I154"/>
    <mergeCell ref="I44:I46"/>
    <mergeCell ref="F153:F154"/>
    <mergeCell ref="L13:L16"/>
    <mergeCell ref="F44:F46"/>
    <mergeCell ref="J44:J46"/>
    <mergeCell ref="L62:L65"/>
    <mergeCell ref="J153:J154"/>
    <mergeCell ref="K153:K154"/>
    <mergeCell ref="B62:B65"/>
    <mergeCell ref="C62:C65"/>
    <mergeCell ref="D62:D65"/>
    <mergeCell ref="G44:G46"/>
    <mergeCell ref="H44:H46"/>
    <mergeCell ref="G61:K61"/>
    <mergeCell ref="J62:J65"/>
    <mergeCell ref="E62:E65"/>
    <mergeCell ref="G62:G65"/>
    <mergeCell ref="H62:H65"/>
    <mergeCell ref="I62:I65"/>
    <mergeCell ref="B44:B46"/>
    <mergeCell ref="C44:C46"/>
    <mergeCell ref="D44:D46"/>
    <mergeCell ref="E44:E46"/>
    <mergeCell ref="K62:K65"/>
    <mergeCell ref="J12:K12"/>
    <mergeCell ref="G13:G16"/>
    <mergeCell ref="H13:H16"/>
    <mergeCell ref="I13:I16"/>
    <mergeCell ref="J13:J16"/>
    <mergeCell ref="K13:K16"/>
    <mergeCell ref="E12:G12"/>
    <mergeCell ref="C184:D184"/>
    <mergeCell ref="H185:H187"/>
    <mergeCell ref="C204:C205"/>
    <mergeCell ref="D204:D205"/>
    <mergeCell ref="E204:E205"/>
    <mergeCell ref="F204:F205"/>
    <mergeCell ref="G204:G205"/>
    <mergeCell ref="H204:H205"/>
  </mergeCells>
  <pageMargins left="0.7" right="0.7" top="0.75" bottom="0.75" header="0.3" footer="0.3"/>
  <pageSetup scale="58" orientation="landscape" cellComments="asDisplayed" r:id="rId1"/>
  <headerFooter>
    <oddHeader>&amp;CSchedule 33
Retail Transmission Rates
&amp;"Arial,Bold"Exhibit G-2</oddHeader>
    <oddFooter>&amp;R33-RetailRates</oddFooter>
  </headerFooter>
  <rowBreaks count="4" manualBreakCount="4">
    <brk id="55" max="16383" man="1"/>
    <brk id="119" max="16383" man="1"/>
    <brk id="181" max="16383" man="1"/>
    <brk id="228" max="16383"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2"/>
  <sheetViews>
    <sheetView zoomScale="90" zoomScaleNormal="90" workbookViewId="0"/>
  </sheetViews>
  <sheetFormatPr defaultRowHeight="12.75" x14ac:dyDescent="0.2"/>
  <cols>
    <col min="1" max="1" width="4.85546875" customWidth="1"/>
    <col min="2" max="2" width="1.7109375" customWidth="1"/>
    <col min="3" max="3" width="46" customWidth="1"/>
    <col min="4" max="4" width="1.7109375" customWidth="1"/>
    <col min="5" max="5" width="34" customWidth="1"/>
    <col min="6" max="6" width="1.7109375" customWidth="1"/>
    <col min="7" max="7" width="16.7109375" customWidth="1"/>
    <col min="8" max="8" width="1.7109375" customWidth="1"/>
    <col min="9" max="9" width="16.7109375" customWidth="1"/>
    <col min="10" max="10" width="1.7109375" customWidth="1"/>
    <col min="11" max="11" width="16.7109375" customWidth="1"/>
    <col min="12" max="12" width="2.85546875" customWidth="1"/>
    <col min="13" max="13" width="35.42578125" bestFit="1" customWidth="1"/>
    <col min="14" max="14" width="20.140625" customWidth="1"/>
    <col min="257" max="257" width="4.85546875" customWidth="1"/>
    <col min="258" max="258" width="1.7109375" customWidth="1"/>
    <col min="259" max="259" width="46" customWidth="1"/>
    <col min="260" max="260" width="1.7109375" customWidth="1"/>
    <col min="261" max="261" width="34" customWidth="1"/>
    <col min="262" max="262" width="1.7109375" customWidth="1"/>
    <col min="263" max="263" width="16" customWidth="1"/>
    <col min="264" max="264" width="1.7109375" customWidth="1"/>
    <col min="265" max="265" width="14" customWidth="1"/>
    <col min="266" max="266" width="1.7109375" customWidth="1"/>
    <col min="267" max="267" width="11.5703125" customWidth="1"/>
    <col min="268" max="268" width="2.85546875" customWidth="1"/>
    <col min="269" max="269" width="35.42578125" bestFit="1" customWidth="1"/>
    <col min="270" max="270" width="20.140625" customWidth="1"/>
    <col min="513" max="513" width="4.85546875" customWidth="1"/>
    <col min="514" max="514" width="1.7109375" customWidth="1"/>
    <col min="515" max="515" width="46" customWidth="1"/>
    <col min="516" max="516" width="1.7109375" customWidth="1"/>
    <col min="517" max="517" width="34" customWidth="1"/>
    <col min="518" max="518" width="1.7109375" customWidth="1"/>
    <col min="519" max="519" width="16" customWidth="1"/>
    <col min="520" max="520" width="1.7109375" customWidth="1"/>
    <col min="521" max="521" width="14" customWidth="1"/>
    <col min="522" max="522" width="1.7109375" customWidth="1"/>
    <col min="523" max="523" width="11.5703125" customWidth="1"/>
    <col min="524" max="524" width="2.85546875" customWidth="1"/>
    <col min="525" max="525" width="35.42578125" bestFit="1" customWidth="1"/>
    <col min="526" max="526" width="20.140625" customWidth="1"/>
    <col min="769" max="769" width="4.85546875" customWidth="1"/>
    <col min="770" max="770" width="1.7109375" customWidth="1"/>
    <col min="771" max="771" width="46" customWidth="1"/>
    <col min="772" max="772" width="1.7109375" customWidth="1"/>
    <col min="773" max="773" width="34" customWidth="1"/>
    <col min="774" max="774" width="1.7109375" customWidth="1"/>
    <col min="775" max="775" width="16" customWidth="1"/>
    <col min="776" max="776" width="1.7109375" customWidth="1"/>
    <col min="777" max="777" width="14" customWidth="1"/>
    <col min="778" max="778" width="1.7109375" customWidth="1"/>
    <col min="779" max="779" width="11.5703125" customWidth="1"/>
    <col min="780" max="780" width="2.85546875" customWidth="1"/>
    <col min="781" max="781" width="35.42578125" bestFit="1" customWidth="1"/>
    <col min="782" max="782" width="20.140625" customWidth="1"/>
    <col min="1025" max="1025" width="4.85546875" customWidth="1"/>
    <col min="1026" max="1026" width="1.7109375" customWidth="1"/>
    <col min="1027" max="1027" width="46" customWidth="1"/>
    <col min="1028" max="1028" width="1.7109375" customWidth="1"/>
    <col min="1029" max="1029" width="34" customWidth="1"/>
    <col min="1030" max="1030" width="1.7109375" customWidth="1"/>
    <col min="1031" max="1031" width="16" customWidth="1"/>
    <col min="1032" max="1032" width="1.7109375" customWidth="1"/>
    <col min="1033" max="1033" width="14" customWidth="1"/>
    <col min="1034" max="1034" width="1.7109375" customWidth="1"/>
    <col min="1035" max="1035" width="11.5703125" customWidth="1"/>
    <col min="1036" max="1036" width="2.85546875" customWidth="1"/>
    <col min="1037" max="1037" width="35.42578125" bestFit="1" customWidth="1"/>
    <col min="1038" max="1038" width="20.140625" customWidth="1"/>
    <col min="1281" max="1281" width="4.85546875" customWidth="1"/>
    <col min="1282" max="1282" width="1.7109375" customWidth="1"/>
    <col min="1283" max="1283" width="46" customWidth="1"/>
    <col min="1284" max="1284" width="1.7109375" customWidth="1"/>
    <col min="1285" max="1285" width="34" customWidth="1"/>
    <col min="1286" max="1286" width="1.7109375" customWidth="1"/>
    <col min="1287" max="1287" width="16" customWidth="1"/>
    <col min="1288" max="1288" width="1.7109375" customWidth="1"/>
    <col min="1289" max="1289" width="14" customWidth="1"/>
    <col min="1290" max="1290" width="1.7109375" customWidth="1"/>
    <col min="1291" max="1291" width="11.5703125" customWidth="1"/>
    <col min="1292" max="1292" width="2.85546875" customWidth="1"/>
    <col min="1293" max="1293" width="35.42578125" bestFit="1" customWidth="1"/>
    <col min="1294" max="1294" width="20.140625" customWidth="1"/>
    <col min="1537" max="1537" width="4.85546875" customWidth="1"/>
    <col min="1538" max="1538" width="1.7109375" customWidth="1"/>
    <col min="1539" max="1539" width="46" customWidth="1"/>
    <col min="1540" max="1540" width="1.7109375" customWidth="1"/>
    <col min="1541" max="1541" width="34" customWidth="1"/>
    <col min="1542" max="1542" width="1.7109375" customWidth="1"/>
    <col min="1543" max="1543" width="16" customWidth="1"/>
    <col min="1544" max="1544" width="1.7109375" customWidth="1"/>
    <col min="1545" max="1545" width="14" customWidth="1"/>
    <col min="1546" max="1546" width="1.7109375" customWidth="1"/>
    <col min="1547" max="1547" width="11.5703125" customWidth="1"/>
    <col min="1548" max="1548" width="2.85546875" customWidth="1"/>
    <col min="1549" max="1549" width="35.42578125" bestFit="1" customWidth="1"/>
    <col min="1550" max="1550" width="20.140625" customWidth="1"/>
    <col min="1793" max="1793" width="4.85546875" customWidth="1"/>
    <col min="1794" max="1794" width="1.7109375" customWidth="1"/>
    <col min="1795" max="1795" width="46" customWidth="1"/>
    <col min="1796" max="1796" width="1.7109375" customWidth="1"/>
    <col min="1797" max="1797" width="34" customWidth="1"/>
    <col min="1798" max="1798" width="1.7109375" customWidth="1"/>
    <col min="1799" max="1799" width="16" customWidth="1"/>
    <col min="1800" max="1800" width="1.7109375" customWidth="1"/>
    <col min="1801" max="1801" width="14" customWidth="1"/>
    <col min="1802" max="1802" width="1.7109375" customWidth="1"/>
    <col min="1803" max="1803" width="11.5703125" customWidth="1"/>
    <col min="1804" max="1804" width="2.85546875" customWidth="1"/>
    <col min="1805" max="1805" width="35.42578125" bestFit="1" customWidth="1"/>
    <col min="1806" max="1806" width="20.140625" customWidth="1"/>
    <col min="2049" max="2049" width="4.85546875" customWidth="1"/>
    <col min="2050" max="2050" width="1.7109375" customWidth="1"/>
    <col min="2051" max="2051" width="46" customWidth="1"/>
    <col min="2052" max="2052" width="1.7109375" customWidth="1"/>
    <col min="2053" max="2053" width="34" customWidth="1"/>
    <col min="2054" max="2054" width="1.7109375" customWidth="1"/>
    <col min="2055" max="2055" width="16" customWidth="1"/>
    <col min="2056" max="2056" width="1.7109375" customWidth="1"/>
    <col min="2057" max="2057" width="14" customWidth="1"/>
    <col min="2058" max="2058" width="1.7109375" customWidth="1"/>
    <col min="2059" max="2059" width="11.5703125" customWidth="1"/>
    <col min="2060" max="2060" width="2.85546875" customWidth="1"/>
    <col min="2061" max="2061" width="35.42578125" bestFit="1" customWidth="1"/>
    <col min="2062" max="2062" width="20.140625" customWidth="1"/>
    <col min="2305" max="2305" width="4.85546875" customWidth="1"/>
    <col min="2306" max="2306" width="1.7109375" customWidth="1"/>
    <col min="2307" max="2307" width="46" customWidth="1"/>
    <col min="2308" max="2308" width="1.7109375" customWidth="1"/>
    <col min="2309" max="2309" width="34" customWidth="1"/>
    <col min="2310" max="2310" width="1.7109375" customWidth="1"/>
    <col min="2311" max="2311" width="16" customWidth="1"/>
    <col min="2312" max="2312" width="1.7109375" customWidth="1"/>
    <col min="2313" max="2313" width="14" customWidth="1"/>
    <col min="2314" max="2314" width="1.7109375" customWidth="1"/>
    <col min="2315" max="2315" width="11.5703125" customWidth="1"/>
    <col min="2316" max="2316" width="2.85546875" customWidth="1"/>
    <col min="2317" max="2317" width="35.42578125" bestFit="1" customWidth="1"/>
    <col min="2318" max="2318" width="20.140625" customWidth="1"/>
    <col min="2561" max="2561" width="4.85546875" customWidth="1"/>
    <col min="2562" max="2562" width="1.7109375" customWidth="1"/>
    <col min="2563" max="2563" width="46" customWidth="1"/>
    <col min="2564" max="2564" width="1.7109375" customWidth="1"/>
    <col min="2565" max="2565" width="34" customWidth="1"/>
    <col min="2566" max="2566" width="1.7109375" customWidth="1"/>
    <col min="2567" max="2567" width="16" customWidth="1"/>
    <col min="2568" max="2568" width="1.7109375" customWidth="1"/>
    <col min="2569" max="2569" width="14" customWidth="1"/>
    <col min="2570" max="2570" width="1.7109375" customWidth="1"/>
    <col min="2571" max="2571" width="11.5703125" customWidth="1"/>
    <col min="2572" max="2572" width="2.85546875" customWidth="1"/>
    <col min="2573" max="2573" width="35.42578125" bestFit="1" customWidth="1"/>
    <col min="2574" max="2574" width="20.140625" customWidth="1"/>
    <col min="2817" max="2817" width="4.85546875" customWidth="1"/>
    <col min="2818" max="2818" width="1.7109375" customWidth="1"/>
    <col min="2819" max="2819" width="46" customWidth="1"/>
    <col min="2820" max="2820" width="1.7109375" customWidth="1"/>
    <col min="2821" max="2821" width="34" customWidth="1"/>
    <col min="2822" max="2822" width="1.7109375" customWidth="1"/>
    <col min="2823" max="2823" width="16" customWidth="1"/>
    <col min="2824" max="2824" width="1.7109375" customWidth="1"/>
    <col min="2825" max="2825" width="14" customWidth="1"/>
    <col min="2826" max="2826" width="1.7109375" customWidth="1"/>
    <col min="2827" max="2827" width="11.5703125" customWidth="1"/>
    <col min="2828" max="2828" width="2.85546875" customWidth="1"/>
    <col min="2829" max="2829" width="35.42578125" bestFit="1" customWidth="1"/>
    <col min="2830" max="2830" width="20.140625" customWidth="1"/>
    <col min="3073" max="3073" width="4.85546875" customWidth="1"/>
    <col min="3074" max="3074" width="1.7109375" customWidth="1"/>
    <col min="3075" max="3075" width="46" customWidth="1"/>
    <col min="3076" max="3076" width="1.7109375" customWidth="1"/>
    <col min="3077" max="3077" width="34" customWidth="1"/>
    <col min="3078" max="3078" width="1.7109375" customWidth="1"/>
    <col min="3079" max="3079" width="16" customWidth="1"/>
    <col min="3080" max="3080" width="1.7109375" customWidth="1"/>
    <col min="3081" max="3081" width="14" customWidth="1"/>
    <col min="3082" max="3082" width="1.7109375" customWidth="1"/>
    <col min="3083" max="3083" width="11.5703125" customWidth="1"/>
    <col min="3084" max="3084" width="2.85546875" customWidth="1"/>
    <col min="3085" max="3085" width="35.42578125" bestFit="1" customWidth="1"/>
    <col min="3086" max="3086" width="20.140625" customWidth="1"/>
    <col min="3329" max="3329" width="4.85546875" customWidth="1"/>
    <col min="3330" max="3330" width="1.7109375" customWidth="1"/>
    <col min="3331" max="3331" width="46" customWidth="1"/>
    <col min="3332" max="3332" width="1.7109375" customWidth="1"/>
    <col min="3333" max="3333" width="34" customWidth="1"/>
    <col min="3334" max="3334" width="1.7109375" customWidth="1"/>
    <col min="3335" max="3335" width="16" customWidth="1"/>
    <col min="3336" max="3336" width="1.7109375" customWidth="1"/>
    <col min="3337" max="3337" width="14" customWidth="1"/>
    <col min="3338" max="3338" width="1.7109375" customWidth="1"/>
    <col min="3339" max="3339" width="11.5703125" customWidth="1"/>
    <col min="3340" max="3340" width="2.85546875" customWidth="1"/>
    <col min="3341" max="3341" width="35.42578125" bestFit="1" customWidth="1"/>
    <col min="3342" max="3342" width="20.140625" customWidth="1"/>
    <col min="3585" max="3585" width="4.85546875" customWidth="1"/>
    <col min="3586" max="3586" width="1.7109375" customWidth="1"/>
    <col min="3587" max="3587" width="46" customWidth="1"/>
    <col min="3588" max="3588" width="1.7109375" customWidth="1"/>
    <col min="3589" max="3589" width="34" customWidth="1"/>
    <col min="3590" max="3590" width="1.7109375" customWidth="1"/>
    <col min="3591" max="3591" width="16" customWidth="1"/>
    <col min="3592" max="3592" width="1.7109375" customWidth="1"/>
    <col min="3593" max="3593" width="14" customWidth="1"/>
    <col min="3594" max="3594" width="1.7109375" customWidth="1"/>
    <col min="3595" max="3595" width="11.5703125" customWidth="1"/>
    <col min="3596" max="3596" width="2.85546875" customWidth="1"/>
    <col min="3597" max="3597" width="35.42578125" bestFit="1" customWidth="1"/>
    <col min="3598" max="3598" width="20.140625" customWidth="1"/>
    <col min="3841" max="3841" width="4.85546875" customWidth="1"/>
    <col min="3842" max="3842" width="1.7109375" customWidth="1"/>
    <col min="3843" max="3843" width="46" customWidth="1"/>
    <col min="3844" max="3844" width="1.7109375" customWidth="1"/>
    <col min="3845" max="3845" width="34" customWidth="1"/>
    <col min="3846" max="3846" width="1.7109375" customWidth="1"/>
    <col min="3847" max="3847" width="16" customWidth="1"/>
    <col min="3848" max="3848" width="1.7109375" customWidth="1"/>
    <col min="3849" max="3849" width="14" customWidth="1"/>
    <col min="3850" max="3850" width="1.7109375" customWidth="1"/>
    <col min="3851" max="3851" width="11.5703125" customWidth="1"/>
    <col min="3852" max="3852" width="2.85546875" customWidth="1"/>
    <col min="3853" max="3853" width="35.42578125" bestFit="1" customWidth="1"/>
    <col min="3854" max="3854" width="20.140625" customWidth="1"/>
    <col min="4097" max="4097" width="4.85546875" customWidth="1"/>
    <col min="4098" max="4098" width="1.7109375" customWidth="1"/>
    <col min="4099" max="4099" width="46" customWidth="1"/>
    <col min="4100" max="4100" width="1.7109375" customWidth="1"/>
    <col min="4101" max="4101" width="34" customWidth="1"/>
    <col min="4102" max="4102" width="1.7109375" customWidth="1"/>
    <col min="4103" max="4103" width="16" customWidth="1"/>
    <col min="4104" max="4104" width="1.7109375" customWidth="1"/>
    <col min="4105" max="4105" width="14" customWidth="1"/>
    <col min="4106" max="4106" width="1.7109375" customWidth="1"/>
    <col min="4107" max="4107" width="11.5703125" customWidth="1"/>
    <col min="4108" max="4108" width="2.85546875" customWidth="1"/>
    <col min="4109" max="4109" width="35.42578125" bestFit="1" customWidth="1"/>
    <col min="4110" max="4110" width="20.140625" customWidth="1"/>
    <col min="4353" max="4353" width="4.85546875" customWidth="1"/>
    <col min="4354" max="4354" width="1.7109375" customWidth="1"/>
    <col min="4355" max="4355" width="46" customWidth="1"/>
    <col min="4356" max="4356" width="1.7109375" customWidth="1"/>
    <col min="4357" max="4357" width="34" customWidth="1"/>
    <col min="4358" max="4358" width="1.7109375" customWidth="1"/>
    <col min="4359" max="4359" width="16" customWidth="1"/>
    <col min="4360" max="4360" width="1.7109375" customWidth="1"/>
    <col min="4361" max="4361" width="14" customWidth="1"/>
    <col min="4362" max="4362" width="1.7109375" customWidth="1"/>
    <col min="4363" max="4363" width="11.5703125" customWidth="1"/>
    <col min="4364" max="4364" width="2.85546875" customWidth="1"/>
    <col min="4365" max="4365" width="35.42578125" bestFit="1" customWidth="1"/>
    <col min="4366" max="4366" width="20.140625" customWidth="1"/>
    <col min="4609" max="4609" width="4.85546875" customWidth="1"/>
    <col min="4610" max="4610" width="1.7109375" customWidth="1"/>
    <col min="4611" max="4611" width="46" customWidth="1"/>
    <col min="4612" max="4612" width="1.7109375" customWidth="1"/>
    <col min="4613" max="4613" width="34" customWidth="1"/>
    <col min="4614" max="4614" width="1.7109375" customWidth="1"/>
    <col min="4615" max="4615" width="16" customWidth="1"/>
    <col min="4616" max="4616" width="1.7109375" customWidth="1"/>
    <col min="4617" max="4617" width="14" customWidth="1"/>
    <col min="4618" max="4618" width="1.7109375" customWidth="1"/>
    <col min="4619" max="4619" width="11.5703125" customWidth="1"/>
    <col min="4620" max="4620" width="2.85546875" customWidth="1"/>
    <col min="4621" max="4621" width="35.42578125" bestFit="1" customWidth="1"/>
    <col min="4622" max="4622" width="20.140625" customWidth="1"/>
    <col min="4865" max="4865" width="4.85546875" customWidth="1"/>
    <col min="4866" max="4866" width="1.7109375" customWidth="1"/>
    <col min="4867" max="4867" width="46" customWidth="1"/>
    <col min="4868" max="4868" width="1.7109375" customWidth="1"/>
    <col min="4869" max="4869" width="34" customWidth="1"/>
    <col min="4870" max="4870" width="1.7109375" customWidth="1"/>
    <col min="4871" max="4871" width="16" customWidth="1"/>
    <col min="4872" max="4872" width="1.7109375" customWidth="1"/>
    <col min="4873" max="4873" width="14" customWidth="1"/>
    <col min="4874" max="4874" width="1.7109375" customWidth="1"/>
    <col min="4875" max="4875" width="11.5703125" customWidth="1"/>
    <col min="4876" max="4876" width="2.85546875" customWidth="1"/>
    <col min="4877" max="4877" width="35.42578125" bestFit="1" customWidth="1"/>
    <col min="4878" max="4878" width="20.140625" customWidth="1"/>
    <col min="5121" max="5121" width="4.85546875" customWidth="1"/>
    <col min="5122" max="5122" width="1.7109375" customWidth="1"/>
    <col min="5123" max="5123" width="46" customWidth="1"/>
    <col min="5124" max="5124" width="1.7109375" customWidth="1"/>
    <col min="5125" max="5125" width="34" customWidth="1"/>
    <col min="5126" max="5126" width="1.7109375" customWidth="1"/>
    <col min="5127" max="5127" width="16" customWidth="1"/>
    <col min="5128" max="5128" width="1.7109375" customWidth="1"/>
    <col min="5129" max="5129" width="14" customWidth="1"/>
    <col min="5130" max="5130" width="1.7109375" customWidth="1"/>
    <col min="5131" max="5131" width="11.5703125" customWidth="1"/>
    <col min="5132" max="5132" width="2.85546875" customWidth="1"/>
    <col min="5133" max="5133" width="35.42578125" bestFit="1" customWidth="1"/>
    <col min="5134" max="5134" width="20.140625" customWidth="1"/>
    <col min="5377" max="5377" width="4.85546875" customWidth="1"/>
    <col min="5378" max="5378" width="1.7109375" customWidth="1"/>
    <col min="5379" max="5379" width="46" customWidth="1"/>
    <col min="5380" max="5380" width="1.7109375" customWidth="1"/>
    <col min="5381" max="5381" width="34" customWidth="1"/>
    <col min="5382" max="5382" width="1.7109375" customWidth="1"/>
    <col min="5383" max="5383" width="16" customWidth="1"/>
    <col min="5384" max="5384" width="1.7109375" customWidth="1"/>
    <col min="5385" max="5385" width="14" customWidth="1"/>
    <col min="5386" max="5386" width="1.7109375" customWidth="1"/>
    <col min="5387" max="5387" width="11.5703125" customWidth="1"/>
    <col min="5388" max="5388" width="2.85546875" customWidth="1"/>
    <col min="5389" max="5389" width="35.42578125" bestFit="1" customWidth="1"/>
    <col min="5390" max="5390" width="20.140625" customWidth="1"/>
    <col min="5633" max="5633" width="4.85546875" customWidth="1"/>
    <col min="5634" max="5634" width="1.7109375" customWidth="1"/>
    <col min="5635" max="5635" width="46" customWidth="1"/>
    <col min="5636" max="5636" width="1.7109375" customWidth="1"/>
    <col min="5637" max="5637" width="34" customWidth="1"/>
    <col min="5638" max="5638" width="1.7109375" customWidth="1"/>
    <col min="5639" max="5639" width="16" customWidth="1"/>
    <col min="5640" max="5640" width="1.7109375" customWidth="1"/>
    <col min="5641" max="5641" width="14" customWidth="1"/>
    <col min="5642" max="5642" width="1.7109375" customWidth="1"/>
    <col min="5643" max="5643" width="11.5703125" customWidth="1"/>
    <col min="5644" max="5644" width="2.85546875" customWidth="1"/>
    <col min="5645" max="5645" width="35.42578125" bestFit="1" customWidth="1"/>
    <col min="5646" max="5646" width="20.140625" customWidth="1"/>
    <col min="5889" max="5889" width="4.85546875" customWidth="1"/>
    <col min="5890" max="5890" width="1.7109375" customWidth="1"/>
    <col min="5891" max="5891" width="46" customWidth="1"/>
    <col min="5892" max="5892" width="1.7109375" customWidth="1"/>
    <col min="5893" max="5893" width="34" customWidth="1"/>
    <col min="5894" max="5894" width="1.7109375" customWidth="1"/>
    <col min="5895" max="5895" width="16" customWidth="1"/>
    <col min="5896" max="5896" width="1.7109375" customWidth="1"/>
    <col min="5897" max="5897" width="14" customWidth="1"/>
    <col min="5898" max="5898" width="1.7109375" customWidth="1"/>
    <col min="5899" max="5899" width="11.5703125" customWidth="1"/>
    <col min="5900" max="5900" width="2.85546875" customWidth="1"/>
    <col min="5901" max="5901" width="35.42578125" bestFit="1" customWidth="1"/>
    <col min="5902" max="5902" width="20.140625" customWidth="1"/>
    <col min="6145" max="6145" width="4.85546875" customWidth="1"/>
    <col min="6146" max="6146" width="1.7109375" customWidth="1"/>
    <col min="6147" max="6147" width="46" customWidth="1"/>
    <col min="6148" max="6148" width="1.7109375" customWidth="1"/>
    <col min="6149" max="6149" width="34" customWidth="1"/>
    <col min="6150" max="6150" width="1.7109375" customWidth="1"/>
    <col min="6151" max="6151" width="16" customWidth="1"/>
    <col min="6152" max="6152" width="1.7109375" customWidth="1"/>
    <col min="6153" max="6153" width="14" customWidth="1"/>
    <col min="6154" max="6154" width="1.7109375" customWidth="1"/>
    <col min="6155" max="6155" width="11.5703125" customWidth="1"/>
    <col min="6156" max="6156" width="2.85546875" customWidth="1"/>
    <col min="6157" max="6157" width="35.42578125" bestFit="1" customWidth="1"/>
    <col min="6158" max="6158" width="20.140625" customWidth="1"/>
    <col min="6401" max="6401" width="4.85546875" customWidth="1"/>
    <col min="6402" max="6402" width="1.7109375" customWidth="1"/>
    <col min="6403" max="6403" width="46" customWidth="1"/>
    <col min="6404" max="6404" width="1.7109375" customWidth="1"/>
    <col min="6405" max="6405" width="34" customWidth="1"/>
    <col min="6406" max="6406" width="1.7109375" customWidth="1"/>
    <col min="6407" max="6407" width="16" customWidth="1"/>
    <col min="6408" max="6408" width="1.7109375" customWidth="1"/>
    <col min="6409" max="6409" width="14" customWidth="1"/>
    <col min="6410" max="6410" width="1.7109375" customWidth="1"/>
    <col min="6411" max="6411" width="11.5703125" customWidth="1"/>
    <col min="6412" max="6412" width="2.85546875" customWidth="1"/>
    <col min="6413" max="6413" width="35.42578125" bestFit="1" customWidth="1"/>
    <col min="6414" max="6414" width="20.140625" customWidth="1"/>
    <col min="6657" max="6657" width="4.85546875" customWidth="1"/>
    <col min="6658" max="6658" width="1.7109375" customWidth="1"/>
    <col min="6659" max="6659" width="46" customWidth="1"/>
    <col min="6660" max="6660" width="1.7109375" customWidth="1"/>
    <col min="6661" max="6661" width="34" customWidth="1"/>
    <col min="6662" max="6662" width="1.7109375" customWidth="1"/>
    <col min="6663" max="6663" width="16" customWidth="1"/>
    <col min="6664" max="6664" width="1.7109375" customWidth="1"/>
    <col min="6665" max="6665" width="14" customWidth="1"/>
    <col min="6666" max="6666" width="1.7109375" customWidth="1"/>
    <col min="6667" max="6667" width="11.5703125" customWidth="1"/>
    <col min="6668" max="6668" width="2.85546875" customWidth="1"/>
    <col min="6669" max="6669" width="35.42578125" bestFit="1" customWidth="1"/>
    <col min="6670" max="6670" width="20.140625" customWidth="1"/>
    <col min="6913" max="6913" width="4.85546875" customWidth="1"/>
    <col min="6914" max="6914" width="1.7109375" customWidth="1"/>
    <col min="6915" max="6915" width="46" customWidth="1"/>
    <col min="6916" max="6916" width="1.7109375" customWidth="1"/>
    <col min="6917" max="6917" width="34" customWidth="1"/>
    <col min="6918" max="6918" width="1.7109375" customWidth="1"/>
    <col min="6919" max="6919" width="16" customWidth="1"/>
    <col min="6920" max="6920" width="1.7109375" customWidth="1"/>
    <col min="6921" max="6921" width="14" customWidth="1"/>
    <col min="6922" max="6922" width="1.7109375" customWidth="1"/>
    <col min="6923" max="6923" width="11.5703125" customWidth="1"/>
    <col min="6924" max="6924" width="2.85546875" customWidth="1"/>
    <col min="6925" max="6925" width="35.42578125" bestFit="1" customWidth="1"/>
    <col min="6926" max="6926" width="20.140625" customWidth="1"/>
    <col min="7169" max="7169" width="4.85546875" customWidth="1"/>
    <col min="7170" max="7170" width="1.7109375" customWidth="1"/>
    <col min="7171" max="7171" width="46" customWidth="1"/>
    <col min="7172" max="7172" width="1.7109375" customWidth="1"/>
    <col min="7173" max="7173" width="34" customWidth="1"/>
    <col min="7174" max="7174" width="1.7109375" customWidth="1"/>
    <col min="7175" max="7175" width="16" customWidth="1"/>
    <col min="7176" max="7176" width="1.7109375" customWidth="1"/>
    <col min="7177" max="7177" width="14" customWidth="1"/>
    <col min="7178" max="7178" width="1.7109375" customWidth="1"/>
    <col min="7179" max="7179" width="11.5703125" customWidth="1"/>
    <col min="7180" max="7180" width="2.85546875" customWidth="1"/>
    <col min="7181" max="7181" width="35.42578125" bestFit="1" customWidth="1"/>
    <col min="7182" max="7182" width="20.140625" customWidth="1"/>
    <col min="7425" max="7425" width="4.85546875" customWidth="1"/>
    <col min="7426" max="7426" width="1.7109375" customWidth="1"/>
    <col min="7427" max="7427" width="46" customWidth="1"/>
    <col min="7428" max="7428" width="1.7109375" customWidth="1"/>
    <col min="7429" max="7429" width="34" customWidth="1"/>
    <col min="7430" max="7430" width="1.7109375" customWidth="1"/>
    <col min="7431" max="7431" width="16" customWidth="1"/>
    <col min="7432" max="7432" width="1.7109375" customWidth="1"/>
    <col min="7433" max="7433" width="14" customWidth="1"/>
    <col min="7434" max="7434" width="1.7109375" customWidth="1"/>
    <col min="7435" max="7435" width="11.5703125" customWidth="1"/>
    <col min="7436" max="7436" width="2.85546875" customWidth="1"/>
    <col min="7437" max="7437" width="35.42578125" bestFit="1" customWidth="1"/>
    <col min="7438" max="7438" width="20.140625" customWidth="1"/>
    <col min="7681" max="7681" width="4.85546875" customWidth="1"/>
    <col min="7682" max="7682" width="1.7109375" customWidth="1"/>
    <col min="7683" max="7683" width="46" customWidth="1"/>
    <col min="7684" max="7684" width="1.7109375" customWidth="1"/>
    <col min="7685" max="7685" width="34" customWidth="1"/>
    <col min="7686" max="7686" width="1.7109375" customWidth="1"/>
    <col min="7687" max="7687" width="16" customWidth="1"/>
    <col min="7688" max="7688" width="1.7109375" customWidth="1"/>
    <col min="7689" max="7689" width="14" customWidth="1"/>
    <col min="7690" max="7690" width="1.7109375" customWidth="1"/>
    <col min="7691" max="7691" width="11.5703125" customWidth="1"/>
    <col min="7692" max="7692" width="2.85546875" customWidth="1"/>
    <col min="7693" max="7693" width="35.42578125" bestFit="1" customWidth="1"/>
    <col min="7694" max="7694" width="20.140625" customWidth="1"/>
    <col min="7937" max="7937" width="4.85546875" customWidth="1"/>
    <col min="7938" max="7938" width="1.7109375" customWidth="1"/>
    <col min="7939" max="7939" width="46" customWidth="1"/>
    <col min="7940" max="7940" width="1.7109375" customWidth="1"/>
    <col min="7941" max="7941" width="34" customWidth="1"/>
    <col min="7942" max="7942" width="1.7109375" customWidth="1"/>
    <col min="7943" max="7943" width="16" customWidth="1"/>
    <col min="7944" max="7944" width="1.7109375" customWidth="1"/>
    <col min="7945" max="7945" width="14" customWidth="1"/>
    <col min="7946" max="7946" width="1.7109375" customWidth="1"/>
    <col min="7947" max="7947" width="11.5703125" customWidth="1"/>
    <col min="7948" max="7948" width="2.85546875" customWidth="1"/>
    <col min="7949" max="7949" width="35.42578125" bestFit="1" customWidth="1"/>
    <col min="7950" max="7950" width="20.140625" customWidth="1"/>
    <col min="8193" max="8193" width="4.85546875" customWidth="1"/>
    <col min="8194" max="8194" width="1.7109375" customWidth="1"/>
    <col min="8195" max="8195" width="46" customWidth="1"/>
    <col min="8196" max="8196" width="1.7109375" customWidth="1"/>
    <col min="8197" max="8197" width="34" customWidth="1"/>
    <col min="8198" max="8198" width="1.7109375" customWidth="1"/>
    <col min="8199" max="8199" width="16" customWidth="1"/>
    <col min="8200" max="8200" width="1.7109375" customWidth="1"/>
    <col min="8201" max="8201" width="14" customWidth="1"/>
    <col min="8202" max="8202" width="1.7109375" customWidth="1"/>
    <col min="8203" max="8203" width="11.5703125" customWidth="1"/>
    <col min="8204" max="8204" width="2.85546875" customWidth="1"/>
    <col min="8205" max="8205" width="35.42578125" bestFit="1" customWidth="1"/>
    <col min="8206" max="8206" width="20.140625" customWidth="1"/>
    <col min="8449" max="8449" width="4.85546875" customWidth="1"/>
    <col min="8450" max="8450" width="1.7109375" customWidth="1"/>
    <col min="8451" max="8451" width="46" customWidth="1"/>
    <col min="8452" max="8452" width="1.7109375" customWidth="1"/>
    <col min="8453" max="8453" width="34" customWidth="1"/>
    <col min="8454" max="8454" width="1.7109375" customWidth="1"/>
    <col min="8455" max="8455" width="16" customWidth="1"/>
    <col min="8456" max="8456" width="1.7109375" customWidth="1"/>
    <col min="8457" max="8457" width="14" customWidth="1"/>
    <col min="8458" max="8458" width="1.7109375" customWidth="1"/>
    <col min="8459" max="8459" width="11.5703125" customWidth="1"/>
    <col min="8460" max="8460" width="2.85546875" customWidth="1"/>
    <col min="8461" max="8461" width="35.42578125" bestFit="1" customWidth="1"/>
    <col min="8462" max="8462" width="20.140625" customWidth="1"/>
    <col min="8705" max="8705" width="4.85546875" customWidth="1"/>
    <col min="8706" max="8706" width="1.7109375" customWidth="1"/>
    <col min="8707" max="8707" width="46" customWidth="1"/>
    <col min="8708" max="8708" width="1.7109375" customWidth="1"/>
    <col min="8709" max="8709" width="34" customWidth="1"/>
    <col min="8710" max="8710" width="1.7109375" customWidth="1"/>
    <col min="8711" max="8711" width="16" customWidth="1"/>
    <col min="8712" max="8712" width="1.7109375" customWidth="1"/>
    <col min="8713" max="8713" width="14" customWidth="1"/>
    <col min="8714" max="8714" width="1.7109375" customWidth="1"/>
    <col min="8715" max="8715" width="11.5703125" customWidth="1"/>
    <col min="8716" max="8716" width="2.85546875" customWidth="1"/>
    <col min="8717" max="8717" width="35.42578125" bestFit="1" customWidth="1"/>
    <col min="8718" max="8718" width="20.140625" customWidth="1"/>
    <col min="8961" max="8961" width="4.85546875" customWidth="1"/>
    <col min="8962" max="8962" width="1.7109375" customWidth="1"/>
    <col min="8963" max="8963" width="46" customWidth="1"/>
    <col min="8964" max="8964" width="1.7109375" customWidth="1"/>
    <col min="8965" max="8965" width="34" customWidth="1"/>
    <col min="8966" max="8966" width="1.7109375" customWidth="1"/>
    <col min="8967" max="8967" width="16" customWidth="1"/>
    <col min="8968" max="8968" width="1.7109375" customWidth="1"/>
    <col min="8969" max="8969" width="14" customWidth="1"/>
    <col min="8970" max="8970" width="1.7109375" customWidth="1"/>
    <col min="8971" max="8971" width="11.5703125" customWidth="1"/>
    <col min="8972" max="8972" width="2.85546875" customWidth="1"/>
    <col min="8973" max="8973" width="35.42578125" bestFit="1" customWidth="1"/>
    <col min="8974" max="8974" width="20.140625" customWidth="1"/>
    <col min="9217" max="9217" width="4.85546875" customWidth="1"/>
    <col min="9218" max="9218" width="1.7109375" customWidth="1"/>
    <col min="9219" max="9219" width="46" customWidth="1"/>
    <col min="9220" max="9220" width="1.7109375" customWidth="1"/>
    <col min="9221" max="9221" width="34" customWidth="1"/>
    <col min="9222" max="9222" width="1.7109375" customWidth="1"/>
    <col min="9223" max="9223" width="16" customWidth="1"/>
    <col min="9224" max="9224" width="1.7109375" customWidth="1"/>
    <col min="9225" max="9225" width="14" customWidth="1"/>
    <col min="9226" max="9226" width="1.7109375" customWidth="1"/>
    <col min="9227" max="9227" width="11.5703125" customWidth="1"/>
    <col min="9228" max="9228" width="2.85546875" customWidth="1"/>
    <col min="9229" max="9229" width="35.42578125" bestFit="1" customWidth="1"/>
    <col min="9230" max="9230" width="20.140625" customWidth="1"/>
    <col min="9473" max="9473" width="4.85546875" customWidth="1"/>
    <col min="9474" max="9474" width="1.7109375" customWidth="1"/>
    <col min="9475" max="9475" width="46" customWidth="1"/>
    <col min="9476" max="9476" width="1.7109375" customWidth="1"/>
    <col min="9477" max="9477" width="34" customWidth="1"/>
    <col min="9478" max="9478" width="1.7109375" customWidth="1"/>
    <col min="9479" max="9479" width="16" customWidth="1"/>
    <col min="9480" max="9480" width="1.7109375" customWidth="1"/>
    <col min="9481" max="9481" width="14" customWidth="1"/>
    <col min="9482" max="9482" width="1.7109375" customWidth="1"/>
    <col min="9483" max="9483" width="11.5703125" customWidth="1"/>
    <col min="9484" max="9484" width="2.85546875" customWidth="1"/>
    <col min="9485" max="9485" width="35.42578125" bestFit="1" customWidth="1"/>
    <col min="9486" max="9486" width="20.140625" customWidth="1"/>
    <col min="9729" max="9729" width="4.85546875" customWidth="1"/>
    <col min="9730" max="9730" width="1.7109375" customWidth="1"/>
    <col min="9731" max="9731" width="46" customWidth="1"/>
    <col min="9732" max="9732" width="1.7109375" customWidth="1"/>
    <col min="9733" max="9733" width="34" customWidth="1"/>
    <col min="9734" max="9734" width="1.7109375" customWidth="1"/>
    <col min="9735" max="9735" width="16" customWidth="1"/>
    <col min="9736" max="9736" width="1.7109375" customWidth="1"/>
    <col min="9737" max="9737" width="14" customWidth="1"/>
    <col min="9738" max="9738" width="1.7109375" customWidth="1"/>
    <col min="9739" max="9739" width="11.5703125" customWidth="1"/>
    <col min="9740" max="9740" width="2.85546875" customWidth="1"/>
    <col min="9741" max="9741" width="35.42578125" bestFit="1" customWidth="1"/>
    <col min="9742" max="9742" width="20.140625" customWidth="1"/>
    <col min="9985" max="9985" width="4.85546875" customWidth="1"/>
    <col min="9986" max="9986" width="1.7109375" customWidth="1"/>
    <col min="9987" max="9987" width="46" customWidth="1"/>
    <col min="9988" max="9988" width="1.7109375" customWidth="1"/>
    <col min="9989" max="9989" width="34" customWidth="1"/>
    <col min="9990" max="9990" width="1.7109375" customWidth="1"/>
    <col min="9991" max="9991" width="16" customWidth="1"/>
    <col min="9992" max="9992" width="1.7109375" customWidth="1"/>
    <col min="9993" max="9993" width="14" customWidth="1"/>
    <col min="9994" max="9994" width="1.7109375" customWidth="1"/>
    <col min="9995" max="9995" width="11.5703125" customWidth="1"/>
    <col min="9996" max="9996" width="2.85546875" customWidth="1"/>
    <col min="9997" max="9997" width="35.42578125" bestFit="1" customWidth="1"/>
    <col min="9998" max="9998" width="20.140625" customWidth="1"/>
    <col min="10241" max="10241" width="4.85546875" customWidth="1"/>
    <col min="10242" max="10242" width="1.7109375" customWidth="1"/>
    <col min="10243" max="10243" width="46" customWidth="1"/>
    <col min="10244" max="10244" width="1.7109375" customWidth="1"/>
    <col min="10245" max="10245" width="34" customWidth="1"/>
    <col min="10246" max="10246" width="1.7109375" customWidth="1"/>
    <col min="10247" max="10247" width="16" customWidth="1"/>
    <col min="10248" max="10248" width="1.7109375" customWidth="1"/>
    <col min="10249" max="10249" width="14" customWidth="1"/>
    <col min="10250" max="10250" width="1.7109375" customWidth="1"/>
    <col min="10251" max="10251" width="11.5703125" customWidth="1"/>
    <col min="10252" max="10252" width="2.85546875" customWidth="1"/>
    <col min="10253" max="10253" width="35.42578125" bestFit="1" customWidth="1"/>
    <col min="10254" max="10254" width="20.140625" customWidth="1"/>
    <col min="10497" max="10497" width="4.85546875" customWidth="1"/>
    <col min="10498" max="10498" width="1.7109375" customWidth="1"/>
    <col min="10499" max="10499" width="46" customWidth="1"/>
    <col min="10500" max="10500" width="1.7109375" customWidth="1"/>
    <col min="10501" max="10501" width="34" customWidth="1"/>
    <col min="10502" max="10502" width="1.7109375" customWidth="1"/>
    <col min="10503" max="10503" width="16" customWidth="1"/>
    <col min="10504" max="10504" width="1.7109375" customWidth="1"/>
    <col min="10505" max="10505" width="14" customWidth="1"/>
    <col min="10506" max="10506" width="1.7109375" customWidth="1"/>
    <col min="10507" max="10507" width="11.5703125" customWidth="1"/>
    <col min="10508" max="10508" width="2.85546875" customWidth="1"/>
    <col min="10509" max="10509" width="35.42578125" bestFit="1" customWidth="1"/>
    <col min="10510" max="10510" width="20.140625" customWidth="1"/>
    <col min="10753" max="10753" width="4.85546875" customWidth="1"/>
    <col min="10754" max="10754" width="1.7109375" customWidth="1"/>
    <col min="10755" max="10755" width="46" customWidth="1"/>
    <col min="10756" max="10756" width="1.7109375" customWidth="1"/>
    <col min="10757" max="10757" width="34" customWidth="1"/>
    <col min="10758" max="10758" width="1.7109375" customWidth="1"/>
    <col min="10759" max="10759" width="16" customWidth="1"/>
    <col min="10760" max="10760" width="1.7109375" customWidth="1"/>
    <col min="10761" max="10761" width="14" customWidth="1"/>
    <col min="10762" max="10762" width="1.7109375" customWidth="1"/>
    <col min="10763" max="10763" width="11.5703125" customWidth="1"/>
    <col min="10764" max="10764" width="2.85546875" customWidth="1"/>
    <col min="10765" max="10765" width="35.42578125" bestFit="1" customWidth="1"/>
    <col min="10766" max="10766" width="20.140625" customWidth="1"/>
    <col min="11009" max="11009" width="4.85546875" customWidth="1"/>
    <col min="11010" max="11010" width="1.7109375" customWidth="1"/>
    <col min="11011" max="11011" width="46" customWidth="1"/>
    <col min="11012" max="11012" width="1.7109375" customWidth="1"/>
    <col min="11013" max="11013" width="34" customWidth="1"/>
    <col min="11014" max="11014" width="1.7109375" customWidth="1"/>
    <col min="11015" max="11015" width="16" customWidth="1"/>
    <col min="11016" max="11016" width="1.7109375" customWidth="1"/>
    <col min="11017" max="11017" width="14" customWidth="1"/>
    <col min="11018" max="11018" width="1.7109375" customWidth="1"/>
    <col min="11019" max="11019" width="11.5703125" customWidth="1"/>
    <col min="11020" max="11020" width="2.85546875" customWidth="1"/>
    <col min="11021" max="11021" width="35.42578125" bestFit="1" customWidth="1"/>
    <col min="11022" max="11022" width="20.140625" customWidth="1"/>
    <col min="11265" max="11265" width="4.85546875" customWidth="1"/>
    <col min="11266" max="11266" width="1.7109375" customWidth="1"/>
    <col min="11267" max="11267" width="46" customWidth="1"/>
    <col min="11268" max="11268" width="1.7109375" customWidth="1"/>
    <col min="11269" max="11269" width="34" customWidth="1"/>
    <col min="11270" max="11270" width="1.7109375" customWidth="1"/>
    <col min="11271" max="11271" width="16" customWidth="1"/>
    <col min="11272" max="11272" width="1.7109375" customWidth="1"/>
    <col min="11273" max="11273" width="14" customWidth="1"/>
    <col min="11274" max="11274" width="1.7109375" customWidth="1"/>
    <col min="11275" max="11275" width="11.5703125" customWidth="1"/>
    <col min="11276" max="11276" width="2.85546875" customWidth="1"/>
    <col min="11277" max="11277" width="35.42578125" bestFit="1" customWidth="1"/>
    <col min="11278" max="11278" width="20.140625" customWidth="1"/>
    <col min="11521" max="11521" width="4.85546875" customWidth="1"/>
    <col min="11522" max="11522" width="1.7109375" customWidth="1"/>
    <col min="11523" max="11523" width="46" customWidth="1"/>
    <col min="11524" max="11524" width="1.7109375" customWidth="1"/>
    <col min="11525" max="11525" width="34" customWidth="1"/>
    <col min="11526" max="11526" width="1.7109375" customWidth="1"/>
    <col min="11527" max="11527" width="16" customWidth="1"/>
    <col min="11528" max="11528" width="1.7109375" customWidth="1"/>
    <col min="11529" max="11529" width="14" customWidth="1"/>
    <col min="11530" max="11530" width="1.7109375" customWidth="1"/>
    <col min="11531" max="11531" width="11.5703125" customWidth="1"/>
    <col min="11532" max="11532" width="2.85546875" customWidth="1"/>
    <col min="11533" max="11533" width="35.42578125" bestFit="1" customWidth="1"/>
    <col min="11534" max="11534" width="20.140625" customWidth="1"/>
    <col min="11777" max="11777" width="4.85546875" customWidth="1"/>
    <col min="11778" max="11778" width="1.7109375" customWidth="1"/>
    <col min="11779" max="11779" width="46" customWidth="1"/>
    <col min="11780" max="11780" width="1.7109375" customWidth="1"/>
    <col min="11781" max="11781" width="34" customWidth="1"/>
    <col min="11782" max="11782" width="1.7109375" customWidth="1"/>
    <col min="11783" max="11783" width="16" customWidth="1"/>
    <col min="11784" max="11784" width="1.7109375" customWidth="1"/>
    <col min="11785" max="11785" width="14" customWidth="1"/>
    <col min="11786" max="11786" width="1.7109375" customWidth="1"/>
    <col min="11787" max="11787" width="11.5703125" customWidth="1"/>
    <col min="11788" max="11788" width="2.85546875" customWidth="1"/>
    <col min="11789" max="11789" width="35.42578125" bestFit="1" customWidth="1"/>
    <col min="11790" max="11790" width="20.140625" customWidth="1"/>
    <col min="12033" max="12033" width="4.85546875" customWidth="1"/>
    <col min="12034" max="12034" width="1.7109375" customWidth="1"/>
    <col min="12035" max="12035" width="46" customWidth="1"/>
    <col min="12036" max="12036" width="1.7109375" customWidth="1"/>
    <col min="12037" max="12037" width="34" customWidth="1"/>
    <col min="12038" max="12038" width="1.7109375" customWidth="1"/>
    <col min="12039" max="12039" width="16" customWidth="1"/>
    <col min="12040" max="12040" width="1.7109375" customWidth="1"/>
    <col min="12041" max="12041" width="14" customWidth="1"/>
    <col min="12042" max="12042" width="1.7109375" customWidth="1"/>
    <col min="12043" max="12043" width="11.5703125" customWidth="1"/>
    <col min="12044" max="12044" width="2.85546875" customWidth="1"/>
    <col min="12045" max="12045" width="35.42578125" bestFit="1" customWidth="1"/>
    <col min="12046" max="12046" width="20.140625" customWidth="1"/>
    <col min="12289" max="12289" width="4.85546875" customWidth="1"/>
    <col min="12290" max="12290" width="1.7109375" customWidth="1"/>
    <col min="12291" max="12291" width="46" customWidth="1"/>
    <col min="12292" max="12292" width="1.7109375" customWidth="1"/>
    <col min="12293" max="12293" width="34" customWidth="1"/>
    <col min="12294" max="12294" width="1.7109375" customWidth="1"/>
    <col min="12295" max="12295" width="16" customWidth="1"/>
    <col min="12296" max="12296" width="1.7109375" customWidth="1"/>
    <col min="12297" max="12297" width="14" customWidth="1"/>
    <col min="12298" max="12298" width="1.7109375" customWidth="1"/>
    <col min="12299" max="12299" width="11.5703125" customWidth="1"/>
    <col min="12300" max="12300" width="2.85546875" customWidth="1"/>
    <col min="12301" max="12301" width="35.42578125" bestFit="1" customWidth="1"/>
    <col min="12302" max="12302" width="20.140625" customWidth="1"/>
    <col min="12545" max="12545" width="4.85546875" customWidth="1"/>
    <col min="12546" max="12546" width="1.7109375" customWidth="1"/>
    <col min="12547" max="12547" width="46" customWidth="1"/>
    <col min="12548" max="12548" width="1.7109375" customWidth="1"/>
    <col min="12549" max="12549" width="34" customWidth="1"/>
    <col min="12550" max="12550" width="1.7109375" customWidth="1"/>
    <col min="12551" max="12551" width="16" customWidth="1"/>
    <col min="12552" max="12552" width="1.7109375" customWidth="1"/>
    <col min="12553" max="12553" width="14" customWidth="1"/>
    <col min="12554" max="12554" width="1.7109375" customWidth="1"/>
    <col min="12555" max="12555" width="11.5703125" customWidth="1"/>
    <col min="12556" max="12556" width="2.85546875" customWidth="1"/>
    <col min="12557" max="12557" width="35.42578125" bestFit="1" customWidth="1"/>
    <col min="12558" max="12558" width="20.140625" customWidth="1"/>
    <col min="12801" max="12801" width="4.85546875" customWidth="1"/>
    <col min="12802" max="12802" width="1.7109375" customWidth="1"/>
    <col min="12803" max="12803" width="46" customWidth="1"/>
    <col min="12804" max="12804" width="1.7109375" customWidth="1"/>
    <col min="12805" max="12805" width="34" customWidth="1"/>
    <col min="12806" max="12806" width="1.7109375" customWidth="1"/>
    <col min="12807" max="12807" width="16" customWidth="1"/>
    <col min="12808" max="12808" width="1.7109375" customWidth="1"/>
    <col min="12809" max="12809" width="14" customWidth="1"/>
    <col min="12810" max="12810" width="1.7109375" customWidth="1"/>
    <col min="12811" max="12811" width="11.5703125" customWidth="1"/>
    <col min="12812" max="12812" width="2.85546875" customWidth="1"/>
    <col min="12813" max="12813" width="35.42578125" bestFit="1" customWidth="1"/>
    <col min="12814" max="12814" width="20.140625" customWidth="1"/>
    <col min="13057" max="13057" width="4.85546875" customWidth="1"/>
    <col min="13058" max="13058" width="1.7109375" customWidth="1"/>
    <col min="13059" max="13059" width="46" customWidth="1"/>
    <col min="13060" max="13060" width="1.7109375" customWidth="1"/>
    <col min="13061" max="13061" width="34" customWidth="1"/>
    <col min="13062" max="13062" width="1.7109375" customWidth="1"/>
    <col min="13063" max="13063" width="16" customWidth="1"/>
    <col min="13064" max="13064" width="1.7109375" customWidth="1"/>
    <col min="13065" max="13065" width="14" customWidth="1"/>
    <col min="13066" max="13066" width="1.7109375" customWidth="1"/>
    <col min="13067" max="13067" width="11.5703125" customWidth="1"/>
    <col min="13068" max="13068" width="2.85546875" customWidth="1"/>
    <col min="13069" max="13069" width="35.42578125" bestFit="1" customWidth="1"/>
    <col min="13070" max="13070" width="20.140625" customWidth="1"/>
    <col min="13313" max="13313" width="4.85546875" customWidth="1"/>
    <col min="13314" max="13314" width="1.7109375" customWidth="1"/>
    <col min="13315" max="13315" width="46" customWidth="1"/>
    <col min="13316" max="13316" width="1.7109375" customWidth="1"/>
    <col min="13317" max="13317" width="34" customWidth="1"/>
    <col min="13318" max="13318" width="1.7109375" customWidth="1"/>
    <col min="13319" max="13319" width="16" customWidth="1"/>
    <col min="13320" max="13320" width="1.7109375" customWidth="1"/>
    <col min="13321" max="13321" width="14" customWidth="1"/>
    <col min="13322" max="13322" width="1.7109375" customWidth="1"/>
    <col min="13323" max="13323" width="11.5703125" customWidth="1"/>
    <col min="13324" max="13324" width="2.85546875" customWidth="1"/>
    <col min="13325" max="13325" width="35.42578125" bestFit="1" customWidth="1"/>
    <col min="13326" max="13326" width="20.140625" customWidth="1"/>
    <col min="13569" max="13569" width="4.85546875" customWidth="1"/>
    <col min="13570" max="13570" width="1.7109375" customWidth="1"/>
    <col min="13571" max="13571" width="46" customWidth="1"/>
    <col min="13572" max="13572" width="1.7109375" customWidth="1"/>
    <col min="13573" max="13573" width="34" customWidth="1"/>
    <col min="13574" max="13574" width="1.7109375" customWidth="1"/>
    <col min="13575" max="13575" width="16" customWidth="1"/>
    <col min="13576" max="13576" width="1.7109375" customWidth="1"/>
    <col min="13577" max="13577" width="14" customWidth="1"/>
    <col min="13578" max="13578" width="1.7109375" customWidth="1"/>
    <col min="13579" max="13579" width="11.5703125" customWidth="1"/>
    <col min="13580" max="13580" width="2.85546875" customWidth="1"/>
    <col min="13581" max="13581" width="35.42578125" bestFit="1" customWidth="1"/>
    <col min="13582" max="13582" width="20.140625" customWidth="1"/>
    <col min="13825" max="13825" width="4.85546875" customWidth="1"/>
    <col min="13826" max="13826" width="1.7109375" customWidth="1"/>
    <col min="13827" max="13827" width="46" customWidth="1"/>
    <col min="13828" max="13828" width="1.7109375" customWidth="1"/>
    <col min="13829" max="13829" width="34" customWidth="1"/>
    <col min="13830" max="13830" width="1.7109375" customWidth="1"/>
    <col min="13831" max="13831" width="16" customWidth="1"/>
    <col min="13832" max="13832" width="1.7109375" customWidth="1"/>
    <col min="13833" max="13833" width="14" customWidth="1"/>
    <col min="13834" max="13834" width="1.7109375" customWidth="1"/>
    <col min="13835" max="13835" width="11.5703125" customWidth="1"/>
    <col min="13836" max="13836" width="2.85546875" customWidth="1"/>
    <col min="13837" max="13837" width="35.42578125" bestFit="1" customWidth="1"/>
    <col min="13838" max="13838" width="20.140625" customWidth="1"/>
    <col min="14081" max="14081" width="4.85546875" customWidth="1"/>
    <col min="14082" max="14082" width="1.7109375" customWidth="1"/>
    <col min="14083" max="14083" width="46" customWidth="1"/>
    <col min="14084" max="14084" width="1.7109375" customWidth="1"/>
    <col min="14085" max="14085" width="34" customWidth="1"/>
    <col min="14086" max="14086" width="1.7109375" customWidth="1"/>
    <col min="14087" max="14087" width="16" customWidth="1"/>
    <col min="14088" max="14088" width="1.7109375" customWidth="1"/>
    <col min="14089" max="14089" width="14" customWidth="1"/>
    <col min="14090" max="14090" width="1.7109375" customWidth="1"/>
    <col min="14091" max="14091" width="11.5703125" customWidth="1"/>
    <col min="14092" max="14092" width="2.85546875" customWidth="1"/>
    <col min="14093" max="14093" width="35.42578125" bestFit="1" customWidth="1"/>
    <col min="14094" max="14094" width="20.140625" customWidth="1"/>
    <col min="14337" max="14337" width="4.85546875" customWidth="1"/>
    <col min="14338" max="14338" width="1.7109375" customWidth="1"/>
    <col min="14339" max="14339" width="46" customWidth="1"/>
    <col min="14340" max="14340" width="1.7109375" customWidth="1"/>
    <col min="14341" max="14341" width="34" customWidth="1"/>
    <col min="14342" max="14342" width="1.7109375" customWidth="1"/>
    <col min="14343" max="14343" width="16" customWidth="1"/>
    <col min="14344" max="14344" width="1.7109375" customWidth="1"/>
    <col min="14345" max="14345" width="14" customWidth="1"/>
    <col min="14346" max="14346" width="1.7109375" customWidth="1"/>
    <col min="14347" max="14347" width="11.5703125" customWidth="1"/>
    <col min="14348" max="14348" width="2.85546875" customWidth="1"/>
    <col min="14349" max="14349" width="35.42578125" bestFit="1" customWidth="1"/>
    <col min="14350" max="14350" width="20.140625" customWidth="1"/>
    <col min="14593" max="14593" width="4.85546875" customWidth="1"/>
    <col min="14594" max="14594" width="1.7109375" customWidth="1"/>
    <col min="14595" max="14595" width="46" customWidth="1"/>
    <col min="14596" max="14596" width="1.7109375" customWidth="1"/>
    <col min="14597" max="14597" width="34" customWidth="1"/>
    <col min="14598" max="14598" width="1.7109375" customWidth="1"/>
    <col min="14599" max="14599" width="16" customWidth="1"/>
    <col min="14600" max="14600" width="1.7109375" customWidth="1"/>
    <col min="14601" max="14601" width="14" customWidth="1"/>
    <col min="14602" max="14602" width="1.7109375" customWidth="1"/>
    <col min="14603" max="14603" width="11.5703125" customWidth="1"/>
    <col min="14604" max="14604" width="2.85546875" customWidth="1"/>
    <col min="14605" max="14605" width="35.42578125" bestFit="1" customWidth="1"/>
    <col min="14606" max="14606" width="20.140625" customWidth="1"/>
    <col min="14849" max="14849" width="4.85546875" customWidth="1"/>
    <col min="14850" max="14850" width="1.7109375" customWidth="1"/>
    <col min="14851" max="14851" width="46" customWidth="1"/>
    <col min="14852" max="14852" width="1.7109375" customWidth="1"/>
    <col min="14853" max="14853" width="34" customWidth="1"/>
    <col min="14854" max="14854" width="1.7109375" customWidth="1"/>
    <col min="14855" max="14855" width="16" customWidth="1"/>
    <col min="14856" max="14856" width="1.7109375" customWidth="1"/>
    <col min="14857" max="14857" width="14" customWidth="1"/>
    <col min="14858" max="14858" width="1.7109375" customWidth="1"/>
    <col min="14859" max="14859" width="11.5703125" customWidth="1"/>
    <col min="14860" max="14860" width="2.85546875" customWidth="1"/>
    <col min="14861" max="14861" width="35.42578125" bestFit="1" customWidth="1"/>
    <col min="14862" max="14862" width="20.140625" customWidth="1"/>
    <col min="15105" max="15105" width="4.85546875" customWidth="1"/>
    <col min="15106" max="15106" width="1.7109375" customWidth="1"/>
    <col min="15107" max="15107" width="46" customWidth="1"/>
    <col min="15108" max="15108" width="1.7109375" customWidth="1"/>
    <col min="15109" max="15109" width="34" customWidth="1"/>
    <col min="15110" max="15110" width="1.7109375" customWidth="1"/>
    <col min="15111" max="15111" width="16" customWidth="1"/>
    <col min="15112" max="15112" width="1.7109375" customWidth="1"/>
    <col min="15113" max="15113" width="14" customWidth="1"/>
    <col min="15114" max="15114" width="1.7109375" customWidth="1"/>
    <col min="15115" max="15115" width="11.5703125" customWidth="1"/>
    <col min="15116" max="15116" width="2.85546875" customWidth="1"/>
    <col min="15117" max="15117" width="35.42578125" bestFit="1" customWidth="1"/>
    <col min="15118" max="15118" width="20.140625" customWidth="1"/>
    <col min="15361" max="15361" width="4.85546875" customWidth="1"/>
    <col min="15362" max="15362" width="1.7109375" customWidth="1"/>
    <col min="15363" max="15363" width="46" customWidth="1"/>
    <col min="15364" max="15364" width="1.7109375" customWidth="1"/>
    <col min="15365" max="15365" width="34" customWidth="1"/>
    <col min="15366" max="15366" width="1.7109375" customWidth="1"/>
    <col min="15367" max="15367" width="16" customWidth="1"/>
    <col min="15368" max="15368" width="1.7109375" customWidth="1"/>
    <col min="15369" max="15369" width="14" customWidth="1"/>
    <col min="15370" max="15370" width="1.7109375" customWidth="1"/>
    <col min="15371" max="15371" width="11.5703125" customWidth="1"/>
    <col min="15372" max="15372" width="2.85546875" customWidth="1"/>
    <col min="15373" max="15373" width="35.42578125" bestFit="1" customWidth="1"/>
    <col min="15374" max="15374" width="20.140625" customWidth="1"/>
    <col min="15617" max="15617" width="4.85546875" customWidth="1"/>
    <col min="15618" max="15618" width="1.7109375" customWidth="1"/>
    <col min="15619" max="15619" width="46" customWidth="1"/>
    <col min="15620" max="15620" width="1.7109375" customWidth="1"/>
    <col min="15621" max="15621" width="34" customWidth="1"/>
    <col min="15622" max="15622" width="1.7109375" customWidth="1"/>
    <col min="15623" max="15623" width="16" customWidth="1"/>
    <col min="15624" max="15624" width="1.7109375" customWidth="1"/>
    <col min="15625" max="15625" width="14" customWidth="1"/>
    <col min="15626" max="15626" width="1.7109375" customWidth="1"/>
    <col min="15627" max="15627" width="11.5703125" customWidth="1"/>
    <col min="15628" max="15628" width="2.85546875" customWidth="1"/>
    <col min="15629" max="15629" width="35.42578125" bestFit="1" customWidth="1"/>
    <col min="15630" max="15630" width="20.140625" customWidth="1"/>
    <col min="15873" max="15873" width="4.85546875" customWidth="1"/>
    <col min="15874" max="15874" width="1.7109375" customWidth="1"/>
    <col min="15875" max="15875" width="46" customWidth="1"/>
    <col min="15876" max="15876" width="1.7109375" customWidth="1"/>
    <col min="15877" max="15877" width="34" customWidth="1"/>
    <col min="15878" max="15878" width="1.7109375" customWidth="1"/>
    <col min="15879" max="15879" width="16" customWidth="1"/>
    <col min="15880" max="15880" width="1.7109375" customWidth="1"/>
    <col min="15881" max="15881" width="14" customWidth="1"/>
    <col min="15882" max="15882" width="1.7109375" customWidth="1"/>
    <col min="15883" max="15883" width="11.5703125" customWidth="1"/>
    <col min="15884" max="15884" width="2.85546875" customWidth="1"/>
    <col min="15885" max="15885" width="35.42578125" bestFit="1" customWidth="1"/>
    <col min="15886" max="15886" width="20.140625" customWidth="1"/>
    <col min="16129" max="16129" width="4.85546875" customWidth="1"/>
    <col min="16130" max="16130" width="1.7109375" customWidth="1"/>
    <col min="16131" max="16131" width="46" customWidth="1"/>
    <col min="16132" max="16132" width="1.7109375" customWidth="1"/>
    <col min="16133" max="16133" width="34" customWidth="1"/>
    <col min="16134" max="16134" width="1.7109375" customWidth="1"/>
    <col min="16135" max="16135" width="16" customWidth="1"/>
    <col min="16136" max="16136" width="1.7109375" customWidth="1"/>
    <col min="16137" max="16137" width="14" customWidth="1"/>
    <col min="16138" max="16138" width="1.7109375" customWidth="1"/>
    <col min="16139" max="16139" width="11.5703125" customWidth="1"/>
    <col min="16140" max="16140" width="2.85546875" customWidth="1"/>
    <col min="16141" max="16141" width="35.42578125" bestFit="1" customWidth="1"/>
    <col min="16142" max="16142" width="20.140625" customWidth="1"/>
  </cols>
  <sheetData>
    <row r="1" spans="1:20" x14ac:dyDescent="0.2">
      <c r="A1" s="970" t="s">
        <v>2709</v>
      </c>
      <c r="B1" s="970"/>
      <c r="C1" s="971"/>
      <c r="D1" s="971"/>
      <c r="G1" s="971"/>
      <c r="H1" s="971"/>
      <c r="I1" s="971"/>
      <c r="J1" s="971"/>
      <c r="K1" s="971"/>
      <c r="L1" s="971"/>
      <c r="M1" s="971"/>
      <c r="N1" s="14"/>
      <c r="O1" s="14"/>
      <c r="P1" s="14"/>
      <c r="Q1" s="14"/>
      <c r="R1" s="14"/>
      <c r="S1" s="14"/>
      <c r="T1" s="14"/>
    </row>
    <row r="2" spans="1:20" x14ac:dyDescent="0.2">
      <c r="A2" s="14"/>
      <c r="B2" s="14"/>
      <c r="C2" s="628"/>
      <c r="D2" s="14"/>
      <c r="E2" s="14"/>
      <c r="F2" s="14"/>
      <c r="G2" s="14"/>
      <c r="H2" s="14"/>
      <c r="I2" s="14"/>
      <c r="J2" s="14"/>
      <c r="K2" s="14"/>
      <c r="L2" s="14"/>
      <c r="M2" s="14"/>
      <c r="N2" s="14"/>
      <c r="O2" s="14"/>
      <c r="P2" s="14"/>
      <c r="Q2" s="14"/>
      <c r="R2" s="14"/>
      <c r="S2" s="14"/>
      <c r="T2" s="14"/>
    </row>
    <row r="3" spans="1:20" x14ac:dyDescent="0.2">
      <c r="A3" s="972" t="s">
        <v>369</v>
      </c>
      <c r="B3" s="972"/>
      <c r="C3" s="971"/>
      <c r="D3" s="971"/>
      <c r="E3" s="971"/>
      <c r="F3" s="971"/>
      <c r="G3" s="971"/>
      <c r="H3" s="971"/>
      <c r="I3" s="971"/>
      <c r="J3" s="971"/>
      <c r="K3" s="971"/>
      <c r="L3" s="971"/>
      <c r="M3" s="971"/>
      <c r="N3" s="14"/>
      <c r="O3" s="14"/>
      <c r="P3" s="14"/>
      <c r="Q3" s="14"/>
      <c r="R3" s="14"/>
      <c r="S3" s="14"/>
      <c r="T3" s="14"/>
    </row>
    <row r="4" spans="1:20" x14ac:dyDescent="0.2">
      <c r="A4" s="973">
        <v>1</v>
      </c>
      <c r="B4" s="973"/>
      <c r="C4" s="827"/>
      <c r="D4" s="827"/>
      <c r="E4" s="827"/>
      <c r="F4" s="827"/>
      <c r="G4" s="971"/>
      <c r="H4" s="971"/>
      <c r="I4" s="971"/>
      <c r="J4" s="971"/>
      <c r="K4" s="971"/>
      <c r="L4" s="971"/>
      <c r="M4" s="971"/>
      <c r="N4" s="14"/>
      <c r="O4" s="14"/>
      <c r="P4" s="14"/>
      <c r="Q4" s="14"/>
      <c r="R4" s="14"/>
      <c r="S4" s="14"/>
      <c r="T4" s="14"/>
    </row>
    <row r="5" spans="1:20" x14ac:dyDescent="0.2">
      <c r="A5" s="818">
        <v>2</v>
      </c>
      <c r="B5" s="818"/>
      <c r="C5" s="827"/>
      <c r="D5" s="827"/>
      <c r="E5" s="827"/>
      <c r="F5" s="827"/>
      <c r="G5" s="971"/>
      <c r="H5" s="971"/>
      <c r="I5" s="971"/>
      <c r="J5" s="971"/>
      <c r="K5" s="971"/>
      <c r="L5" s="971"/>
      <c r="M5" s="971"/>
      <c r="N5" s="14"/>
      <c r="O5" s="14"/>
    </row>
    <row r="6" spans="1:20" x14ac:dyDescent="0.2">
      <c r="A6" s="818">
        <v>3</v>
      </c>
      <c r="B6" s="818"/>
      <c r="C6" s="819"/>
      <c r="D6" s="819"/>
      <c r="E6" s="819"/>
      <c r="F6" s="819"/>
      <c r="G6" s="816"/>
      <c r="H6" s="816"/>
      <c r="I6" s="816"/>
      <c r="J6" s="816"/>
      <c r="K6" s="818" t="s">
        <v>73</v>
      </c>
      <c r="L6" s="816"/>
      <c r="M6" s="816"/>
    </row>
    <row r="7" spans="1:20" x14ac:dyDescent="0.2">
      <c r="A7" s="818">
        <v>4</v>
      </c>
      <c r="B7" s="818"/>
      <c r="C7" s="816"/>
      <c r="D7" s="816"/>
      <c r="E7" s="974" t="s">
        <v>233</v>
      </c>
      <c r="F7" s="975"/>
      <c r="G7" s="816"/>
      <c r="H7" s="816"/>
      <c r="I7" s="816"/>
      <c r="J7" s="816"/>
      <c r="K7" s="976" t="s">
        <v>203</v>
      </c>
      <c r="L7" s="816"/>
      <c r="M7" s="821"/>
    </row>
    <row r="8" spans="1:20" x14ac:dyDescent="0.2">
      <c r="A8" s="818">
        <v>5</v>
      </c>
      <c r="B8" s="818"/>
      <c r="C8" s="819"/>
      <c r="D8" s="819"/>
      <c r="E8" s="819"/>
      <c r="F8" s="819"/>
      <c r="G8" s="816"/>
      <c r="H8" s="816"/>
      <c r="I8" s="816"/>
      <c r="J8" s="816"/>
      <c r="K8" s="822"/>
      <c r="L8" s="816"/>
      <c r="M8" s="819"/>
    </row>
    <row r="9" spans="1:20" x14ac:dyDescent="0.2">
      <c r="A9" s="818">
        <v>6</v>
      </c>
      <c r="B9" s="818"/>
      <c r="C9" s="970" t="s">
        <v>2743</v>
      </c>
      <c r="D9" s="827"/>
      <c r="E9" s="827" t="s">
        <v>2744</v>
      </c>
      <c r="F9" s="827"/>
      <c r="G9" s="971"/>
      <c r="H9" s="971"/>
      <c r="I9" s="971"/>
      <c r="J9" s="971"/>
      <c r="K9" s="822">
        <f>I20</f>
        <v>-10874795.021993753</v>
      </c>
      <c r="L9" s="816"/>
      <c r="M9" s="819"/>
      <c r="N9" s="977"/>
    </row>
    <row r="10" spans="1:20" ht="13.5" thickBot="1" x14ac:dyDescent="0.25">
      <c r="A10" s="818">
        <v>7</v>
      </c>
      <c r="B10" s="818"/>
      <c r="C10" s="970" t="s">
        <v>2742</v>
      </c>
      <c r="D10" s="972"/>
      <c r="E10" s="827" t="s">
        <v>2710</v>
      </c>
      <c r="F10" s="827"/>
      <c r="G10" s="971"/>
      <c r="H10" s="971"/>
      <c r="I10" s="971"/>
      <c r="J10" s="971"/>
      <c r="K10" s="978">
        <f>+K20</f>
        <v>-9620800.9629024342</v>
      </c>
      <c r="L10" s="816"/>
      <c r="M10" s="819"/>
    </row>
    <row r="11" spans="1:20" ht="13.5" thickTop="1" x14ac:dyDescent="0.2">
      <c r="A11" s="818">
        <v>8</v>
      </c>
      <c r="B11" s="818"/>
      <c r="C11" s="827"/>
      <c r="D11" s="827"/>
      <c r="E11" s="827"/>
      <c r="F11" s="827"/>
      <c r="G11" s="971"/>
      <c r="H11" s="971"/>
      <c r="I11" s="971"/>
      <c r="J11" s="971"/>
      <c r="K11" s="822"/>
      <c r="L11" s="816"/>
      <c r="M11" s="816"/>
    </row>
    <row r="12" spans="1:20" x14ac:dyDescent="0.2">
      <c r="A12" s="818">
        <v>9</v>
      </c>
      <c r="B12" s="818"/>
      <c r="C12" s="971"/>
      <c r="D12" s="971"/>
      <c r="E12" s="971"/>
      <c r="F12" s="971"/>
      <c r="G12" s="979" t="s">
        <v>403</v>
      </c>
      <c r="H12" s="979"/>
      <c r="I12" s="979" t="s">
        <v>387</v>
      </c>
      <c r="J12" s="979"/>
      <c r="K12" s="979" t="s">
        <v>388</v>
      </c>
      <c r="L12" s="816"/>
      <c r="M12" s="816"/>
    </row>
    <row r="13" spans="1:20" x14ac:dyDescent="0.2">
      <c r="A13" s="818">
        <v>10</v>
      </c>
      <c r="B13" s="818"/>
      <c r="C13" s="971"/>
      <c r="D13" s="971"/>
      <c r="E13" s="971"/>
      <c r="F13" s="971"/>
      <c r="G13" s="973" t="s">
        <v>73</v>
      </c>
      <c r="H13" s="973"/>
      <c r="I13" s="973" t="s">
        <v>73</v>
      </c>
      <c r="J13" s="975"/>
      <c r="K13" s="973" t="s">
        <v>73</v>
      </c>
      <c r="L13" s="816"/>
      <c r="M13" s="816"/>
    </row>
    <row r="14" spans="1:20" ht="15" x14ac:dyDescent="0.25">
      <c r="A14" s="818">
        <v>11</v>
      </c>
      <c r="B14" s="818"/>
      <c r="C14" s="973"/>
      <c r="D14" s="973"/>
      <c r="E14" s="973"/>
      <c r="F14" s="973"/>
      <c r="G14" s="973" t="s">
        <v>432</v>
      </c>
      <c r="H14" s="973"/>
      <c r="I14" s="973" t="s">
        <v>339</v>
      </c>
      <c r="J14" s="975"/>
      <c r="K14" s="980" t="s">
        <v>264</v>
      </c>
      <c r="L14" s="816"/>
      <c r="M14" s="816"/>
    </row>
    <row r="15" spans="1:20" x14ac:dyDescent="0.2">
      <c r="A15" s="818">
        <v>12</v>
      </c>
      <c r="B15" s="818"/>
      <c r="C15" s="818" t="s">
        <v>467</v>
      </c>
      <c r="D15" s="818"/>
      <c r="E15" s="818"/>
      <c r="F15" s="818"/>
      <c r="G15" s="818" t="s">
        <v>2711</v>
      </c>
      <c r="H15" s="975"/>
      <c r="I15" s="818" t="s">
        <v>2711</v>
      </c>
      <c r="J15" s="975"/>
      <c r="K15" s="818" t="s">
        <v>2711</v>
      </c>
      <c r="L15" s="816"/>
      <c r="M15" s="816"/>
    </row>
    <row r="16" spans="1:20" x14ac:dyDescent="0.2">
      <c r="A16" s="818">
        <v>13</v>
      </c>
      <c r="B16" s="818"/>
      <c r="C16" s="820" t="s">
        <v>2708</v>
      </c>
      <c r="D16" s="820"/>
      <c r="E16" s="820"/>
      <c r="F16" s="820"/>
      <c r="G16" s="976" t="s">
        <v>2712</v>
      </c>
      <c r="H16" s="975"/>
      <c r="I16" s="976" t="s">
        <v>2712</v>
      </c>
      <c r="J16" s="975"/>
      <c r="K16" s="976" t="s">
        <v>2712</v>
      </c>
      <c r="L16" s="816"/>
      <c r="M16" s="816"/>
    </row>
    <row r="17" spans="1:14" x14ac:dyDescent="0.2">
      <c r="A17" s="818">
        <v>14</v>
      </c>
      <c r="B17" s="818"/>
      <c r="C17" s="827" t="s">
        <v>2713</v>
      </c>
      <c r="D17" s="827"/>
      <c r="E17" s="626" t="s">
        <v>2714</v>
      </c>
      <c r="F17" s="626"/>
      <c r="G17" s="822">
        <f>+G29</f>
        <v>-5290208.6626039855</v>
      </c>
      <c r="H17" s="981"/>
      <c r="I17" s="822">
        <f>+I29</f>
        <v>-7676865.6302444208</v>
      </c>
      <c r="J17" s="981"/>
      <c r="K17" s="822">
        <f>(+G17+I17)/2</f>
        <v>-6483537.1464242032</v>
      </c>
      <c r="L17" s="816"/>
      <c r="M17" s="816"/>
      <c r="N17" s="816"/>
    </row>
    <row r="18" spans="1:14" x14ac:dyDescent="0.2">
      <c r="A18" s="818">
        <v>15</v>
      </c>
      <c r="B18" s="818"/>
      <c r="C18" s="827" t="s">
        <v>2715</v>
      </c>
      <c r="D18" s="827"/>
      <c r="E18" s="827" t="s">
        <v>2716</v>
      </c>
      <c r="F18" s="827"/>
      <c r="G18" s="822">
        <f>+G36</f>
        <v>-1857303.4903515393</v>
      </c>
      <c r="H18" s="981"/>
      <c r="I18" s="822">
        <f>+I36</f>
        <v>-1980170.8935627353</v>
      </c>
      <c r="J18" s="981"/>
      <c r="K18" s="822">
        <f>(+G18+I18)/2</f>
        <v>-1918737.1919571373</v>
      </c>
      <c r="L18" s="816"/>
      <c r="M18" s="816"/>
      <c r="N18" s="816"/>
    </row>
    <row r="19" spans="1:14" x14ac:dyDescent="0.2">
      <c r="A19" s="818">
        <v>16</v>
      </c>
      <c r="B19" s="818"/>
      <c r="C19" s="827" t="s">
        <v>2717</v>
      </c>
      <c r="D19" s="827"/>
      <c r="E19" s="827" t="s">
        <v>2718</v>
      </c>
      <c r="F19" s="827"/>
      <c r="G19" s="982">
        <f>+G45</f>
        <v>-1219294.7508555916</v>
      </c>
      <c r="H19" s="983"/>
      <c r="I19" s="982">
        <f>+I45</f>
        <v>-1217758.498186596</v>
      </c>
      <c r="J19" s="983"/>
      <c r="K19" s="822">
        <f>(+G19+I19)/2</f>
        <v>-1218526.6245210939</v>
      </c>
      <c r="L19" s="816"/>
      <c r="M19" s="816"/>
    </row>
    <row r="20" spans="1:14" ht="13.5" thickBot="1" x14ac:dyDescent="0.25">
      <c r="A20" s="818">
        <v>17</v>
      </c>
      <c r="B20" s="818"/>
      <c r="C20" s="819" t="s">
        <v>225</v>
      </c>
      <c r="D20" s="819"/>
      <c r="E20" s="819" t="s">
        <v>2719</v>
      </c>
      <c r="F20" s="819"/>
      <c r="G20" s="984">
        <f>+G17+G18+G19</f>
        <v>-8366806.9038111158</v>
      </c>
      <c r="H20" s="981"/>
      <c r="I20" s="984">
        <f>+I17+I18+I19</f>
        <v>-10874795.021993753</v>
      </c>
      <c r="J20" s="981"/>
      <c r="K20" s="984">
        <f>+K17+K18+K19</f>
        <v>-9620800.9629024342</v>
      </c>
      <c r="L20" s="816"/>
      <c r="M20" s="819"/>
      <c r="N20" s="626" t="s">
        <v>368</v>
      </c>
    </row>
    <row r="21" spans="1:14" ht="13.5" thickTop="1" x14ac:dyDescent="0.2">
      <c r="A21" s="818">
        <v>18</v>
      </c>
      <c r="B21" s="818"/>
      <c r="C21" s="816"/>
      <c r="D21" s="816"/>
      <c r="E21" s="816"/>
      <c r="F21" s="816"/>
      <c r="G21" s="816"/>
      <c r="H21" s="985"/>
      <c r="I21" s="816"/>
      <c r="J21" s="985"/>
      <c r="K21" s="816"/>
      <c r="L21" s="816"/>
      <c r="M21" s="816"/>
    </row>
    <row r="22" spans="1:14" x14ac:dyDescent="0.2">
      <c r="A22" s="818">
        <v>19</v>
      </c>
      <c r="B22" s="818"/>
      <c r="C22" s="817" t="s">
        <v>2720</v>
      </c>
      <c r="D22" s="817"/>
      <c r="E22" s="817"/>
      <c r="F22" s="817"/>
      <c r="G22" s="816"/>
      <c r="H22" s="985"/>
      <c r="I22" s="816"/>
      <c r="J22" s="985"/>
      <c r="K22" s="816"/>
      <c r="L22" s="816"/>
      <c r="M22" s="816"/>
    </row>
    <row r="23" spans="1:14" x14ac:dyDescent="0.2">
      <c r="A23" s="818">
        <v>20</v>
      </c>
      <c r="B23" s="818"/>
      <c r="H23" s="747"/>
      <c r="J23" s="747"/>
      <c r="K23" s="627" t="s">
        <v>264</v>
      </c>
    </row>
    <row r="24" spans="1:14" x14ac:dyDescent="0.2">
      <c r="A24" s="818">
        <v>21</v>
      </c>
      <c r="B24" s="818"/>
      <c r="C24" s="817" t="s">
        <v>119</v>
      </c>
      <c r="D24" s="817"/>
      <c r="E24" s="817"/>
      <c r="F24" s="817"/>
      <c r="G24" s="442" t="s">
        <v>432</v>
      </c>
      <c r="H24" s="986"/>
      <c r="I24" s="442" t="s">
        <v>339</v>
      </c>
      <c r="J24" s="986"/>
      <c r="K24" s="987" t="s">
        <v>2721</v>
      </c>
      <c r="M24" s="694" t="s">
        <v>368</v>
      </c>
    </row>
    <row r="25" spans="1:14" x14ac:dyDescent="0.2">
      <c r="A25" s="818">
        <v>22</v>
      </c>
      <c r="B25" s="818"/>
      <c r="C25" t="s">
        <v>2722</v>
      </c>
      <c r="E25" s="827" t="s">
        <v>2723</v>
      </c>
      <c r="F25" s="827"/>
      <c r="G25" s="988">
        <v>-227870250.05000001</v>
      </c>
      <c r="H25" s="989"/>
      <c r="I25" s="988">
        <v>-330673023</v>
      </c>
      <c r="J25" s="990"/>
      <c r="M25" s="977"/>
      <c r="N25" s="865"/>
    </row>
    <row r="26" spans="1:14" x14ac:dyDescent="0.2">
      <c r="A26" s="818">
        <v>23</v>
      </c>
      <c r="B26" s="818"/>
      <c r="C26" t="s">
        <v>1642</v>
      </c>
      <c r="E26" s="1151" t="s">
        <v>2773</v>
      </c>
      <c r="F26" s="991"/>
      <c r="G26" s="1152">
        <f>-G25*('1-BaseTRR'!K102)</f>
        <v>93167737.692083687</v>
      </c>
      <c r="H26" s="992"/>
      <c r="I26" s="1152">
        <f>-I25*('1-BaseTRR'!K102)</f>
        <v>135199998.51649064</v>
      </c>
      <c r="J26" s="992"/>
      <c r="M26" s="977"/>
    </row>
    <row r="27" spans="1:14" x14ac:dyDescent="0.2">
      <c r="A27" s="818">
        <v>24</v>
      </c>
      <c r="B27" s="818"/>
      <c r="C27" t="s">
        <v>2724</v>
      </c>
      <c r="E27" t="s">
        <v>2725</v>
      </c>
      <c r="G27" s="103">
        <f>+G25+G26</f>
        <v>-134702512.35791633</v>
      </c>
      <c r="H27" s="993"/>
      <c r="I27" s="103">
        <f>+I25+I26</f>
        <v>-195473024.48350936</v>
      </c>
      <c r="J27" s="994"/>
      <c r="M27" s="977"/>
    </row>
    <row r="28" spans="1:14" x14ac:dyDescent="0.2">
      <c r="A28" s="818">
        <v>25</v>
      </c>
      <c r="B28" s="818"/>
      <c r="C28" t="s">
        <v>228</v>
      </c>
      <c r="E28" s="995" t="s">
        <v>2726</v>
      </c>
      <c r="F28" s="995"/>
      <c r="G28" s="996">
        <f>'27-Allocators'!G15</f>
        <v>3.9273273898169321E-2</v>
      </c>
      <c r="H28" s="997"/>
      <c r="I28" s="996">
        <f>'27-Allocators'!G15</f>
        <v>3.9273273898169321E-2</v>
      </c>
      <c r="J28" s="997"/>
      <c r="M28" s="977"/>
    </row>
    <row r="29" spans="1:14" ht="13.5" thickBot="1" x14ac:dyDescent="0.25">
      <c r="A29" s="818">
        <v>26</v>
      </c>
      <c r="B29" s="818"/>
      <c r="C29" t="s">
        <v>2727</v>
      </c>
      <c r="E29" s="54" t="s">
        <v>2728</v>
      </c>
      <c r="F29" s="54"/>
      <c r="G29" s="998">
        <f>+G27*G28</f>
        <v>-5290208.6626039855</v>
      </c>
      <c r="H29" s="999"/>
      <c r="I29" s="998">
        <f>+I27*I28</f>
        <v>-7676865.6302444208</v>
      </c>
      <c r="J29" s="999"/>
      <c r="K29" s="1000">
        <f>(G29+I29)/2</f>
        <v>-6483537.1464242032</v>
      </c>
      <c r="M29" s="977"/>
    </row>
    <row r="30" spans="1:14" ht="13.5" thickTop="1" x14ac:dyDescent="0.2">
      <c r="A30" s="818">
        <v>27</v>
      </c>
      <c r="B30" s="818"/>
      <c r="H30" s="747"/>
      <c r="J30" s="747"/>
      <c r="M30" s="977"/>
    </row>
    <row r="31" spans="1:14" x14ac:dyDescent="0.2">
      <c r="A31" s="818">
        <v>28</v>
      </c>
      <c r="B31" s="818"/>
      <c r="C31" s="53" t="s">
        <v>2729</v>
      </c>
      <c r="D31" s="53"/>
      <c r="E31" s="53"/>
      <c r="F31" s="53"/>
      <c r="H31" s="747"/>
      <c r="J31" s="747"/>
      <c r="M31" s="1001" t="s">
        <v>368</v>
      </c>
    </row>
    <row r="32" spans="1:14" x14ac:dyDescent="0.2">
      <c r="A32" s="818">
        <v>29</v>
      </c>
      <c r="B32" s="818"/>
      <c r="C32" s="626" t="s">
        <v>2730</v>
      </c>
      <c r="D32" s="626"/>
      <c r="E32" s="827" t="s">
        <v>2723</v>
      </c>
      <c r="F32" s="827"/>
      <c r="G32" s="988">
        <v>-80001421.070000008</v>
      </c>
      <c r="H32" s="989"/>
      <c r="I32" s="988">
        <v>-85293807</v>
      </c>
      <c r="J32" s="990"/>
      <c r="M32" s="977"/>
    </row>
    <row r="33" spans="1:13" x14ac:dyDescent="0.2">
      <c r="A33" s="818">
        <v>30</v>
      </c>
      <c r="B33" s="818"/>
      <c r="C33" t="s">
        <v>1642</v>
      </c>
      <c r="E33" s="1151" t="s">
        <v>2774</v>
      </c>
      <c r="F33" s="991"/>
      <c r="G33" s="1152">
        <f>-G32*('1-BaseTRR'!K102)</f>
        <v>32709629.324618794</v>
      </c>
      <c r="H33" s="992"/>
      <c r="I33" s="1152">
        <f>-I32*('1-BaseTRR'!K102)</f>
        <v>34873490.662302501</v>
      </c>
      <c r="J33" s="992"/>
      <c r="M33" s="977"/>
    </row>
    <row r="34" spans="1:13" x14ac:dyDescent="0.2">
      <c r="A34" s="818">
        <v>31</v>
      </c>
      <c r="B34" s="818"/>
      <c r="C34" s="626" t="s">
        <v>2731</v>
      </c>
      <c r="D34" s="626"/>
      <c r="E34" t="s">
        <v>2732</v>
      </c>
      <c r="G34" s="103">
        <f>+G32+G33</f>
        <v>-47291791.745381214</v>
      </c>
      <c r="H34" s="993"/>
      <c r="I34" s="103">
        <f>+I32+I33</f>
        <v>-50420316.337697499</v>
      </c>
      <c r="J34" s="994"/>
      <c r="M34" s="977"/>
    </row>
    <row r="35" spans="1:13" x14ac:dyDescent="0.2">
      <c r="A35" s="818">
        <v>32</v>
      </c>
      <c r="B35" s="818"/>
      <c r="C35" t="s">
        <v>228</v>
      </c>
      <c r="E35" s="995" t="s">
        <v>2726</v>
      </c>
      <c r="F35" s="995"/>
      <c r="G35" s="996">
        <f>'27-Allocators'!G15</f>
        <v>3.9273273898169321E-2</v>
      </c>
      <c r="H35" s="997"/>
      <c r="I35" s="996">
        <f>'27-Allocators'!G15</f>
        <v>3.9273273898169321E-2</v>
      </c>
      <c r="J35" s="997"/>
      <c r="M35" s="977"/>
    </row>
    <row r="36" spans="1:13" ht="13.5" thickBot="1" x14ac:dyDescent="0.25">
      <c r="A36" s="818">
        <v>33</v>
      </c>
      <c r="B36" s="818"/>
      <c r="C36" t="s">
        <v>2727</v>
      </c>
      <c r="E36" s="54" t="s">
        <v>2733</v>
      </c>
      <c r="F36" s="54"/>
      <c r="G36" s="998">
        <f>+G34*G35</f>
        <v>-1857303.4903515393</v>
      </c>
      <c r="H36" s="999"/>
      <c r="I36" s="998">
        <f>+I34*I35</f>
        <v>-1980170.8935627353</v>
      </c>
      <c r="J36" s="999"/>
      <c r="K36" s="1000">
        <f>(G36+I36)/2</f>
        <v>-1918737.1919571373</v>
      </c>
      <c r="M36" s="977"/>
    </row>
    <row r="37" spans="1:13" ht="13.5" thickTop="1" x14ac:dyDescent="0.2">
      <c r="A37" s="818">
        <f t="shared" ref="A37:A45" si="0">1+A36</f>
        <v>34</v>
      </c>
      <c r="H37" s="747"/>
      <c r="J37" s="747"/>
    </row>
    <row r="38" spans="1:13" x14ac:dyDescent="0.2">
      <c r="A38" s="818">
        <f t="shared" si="0"/>
        <v>35</v>
      </c>
      <c r="C38" s="53" t="s">
        <v>2734</v>
      </c>
      <c r="H38" s="747"/>
      <c r="J38" s="747"/>
    </row>
    <row r="39" spans="1:13" x14ac:dyDescent="0.2">
      <c r="A39" s="818">
        <f t="shared" si="0"/>
        <v>36</v>
      </c>
      <c r="C39" s="626" t="s">
        <v>2734</v>
      </c>
      <c r="E39" s="827" t="s">
        <v>2723</v>
      </c>
      <c r="F39" s="827"/>
      <c r="G39" s="111">
        <v>-105039712.97999999</v>
      </c>
      <c r="H39" s="1002"/>
      <c r="I39" s="111">
        <v>-104907368</v>
      </c>
      <c r="J39" s="990"/>
    </row>
    <row r="40" spans="1:13" x14ac:dyDescent="0.2">
      <c r="A40" s="818">
        <f t="shared" si="0"/>
        <v>37</v>
      </c>
      <c r="C40" s="626" t="s">
        <v>2735</v>
      </c>
      <c r="E40" s="1003" t="s">
        <v>2736</v>
      </c>
      <c r="G40" s="1004">
        <v>0.5</v>
      </c>
      <c r="H40" s="747"/>
      <c r="I40" s="1004">
        <v>0.5</v>
      </c>
      <c r="J40" s="747"/>
    </row>
    <row r="41" spans="1:13" x14ac:dyDescent="0.2">
      <c r="A41" s="818">
        <f t="shared" si="0"/>
        <v>38</v>
      </c>
      <c r="C41" s="626" t="s">
        <v>2737</v>
      </c>
      <c r="E41" t="s">
        <v>2738</v>
      </c>
      <c r="G41" s="7">
        <f>+G39*G40</f>
        <v>-52519856.489999995</v>
      </c>
      <c r="H41" s="1005"/>
      <c r="I41" s="7">
        <f>+I39*I40</f>
        <v>-52453684</v>
      </c>
      <c r="J41" s="747"/>
    </row>
    <row r="42" spans="1:13" x14ac:dyDescent="0.2">
      <c r="A42" s="818">
        <f t="shared" si="0"/>
        <v>39</v>
      </c>
      <c r="C42" t="s">
        <v>1642</v>
      </c>
      <c r="E42" s="1151" t="s">
        <v>2775</v>
      </c>
      <c r="F42" s="991"/>
      <c r="G42" s="1152">
        <f>-G41*('1-BaseTRR'!K102)</f>
        <v>21473431.534009054</v>
      </c>
      <c r="H42" s="992"/>
      <c r="I42" s="1152">
        <f>-I41*('1-BaseTRR'!K102)</f>
        <v>21446376.044363525</v>
      </c>
      <c r="J42" s="747"/>
    </row>
    <row r="43" spans="1:13" x14ac:dyDescent="0.2">
      <c r="A43" s="818">
        <f t="shared" si="0"/>
        <v>40</v>
      </c>
      <c r="C43" s="626" t="s">
        <v>2739</v>
      </c>
      <c r="E43" s="14" t="s">
        <v>2740</v>
      </c>
      <c r="F43" s="14"/>
      <c r="G43" s="117">
        <f>+G41+G42</f>
        <v>-31046424.95599094</v>
      </c>
      <c r="H43" s="993"/>
      <c r="I43" s="117">
        <f>+I41+I42</f>
        <v>-31007307.955636475</v>
      </c>
      <c r="J43" s="994"/>
    </row>
    <row r="44" spans="1:13" x14ac:dyDescent="0.2">
      <c r="A44" s="818">
        <f t="shared" si="0"/>
        <v>41</v>
      </c>
      <c r="C44" t="s">
        <v>228</v>
      </c>
      <c r="E44" s="995" t="s">
        <v>2726</v>
      </c>
      <c r="F44" s="995"/>
      <c r="G44" s="996">
        <f>'27-Allocators'!G15</f>
        <v>3.9273273898169321E-2</v>
      </c>
      <c r="H44" s="997"/>
      <c r="I44" s="996">
        <f>'27-Allocators'!G15</f>
        <v>3.9273273898169321E-2</v>
      </c>
      <c r="J44" s="997"/>
    </row>
    <row r="45" spans="1:13" ht="13.5" thickBot="1" x14ac:dyDescent="0.25">
      <c r="A45" s="818">
        <f t="shared" si="0"/>
        <v>42</v>
      </c>
      <c r="C45" t="s">
        <v>2727</v>
      </c>
      <c r="E45" s="54" t="s">
        <v>2741</v>
      </c>
      <c r="F45" s="54"/>
      <c r="G45" s="998">
        <f>+G43*G44</f>
        <v>-1219294.7508555916</v>
      </c>
      <c r="H45" s="999"/>
      <c r="I45" s="998">
        <f>+I43*I44</f>
        <v>-1217758.498186596</v>
      </c>
      <c r="J45" s="999"/>
      <c r="K45" s="1000">
        <f>(G45+I45)/2</f>
        <v>-1218526.6245210939</v>
      </c>
    </row>
    <row r="46" spans="1:13" ht="13.5" thickTop="1" x14ac:dyDescent="0.2">
      <c r="H46" s="747"/>
      <c r="J46" s="747"/>
    </row>
    <row r="47" spans="1:13" x14ac:dyDescent="0.2">
      <c r="H47" s="62"/>
      <c r="J47" s="62"/>
    </row>
    <row r="48" spans="1:13" x14ac:dyDescent="0.2">
      <c r="H48" s="62"/>
      <c r="J48" s="62"/>
    </row>
    <row r="49" spans="8:10" x14ac:dyDescent="0.2">
      <c r="H49" s="62"/>
      <c r="J49" s="62"/>
    </row>
    <row r="50" spans="8:10" x14ac:dyDescent="0.2">
      <c r="H50" s="62"/>
      <c r="J50" s="62"/>
    </row>
    <row r="51" spans="8:10" x14ac:dyDescent="0.2">
      <c r="H51" s="62"/>
      <c r="J51" s="62"/>
    </row>
    <row r="52" spans="8:10" x14ac:dyDescent="0.2">
      <c r="H52" s="62"/>
      <c r="J52" s="62"/>
    </row>
    <row r="53" spans="8:10" x14ac:dyDescent="0.2">
      <c r="H53" s="62"/>
      <c r="J53" s="62"/>
    </row>
    <row r="54" spans="8:10" x14ac:dyDescent="0.2">
      <c r="H54" s="62"/>
      <c r="J54" s="62"/>
    </row>
    <row r="55" spans="8:10" x14ac:dyDescent="0.2">
      <c r="H55" s="62"/>
      <c r="J55" s="62"/>
    </row>
    <row r="56" spans="8:10" x14ac:dyDescent="0.2">
      <c r="H56" s="62"/>
      <c r="J56" s="62"/>
    </row>
    <row r="57" spans="8:10" x14ac:dyDescent="0.2">
      <c r="H57" s="62"/>
      <c r="J57" s="62"/>
    </row>
    <row r="58" spans="8:10" x14ac:dyDescent="0.2">
      <c r="H58" s="62"/>
      <c r="J58" s="62"/>
    </row>
    <row r="59" spans="8:10" x14ac:dyDescent="0.2">
      <c r="H59" s="62"/>
      <c r="J59" s="62"/>
    </row>
    <row r="60" spans="8:10" x14ac:dyDescent="0.2">
      <c r="H60" s="62"/>
      <c r="J60" s="62"/>
    </row>
    <row r="61" spans="8:10" x14ac:dyDescent="0.2">
      <c r="H61" s="62"/>
    </row>
    <row r="62" spans="8:10" x14ac:dyDescent="0.2">
      <c r="H62" s="62"/>
    </row>
  </sheetData>
  <pageMargins left="0.7" right="0.7" top="0.75" bottom="0.75" header="0.3" footer="0.3"/>
  <pageSetup scale="85" orientation="landscape" cellComments="asDisplayed" verticalDpi="0" r:id="rId1"/>
  <headerFooter>
    <oddHeader>&amp;CSchedule 34
Unfunded Reserves
&amp;"Arial,Bold"Exhibit G-2</oddHeader>
    <oddFooter>&amp;R34-UnfundedReserves</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Normal="100" workbookViewId="0"/>
  </sheetViews>
  <sheetFormatPr defaultRowHeight="12.75" x14ac:dyDescent="0.2"/>
  <cols>
    <col min="1" max="1" width="3.7109375" customWidth="1"/>
    <col min="2" max="2" width="45.7109375" customWidth="1"/>
    <col min="3" max="3" width="12.7109375" customWidth="1"/>
  </cols>
  <sheetData>
    <row r="1" spans="1:6" x14ac:dyDescent="0.2">
      <c r="A1" s="1" t="s">
        <v>1739</v>
      </c>
    </row>
    <row r="3" spans="1:6" x14ac:dyDescent="0.2">
      <c r="A3" s="626" t="s">
        <v>2138</v>
      </c>
    </row>
    <row r="5" spans="1:6" x14ac:dyDescent="0.2">
      <c r="B5" s="3" t="s">
        <v>202</v>
      </c>
      <c r="C5" s="3" t="s">
        <v>203</v>
      </c>
    </row>
    <row r="6" spans="1:6" x14ac:dyDescent="0.2">
      <c r="B6" t="s">
        <v>107</v>
      </c>
      <c r="C6" s="7">
        <f>'1-BaseTRR'!K141</f>
        <v>582223473.84771061</v>
      </c>
    </row>
    <row r="7" spans="1:6" x14ac:dyDescent="0.2">
      <c r="B7" t="s">
        <v>358</v>
      </c>
      <c r="C7" s="7">
        <f>'1-BaseTRR'!K147</f>
        <v>204646354.26217359</v>
      </c>
    </row>
    <row r="8" spans="1:6" x14ac:dyDescent="0.2">
      <c r="B8" t="s">
        <v>108</v>
      </c>
      <c r="C8" s="105">
        <f>'1-BaseTRR'!K148</f>
        <v>2414936.6805291306</v>
      </c>
      <c r="E8" s="1"/>
    </row>
    <row r="9" spans="1:6" x14ac:dyDescent="0.2">
      <c r="B9" s="628" t="s">
        <v>2551</v>
      </c>
      <c r="C9" s="48">
        <f>'1-BaseTRR'!K150</f>
        <v>0</v>
      </c>
      <c r="D9" s="14"/>
      <c r="E9" s="45"/>
      <c r="F9" s="14"/>
    </row>
    <row r="10" spans="1:6" x14ac:dyDescent="0.2">
      <c r="B10" s="14" t="s">
        <v>2139</v>
      </c>
      <c r="C10" s="65">
        <f>SUM(C6:C9)</f>
        <v>789284764.79041338</v>
      </c>
      <c r="D10" s="14"/>
      <c r="E10" s="14"/>
      <c r="F10" s="14"/>
    </row>
    <row r="11" spans="1:6" x14ac:dyDescent="0.2">
      <c r="B11" s="14"/>
      <c r="C11" s="14"/>
      <c r="D11" s="14"/>
      <c r="E11" s="14"/>
      <c r="F11" s="14"/>
    </row>
    <row r="12" spans="1:6" x14ac:dyDescent="0.2">
      <c r="A12" t="s">
        <v>617</v>
      </c>
      <c r="B12" s="14"/>
      <c r="C12" s="14"/>
      <c r="D12" s="14"/>
      <c r="E12" s="14"/>
      <c r="F12" s="14"/>
    </row>
    <row r="13" spans="1:6" x14ac:dyDescent="0.2">
      <c r="B13" s="14"/>
      <c r="C13" s="14"/>
      <c r="D13" s="14"/>
      <c r="E13" s="14"/>
      <c r="F13" s="14"/>
    </row>
    <row r="14" spans="1:6" x14ac:dyDescent="0.2">
      <c r="B14" s="14" t="s">
        <v>231</v>
      </c>
      <c r="C14" s="14"/>
      <c r="D14" s="14"/>
      <c r="E14" s="14"/>
      <c r="F14" s="14"/>
    </row>
    <row r="15" spans="1:6" x14ac:dyDescent="0.2">
      <c r="B15" s="625" t="s">
        <v>2329</v>
      </c>
      <c r="C15" s="14"/>
      <c r="D15" s="14"/>
      <c r="E15" s="14"/>
      <c r="F15" s="14"/>
    </row>
    <row r="16" spans="1:6" x14ac:dyDescent="0.2">
      <c r="B16" s="118"/>
      <c r="C16" s="14"/>
      <c r="D16" s="14"/>
      <c r="E16" s="14"/>
      <c r="F16" s="14"/>
    </row>
    <row r="17" spans="2:6" x14ac:dyDescent="0.2">
      <c r="B17" s="14" t="s">
        <v>616</v>
      </c>
      <c r="C17" s="14"/>
      <c r="D17" s="14"/>
      <c r="E17" s="14"/>
      <c r="F17" s="14"/>
    </row>
    <row r="18" spans="2:6" x14ac:dyDescent="0.2">
      <c r="B18" s="628" t="s">
        <v>2330</v>
      </c>
      <c r="C18" s="14"/>
      <c r="D18" s="14"/>
      <c r="E18" s="14"/>
      <c r="F18" s="14"/>
    </row>
    <row r="19" spans="2:6" x14ac:dyDescent="0.2">
      <c r="B19" s="118"/>
      <c r="C19" s="14"/>
      <c r="D19" s="14"/>
      <c r="E19" s="14"/>
      <c r="F19" s="14"/>
    </row>
    <row r="20" spans="2:6" x14ac:dyDescent="0.2">
      <c r="B20" s="1017" t="s">
        <v>1463</v>
      </c>
      <c r="C20" s="14"/>
      <c r="D20" s="14"/>
      <c r="E20" s="14"/>
      <c r="F20" s="14"/>
    </row>
    <row r="21" spans="2:6" x14ac:dyDescent="0.2">
      <c r="B21" s="625" t="s">
        <v>2331</v>
      </c>
      <c r="C21" s="14"/>
      <c r="D21" s="14"/>
      <c r="E21" s="14"/>
      <c r="F21" s="14"/>
    </row>
    <row r="22" spans="2:6" x14ac:dyDescent="0.2">
      <c r="B22" s="14"/>
      <c r="C22" s="14"/>
      <c r="D22" s="14"/>
      <c r="E22" s="14"/>
      <c r="F22" s="14"/>
    </row>
    <row r="23" spans="2:6" x14ac:dyDescent="0.2">
      <c r="B23" s="628" t="s">
        <v>2552</v>
      </c>
      <c r="C23" s="14"/>
      <c r="D23" s="14"/>
      <c r="E23" s="14"/>
      <c r="F23" s="14"/>
    </row>
  </sheetData>
  <phoneticPr fontId="11" type="noConversion"/>
  <pageMargins left="0.75" right="0.75" top="1" bottom="1" header="0.5" footer="0.5"/>
  <pageSetup orientation="landscape" r:id="rId1"/>
  <headerFooter alignWithMargins="0">
    <oddHeader>&amp;COverview
&amp;"Arial,Bold"Exhibit G-2</oddHeader>
    <oddFooter>&amp;ROverview</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zoomScaleNormal="100" workbookViewId="0"/>
  </sheetViews>
  <sheetFormatPr defaultRowHeight="12.75" x14ac:dyDescent="0.2"/>
  <cols>
    <col min="1" max="1" width="4.7109375" customWidth="1"/>
    <col min="2" max="5" width="8.7109375" customWidth="1"/>
    <col min="7" max="10" width="12.7109375" customWidth="1"/>
  </cols>
  <sheetData>
    <row r="1" spans="1:14" x14ac:dyDescent="0.2">
      <c r="A1" s="1045" t="s">
        <v>2699</v>
      </c>
      <c r="B1" s="628"/>
      <c r="C1" s="628"/>
      <c r="D1" s="628"/>
      <c r="E1" s="628"/>
      <c r="F1" s="628"/>
      <c r="G1" s="628"/>
      <c r="H1" s="628"/>
      <c r="I1" s="626"/>
      <c r="J1" s="626"/>
      <c r="K1" s="626"/>
      <c r="L1" s="626"/>
    </row>
    <row r="2" spans="1:14" x14ac:dyDescent="0.2">
      <c r="A2" s="1045"/>
      <c r="B2" s="628"/>
      <c r="C2" s="628"/>
      <c r="D2" s="628"/>
      <c r="E2" s="628"/>
      <c r="F2" s="628"/>
      <c r="G2" s="628"/>
      <c r="H2" s="628"/>
      <c r="I2" s="626"/>
      <c r="J2" s="626"/>
      <c r="K2" s="626"/>
      <c r="L2" s="626"/>
    </row>
    <row r="3" spans="1:14" x14ac:dyDescent="0.2">
      <c r="A3" s="628" t="s">
        <v>2651</v>
      </c>
      <c r="B3" s="628"/>
      <c r="C3" s="628"/>
      <c r="D3" s="628"/>
      <c r="E3" s="628"/>
      <c r="F3" s="628"/>
      <c r="G3" s="628"/>
      <c r="H3" s="628"/>
      <c r="I3" s="626"/>
      <c r="J3" s="626"/>
      <c r="K3" s="626"/>
      <c r="L3" s="626"/>
    </row>
    <row r="4" spans="1:14" x14ac:dyDescent="0.2">
      <c r="A4" s="628"/>
      <c r="B4" s="628"/>
      <c r="C4" s="628"/>
      <c r="D4" s="628"/>
      <c r="E4" s="628"/>
      <c r="F4" s="628"/>
      <c r="G4" s="628"/>
      <c r="H4" s="628"/>
      <c r="I4" s="626"/>
      <c r="J4" s="626"/>
      <c r="K4" s="626"/>
      <c r="L4" s="626"/>
    </row>
    <row r="5" spans="1:14" x14ac:dyDescent="0.2">
      <c r="A5" s="628"/>
      <c r="B5" s="628" t="s">
        <v>2702</v>
      </c>
      <c r="C5" s="628"/>
      <c r="D5" s="628"/>
      <c r="E5" s="628"/>
      <c r="F5" s="628"/>
      <c r="G5" s="628"/>
      <c r="H5" s="628"/>
      <c r="I5" s="626"/>
      <c r="J5" s="626"/>
      <c r="K5" s="626"/>
      <c r="L5" s="626"/>
      <c r="M5" s="14"/>
    </row>
    <row r="6" spans="1:14" x14ac:dyDescent="0.2">
      <c r="A6" s="626"/>
      <c r="B6" s="626" t="s">
        <v>2652</v>
      </c>
      <c r="C6" s="626"/>
      <c r="D6" s="626"/>
      <c r="E6" s="626"/>
      <c r="F6" s="626"/>
      <c r="G6" s="626"/>
      <c r="H6" s="626"/>
      <c r="I6" s="626"/>
      <c r="J6" s="626"/>
      <c r="K6" s="626"/>
      <c r="L6" s="626"/>
      <c r="M6" s="14"/>
    </row>
    <row r="7" spans="1:14" x14ac:dyDescent="0.2">
      <c r="A7" s="626"/>
      <c r="B7" s="626" t="s">
        <v>2653</v>
      </c>
      <c r="C7" s="626"/>
      <c r="D7" s="626"/>
      <c r="E7" s="626"/>
      <c r="F7" s="626"/>
      <c r="G7" s="626"/>
      <c r="H7" s="626"/>
      <c r="I7" s="626"/>
      <c r="J7" s="626"/>
      <c r="K7" s="626"/>
      <c r="L7" s="626"/>
      <c r="M7" s="14"/>
    </row>
    <row r="8" spans="1:14" x14ac:dyDescent="0.2">
      <c r="A8" s="626"/>
      <c r="B8" s="626"/>
      <c r="C8" s="626"/>
      <c r="D8" s="626"/>
      <c r="E8" s="626"/>
      <c r="F8" s="626"/>
      <c r="G8" s="626"/>
      <c r="H8" s="626"/>
      <c r="I8" s="626"/>
      <c r="J8" s="626"/>
      <c r="K8" s="626"/>
      <c r="L8" s="626"/>
      <c r="M8" s="14"/>
    </row>
    <row r="9" spans="1:14" x14ac:dyDescent="0.2">
      <c r="A9" s="626"/>
      <c r="B9" s="626" t="s">
        <v>2654</v>
      </c>
      <c r="C9" s="628"/>
      <c r="D9" s="628"/>
      <c r="E9" s="628"/>
      <c r="F9" s="628"/>
      <c r="G9" s="967"/>
      <c r="H9" s="687"/>
      <c r="I9" s="628"/>
      <c r="J9" s="628"/>
      <c r="K9" s="626"/>
      <c r="L9" s="626"/>
      <c r="M9" s="14"/>
    </row>
    <row r="10" spans="1:14" x14ac:dyDescent="0.2">
      <c r="A10" s="55" t="s">
        <v>359</v>
      </c>
      <c r="B10" s="626"/>
      <c r="C10" s="626"/>
      <c r="D10" s="626"/>
      <c r="E10" s="626"/>
      <c r="F10" s="626"/>
      <c r="G10" s="386" t="s">
        <v>2655</v>
      </c>
      <c r="H10" s="386" t="s">
        <v>203</v>
      </c>
      <c r="I10" s="626"/>
      <c r="J10" s="462" t="s">
        <v>207</v>
      </c>
      <c r="K10" s="626"/>
      <c r="L10" s="626"/>
      <c r="M10" s="14"/>
    </row>
    <row r="11" spans="1:14" x14ac:dyDescent="0.2">
      <c r="A11" s="241">
        <v>1</v>
      </c>
      <c r="B11" s="772" t="s">
        <v>2656</v>
      </c>
      <c r="C11" s="626"/>
      <c r="D11" s="626"/>
      <c r="E11" s="626"/>
      <c r="F11" s="626"/>
      <c r="G11" s="968"/>
      <c r="H11" s="636">
        <f>I45</f>
        <v>0</v>
      </c>
      <c r="I11" s="626"/>
      <c r="J11" s="626" t="s">
        <v>404</v>
      </c>
      <c r="K11" s="626"/>
      <c r="L11" s="626"/>
      <c r="M11" s="14"/>
    </row>
    <row r="12" spans="1:14" x14ac:dyDescent="0.2">
      <c r="A12" s="241">
        <v>2</v>
      </c>
      <c r="B12" s="626" t="s">
        <v>2657</v>
      </c>
      <c r="C12" s="626"/>
      <c r="D12" s="626"/>
      <c r="E12" s="626"/>
      <c r="F12" s="626"/>
      <c r="G12" s="968"/>
      <c r="H12" s="636">
        <f>G55</f>
        <v>-105414000</v>
      </c>
      <c r="I12" s="626"/>
      <c r="J12" s="626" t="s">
        <v>405</v>
      </c>
      <c r="K12" s="626"/>
      <c r="L12" s="626"/>
      <c r="M12" s="14"/>
    </row>
    <row r="13" spans="1:14" x14ac:dyDescent="0.2">
      <c r="A13" s="241">
        <v>3</v>
      </c>
      <c r="B13" s="772" t="s">
        <v>2658</v>
      </c>
      <c r="C13" s="626"/>
      <c r="D13" s="626"/>
      <c r="E13" s="626"/>
      <c r="F13" s="626"/>
      <c r="G13" s="626"/>
      <c r="H13" s="636">
        <f>ABS(H11+H12)</f>
        <v>105414000</v>
      </c>
      <c r="I13" s="626"/>
      <c r="J13" s="626" t="s">
        <v>2766</v>
      </c>
      <c r="K13" s="626"/>
      <c r="L13" s="626"/>
      <c r="M13" s="14"/>
    </row>
    <row r="14" spans="1:14" x14ac:dyDescent="0.2">
      <c r="A14" s="241">
        <v>4</v>
      </c>
      <c r="B14" s="772" t="s">
        <v>2659</v>
      </c>
      <c r="C14" s="626"/>
      <c r="D14" s="626"/>
      <c r="E14" s="626"/>
      <c r="F14" s="626"/>
      <c r="G14" s="626"/>
      <c r="H14" s="636">
        <f>G67</f>
        <v>0</v>
      </c>
      <c r="I14" s="626"/>
      <c r="J14" s="626" t="s">
        <v>2704</v>
      </c>
      <c r="K14" s="626"/>
      <c r="L14" s="626"/>
      <c r="M14" s="14"/>
    </row>
    <row r="15" spans="1:14" x14ac:dyDescent="0.2">
      <c r="A15" s="241"/>
      <c r="B15" s="630"/>
      <c r="C15" s="626"/>
      <c r="D15" s="626"/>
      <c r="E15" s="626" t="s">
        <v>368</v>
      </c>
      <c r="F15" s="626"/>
      <c r="G15" s="626"/>
      <c r="H15" s="636"/>
      <c r="I15" s="626"/>
      <c r="J15" s="626"/>
      <c r="K15" s="626"/>
      <c r="L15" s="626"/>
      <c r="M15" s="14"/>
      <c r="N15" s="14"/>
    </row>
    <row r="16" spans="1:14" x14ac:dyDescent="0.2">
      <c r="A16" s="241"/>
      <c r="B16" s="772" t="s">
        <v>2700</v>
      </c>
      <c r="C16" s="626"/>
      <c r="D16" s="626"/>
      <c r="E16" s="626"/>
      <c r="F16" s="626"/>
      <c r="G16" s="626"/>
      <c r="H16" s="636"/>
      <c r="I16" s="626"/>
      <c r="J16" s="462" t="s">
        <v>172</v>
      </c>
      <c r="K16" s="626"/>
      <c r="L16" s="626"/>
      <c r="M16" s="14"/>
      <c r="N16" s="14"/>
    </row>
    <row r="17" spans="1:14" x14ac:dyDescent="0.2">
      <c r="A17" s="241"/>
      <c r="B17" s="772" t="s">
        <v>2660</v>
      </c>
      <c r="C17" s="626"/>
      <c r="D17" s="627" t="str">
        <f>IF(H13&gt;H14, "Yes", "No")</f>
        <v>Yes</v>
      </c>
      <c r="E17" s="626"/>
      <c r="F17" s="626"/>
      <c r="G17" s="626"/>
      <c r="H17" s="636"/>
      <c r="I17" s="626"/>
      <c r="J17" s="626" t="s">
        <v>2701</v>
      </c>
      <c r="K17" s="626"/>
      <c r="L17" s="626"/>
      <c r="M17" s="14"/>
      <c r="N17" s="14"/>
    </row>
    <row r="18" spans="1:14" x14ac:dyDescent="0.2">
      <c r="A18" s="241"/>
      <c r="B18" s="772"/>
      <c r="C18" s="626"/>
      <c r="D18" s="626"/>
      <c r="E18" s="626"/>
      <c r="F18" s="626"/>
      <c r="G18" s="626"/>
      <c r="H18" s="636"/>
      <c r="I18" s="626"/>
      <c r="J18" s="626"/>
      <c r="K18" s="626"/>
      <c r="L18" s="626"/>
      <c r="M18" s="14"/>
      <c r="N18" s="14"/>
    </row>
    <row r="19" spans="1:14" x14ac:dyDescent="0.2">
      <c r="A19" s="241"/>
      <c r="B19" s="772" t="s">
        <v>2661</v>
      </c>
      <c r="C19" s="626"/>
      <c r="D19" s="626"/>
      <c r="E19" s="626"/>
      <c r="F19" s="626"/>
      <c r="G19" s="593" t="s">
        <v>2662</v>
      </c>
      <c r="H19" s="593" t="s">
        <v>2663</v>
      </c>
      <c r="I19" s="593" t="s">
        <v>2664</v>
      </c>
      <c r="J19" s="626"/>
      <c r="K19" s="626"/>
      <c r="L19" s="626"/>
      <c r="M19" s="14"/>
      <c r="N19" s="14"/>
    </row>
    <row r="20" spans="1:14" x14ac:dyDescent="0.2">
      <c r="A20" s="241"/>
      <c r="B20" s="772" t="s">
        <v>2665</v>
      </c>
      <c r="C20" s="626"/>
      <c r="D20" s="626"/>
      <c r="E20" s="626"/>
      <c r="F20" s="626"/>
      <c r="G20" s="627" t="s">
        <v>2762</v>
      </c>
      <c r="H20" s="250" t="s">
        <v>2666</v>
      </c>
      <c r="I20" s="626"/>
      <c r="J20" s="626"/>
      <c r="K20" s="626"/>
      <c r="L20" s="626"/>
      <c r="M20" s="14"/>
      <c r="N20" s="14"/>
    </row>
    <row r="21" spans="1:14" x14ac:dyDescent="0.2">
      <c r="A21" s="241"/>
      <c r="B21" s="626"/>
      <c r="C21" s="626"/>
      <c r="D21" s="626"/>
      <c r="E21" s="626"/>
      <c r="F21" s="626"/>
      <c r="G21" s="626"/>
      <c r="H21" s="811" t="s">
        <v>232</v>
      </c>
      <c r="I21" s="626"/>
      <c r="J21" s="626"/>
      <c r="K21" s="626"/>
      <c r="L21" s="626"/>
      <c r="M21" s="14"/>
      <c r="N21" s="14"/>
    </row>
    <row r="22" spans="1:14" x14ac:dyDescent="0.2">
      <c r="A22" s="241"/>
      <c r="B22" s="626"/>
      <c r="C22" s="626"/>
      <c r="D22" s="626"/>
      <c r="E22" s="626"/>
      <c r="F22" s="626"/>
      <c r="G22" s="241" t="s">
        <v>226</v>
      </c>
      <c r="H22" s="250" t="s">
        <v>2667</v>
      </c>
      <c r="I22" s="241" t="s">
        <v>2668</v>
      </c>
      <c r="J22" s="626"/>
      <c r="K22" s="626"/>
      <c r="L22" s="626"/>
      <c r="M22" s="14"/>
      <c r="N22" s="14"/>
    </row>
    <row r="23" spans="1:14" x14ac:dyDescent="0.2">
      <c r="A23" s="241"/>
      <c r="B23" s="626"/>
      <c r="C23" s="626"/>
      <c r="D23" s="626"/>
      <c r="E23" s="626"/>
      <c r="F23" s="626"/>
      <c r="G23" s="241" t="s">
        <v>2669</v>
      </c>
      <c r="H23" s="250" t="s">
        <v>2670</v>
      </c>
      <c r="I23" s="241" t="s">
        <v>2669</v>
      </c>
      <c r="J23" s="626"/>
      <c r="K23" s="626"/>
      <c r="L23" s="626"/>
      <c r="M23" s="14"/>
      <c r="N23" s="14"/>
    </row>
    <row r="24" spans="1:14" x14ac:dyDescent="0.2">
      <c r="A24" s="55" t="s">
        <v>359</v>
      </c>
      <c r="B24" s="626"/>
      <c r="C24" s="626"/>
      <c r="D24" s="626"/>
      <c r="E24" s="386" t="s">
        <v>221</v>
      </c>
      <c r="F24" s="626"/>
      <c r="G24" s="386" t="s">
        <v>2671</v>
      </c>
      <c r="H24" s="252" t="s">
        <v>326</v>
      </c>
      <c r="I24" s="386" t="s">
        <v>363</v>
      </c>
      <c r="J24" s="735" t="s">
        <v>2763</v>
      </c>
      <c r="K24" s="628"/>
      <c r="L24" s="628"/>
      <c r="M24" s="14"/>
      <c r="N24" s="14"/>
    </row>
    <row r="25" spans="1:14" x14ac:dyDescent="0.2">
      <c r="A25" s="241">
        <v>5</v>
      </c>
      <c r="B25" s="626"/>
      <c r="C25" s="626"/>
      <c r="D25" s="626"/>
      <c r="E25" s="968"/>
      <c r="F25" s="626"/>
      <c r="G25" s="636">
        <f>G60</f>
        <v>0</v>
      </c>
      <c r="H25" s="636">
        <f>H11/2</f>
        <v>0</v>
      </c>
      <c r="I25" s="636">
        <f>SUM(G25:H25)</f>
        <v>0</v>
      </c>
      <c r="J25" s="1065" t="s">
        <v>2764</v>
      </c>
      <c r="K25" s="628"/>
      <c r="L25" s="628"/>
      <c r="M25" s="14"/>
      <c r="N25" s="14"/>
    </row>
    <row r="26" spans="1:14" x14ac:dyDescent="0.2">
      <c r="A26" s="241">
        <v>6</v>
      </c>
      <c r="B26" s="626"/>
      <c r="C26" s="626"/>
      <c r="D26" s="626"/>
      <c r="E26" s="968"/>
      <c r="F26" s="626"/>
      <c r="G26" s="636">
        <f>G61</f>
        <v>0</v>
      </c>
      <c r="H26" s="636">
        <f>H11/2</f>
        <v>0</v>
      </c>
      <c r="I26" s="636">
        <f>SUM(G26:H26)</f>
        <v>0</v>
      </c>
      <c r="J26" s="1065" t="s">
        <v>2764</v>
      </c>
      <c r="K26" s="628"/>
      <c r="L26" s="628"/>
      <c r="M26" s="14"/>
      <c r="N26" s="14"/>
    </row>
    <row r="27" spans="1:14" x14ac:dyDescent="0.2">
      <c r="A27" s="241">
        <v>7</v>
      </c>
      <c r="B27" s="630"/>
      <c r="C27" s="626"/>
      <c r="D27" s="626"/>
      <c r="E27" s="968"/>
      <c r="F27" s="626"/>
      <c r="G27" s="636">
        <f t="shared" ref="G27:G29" si="0">G62</f>
        <v>0</v>
      </c>
      <c r="H27" s="642" t="s">
        <v>86</v>
      </c>
      <c r="I27" s="636">
        <f xml:space="preserve"> SUM($G$27:$G$29)/3</f>
        <v>0</v>
      </c>
      <c r="J27" s="625" t="s">
        <v>2765</v>
      </c>
      <c r="K27" s="628"/>
      <c r="L27" s="628"/>
    </row>
    <row r="28" spans="1:14" x14ac:dyDescent="0.2">
      <c r="A28" s="241">
        <v>8</v>
      </c>
      <c r="B28" s="238"/>
      <c r="C28" s="626"/>
      <c r="D28" s="626"/>
      <c r="E28" s="968"/>
      <c r="F28" s="626"/>
      <c r="G28" s="636">
        <f t="shared" si="0"/>
        <v>0</v>
      </c>
      <c r="H28" s="642" t="s">
        <v>86</v>
      </c>
      <c r="I28" s="636">
        <f t="shared" ref="I28:I29" si="1" xml:space="preserve"> SUM($G$27:$G$29)/3</f>
        <v>0</v>
      </c>
      <c r="J28" s="625" t="s">
        <v>2765</v>
      </c>
      <c r="K28" s="628"/>
      <c r="L28" s="628"/>
    </row>
    <row r="29" spans="1:14" x14ac:dyDescent="0.2">
      <c r="A29" s="241">
        <v>9</v>
      </c>
      <c r="B29" s="626"/>
      <c r="C29" s="626"/>
      <c r="D29" s="626"/>
      <c r="E29" s="968"/>
      <c r="F29" s="626"/>
      <c r="G29" s="636">
        <f t="shared" si="0"/>
        <v>0</v>
      </c>
      <c r="H29" s="642" t="s">
        <v>86</v>
      </c>
      <c r="I29" s="636">
        <f t="shared" si="1"/>
        <v>0</v>
      </c>
      <c r="J29" s="625" t="s">
        <v>2765</v>
      </c>
      <c r="K29" s="628"/>
      <c r="L29" s="628"/>
    </row>
    <row r="30" spans="1:14" x14ac:dyDescent="0.2">
      <c r="A30" s="626"/>
      <c r="B30" s="626"/>
      <c r="C30" s="626"/>
      <c r="D30" s="626"/>
      <c r="E30" s="626"/>
      <c r="F30" s="626"/>
      <c r="G30" s="626"/>
      <c r="H30" s="626"/>
      <c r="I30" s="626"/>
      <c r="J30" s="626"/>
      <c r="K30" s="626"/>
      <c r="L30" s="626"/>
    </row>
    <row r="31" spans="1:14" x14ac:dyDescent="0.2">
      <c r="A31" s="600" t="s">
        <v>265</v>
      </c>
      <c r="B31" s="626"/>
      <c r="C31" s="626"/>
      <c r="D31" s="626"/>
      <c r="E31" s="626"/>
      <c r="F31" s="626"/>
      <c r="G31" s="626"/>
      <c r="H31" s="626"/>
      <c r="I31" s="626"/>
      <c r="J31" s="626"/>
      <c r="K31" s="626"/>
      <c r="L31" s="626"/>
    </row>
    <row r="32" spans="1:14" x14ac:dyDescent="0.2">
      <c r="A32" s="626" t="s">
        <v>2672</v>
      </c>
      <c r="B32" s="626"/>
      <c r="C32" s="626"/>
      <c r="D32" s="626"/>
      <c r="E32" s="626"/>
      <c r="F32" s="626"/>
      <c r="G32" s="626"/>
      <c r="H32" s="626"/>
      <c r="I32" s="626"/>
      <c r="J32" s="626"/>
      <c r="K32" s="626"/>
      <c r="L32" s="626"/>
    </row>
    <row r="33" spans="1:14" x14ac:dyDescent="0.2">
      <c r="A33" s="630" t="s">
        <v>2673</v>
      </c>
      <c r="B33" s="626"/>
      <c r="C33" s="626"/>
      <c r="D33" s="626"/>
      <c r="E33" s="626"/>
      <c r="F33" s="626"/>
      <c r="G33" s="626"/>
      <c r="H33" s="626"/>
      <c r="I33" s="626"/>
      <c r="J33" s="626"/>
      <c r="K33" s="626"/>
      <c r="L33" s="626"/>
    </row>
    <row r="34" spans="1:14" x14ac:dyDescent="0.2">
      <c r="A34" s="630" t="s">
        <v>2674</v>
      </c>
      <c r="B34" s="626"/>
      <c r="C34" s="626"/>
      <c r="D34" s="626"/>
      <c r="E34" s="626"/>
      <c r="F34" s="626"/>
      <c r="G34" s="626"/>
      <c r="H34" s="626"/>
      <c r="I34" s="626"/>
      <c r="J34" s="626"/>
      <c r="K34" s="626"/>
      <c r="L34" s="626"/>
    </row>
    <row r="35" spans="1:14" x14ac:dyDescent="0.2">
      <c r="A35" s="630"/>
      <c r="B35" s="626"/>
      <c r="C35" s="626"/>
      <c r="D35" s="626"/>
      <c r="E35" s="626"/>
      <c r="F35" s="626"/>
      <c r="G35" s="626"/>
      <c r="H35" s="626"/>
      <c r="I35" s="626"/>
      <c r="J35" s="626"/>
      <c r="K35" s="626"/>
      <c r="L35" s="626"/>
    </row>
    <row r="36" spans="1:14" x14ac:dyDescent="0.2">
      <c r="A36" s="241"/>
      <c r="B36" s="626"/>
      <c r="C36" s="626"/>
      <c r="D36" s="626"/>
      <c r="E36" s="626"/>
      <c r="F36" s="626"/>
      <c r="G36" s="626"/>
      <c r="H36" s="386" t="s">
        <v>203</v>
      </c>
      <c r="I36" s="386" t="s">
        <v>233</v>
      </c>
      <c r="J36" s="626"/>
      <c r="K36" s="626"/>
      <c r="L36" s="626"/>
    </row>
    <row r="37" spans="1:14" x14ac:dyDescent="0.2">
      <c r="A37" s="241"/>
      <c r="B37" s="626" t="s">
        <v>2675</v>
      </c>
      <c r="C37" s="626"/>
      <c r="D37" s="626"/>
      <c r="E37" s="626"/>
      <c r="F37" s="626"/>
      <c r="G37" s="642"/>
      <c r="H37" s="636">
        <f>'20-AandG'!E68</f>
        <v>52707000</v>
      </c>
      <c r="I37" s="630" t="s">
        <v>2676</v>
      </c>
      <c r="J37" s="626"/>
      <c r="K37" s="626"/>
      <c r="L37" s="626"/>
    </row>
    <row r="38" spans="1:14" x14ac:dyDescent="0.2">
      <c r="A38" s="630"/>
      <c r="B38" s="626"/>
      <c r="C38" s="626"/>
      <c r="D38" s="626"/>
      <c r="E38" s="626"/>
      <c r="F38" s="626"/>
      <c r="G38" s="626"/>
      <c r="H38" s="626"/>
      <c r="I38" s="626"/>
      <c r="J38" s="626"/>
      <c r="K38" s="626"/>
      <c r="L38" s="626"/>
    </row>
    <row r="39" spans="1:14" x14ac:dyDescent="0.2">
      <c r="A39" s="630" t="s">
        <v>2703</v>
      </c>
      <c r="B39" s="626"/>
      <c r="C39" s="626"/>
      <c r="D39" s="626"/>
      <c r="E39" s="626"/>
      <c r="F39" s="628"/>
      <c r="G39" s="628"/>
      <c r="H39" s="626"/>
      <c r="I39" s="241" t="s">
        <v>2677</v>
      </c>
      <c r="J39" s="626"/>
      <c r="K39" s="626"/>
      <c r="L39" s="626"/>
      <c r="N39" s="16"/>
    </row>
    <row r="40" spans="1:14" x14ac:dyDescent="0.2">
      <c r="A40" s="630"/>
      <c r="B40" s="626" t="s">
        <v>368</v>
      </c>
      <c r="C40" s="626"/>
      <c r="D40" s="626"/>
      <c r="E40" s="626"/>
      <c r="F40" s="241"/>
      <c r="G40" s="241" t="s">
        <v>2669</v>
      </c>
      <c r="H40" s="241" t="s">
        <v>2669</v>
      </c>
      <c r="I40" s="241" t="s">
        <v>2678</v>
      </c>
      <c r="J40" s="626"/>
      <c r="K40" s="626"/>
      <c r="L40" s="626"/>
    </row>
    <row r="41" spans="1:14" x14ac:dyDescent="0.2">
      <c r="A41" s="630"/>
      <c r="B41" s="626" t="s">
        <v>2679</v>
      </c>
      <c r="C41" s="626"/>
      <c r="D41" s="626"/>
      <c r="E41" s="626"/>
      <c r="F41" s="386" t="s">
        <v>221</v>
      </c>
      <c r="G41" s="386" t="s">
        <v>2671</v>
      </c>
      <c r="H41" s="386" t="s">
        <v>2670</v>
      </c>
      <c r="I41" s="386" t="s">
        <v>2670</v>
      </c>
      <c r="J41" s="626"/>
      <c r="K41" s="626"/>
      <c r="L41" s="626"/>
    </row>
    <row r="42" spans="1:14" x14ac:dyDescent="0.2">
      <c r="A42" s="630"/>
      <c r="B42" s="626" t="s">
        <v>2680</v>
      </c>
      <c r="C42" s="626"/>
      <c r="D42" s="626"/>
      <c r="E42" s="626"/>
      <c r="F42" s="968"/>
      <c r="G42" s="715"/>
      <c r="H42" s="715"/>
      <c r="I42" s="636">
        <f>G42-H42</f>
        <v>0</v>
      </c>
      <c r="J42" s="630"/>
      <c r="K42" s="626"/>
      <c r="L42" s="626"/>
    </row>
    <row r="43" spans="1:14" x14ac:dyDescent="0.2">
      <c r="A43" s="630"/>
      <c r="B43" s="626"/>
      <c r="C43" s="626"/>
      <c r="D43" s="626"/>
      <c r="E43" s="626"/>
      <c r="F43" s="968"/>
      <c r="G43" s="715"/>
      <c r="H43" s="715"/>
      <c r="I43" s="636">
        <f>G43-H43</f>
        <v>0</v>
      </c>
      <c r="J43" s="626"/>
      <c r="K43" s="626"/>
      <c r="L43" s="626"/>
    </row>
    <row r="44" spans="1:14" x14ac:dyDescent="0.2">
      <c r="A44" s="630"/>
      <c r="B44" s="626"/>
      <c r="C44" s="626"/>
      <c r="D44" s="626"/>
      <c r="E44" s="626"/>
      <c r="F44" s="756" t="s">
        <v>574</v>
      </c>
      <c r="G44" s="715"/>
      <c r="H44" s="715"/>
      <c r="I44" s="626"/>
      <c r="J44" s="626"/>
      <c r="K44" s="626"/>
      <c r="L44" s="626"/>
    </row>
    <row r="45" spans="1:14" x14ac:dyDescent="0.2">
      <c r="A45" s="630"/>
      <c r="B45" s="626"/>
      <c r="C45" s="626"/>
      <c r="D45" s="626"/>
      <c r="E45" s="626"/>
      <c r="F45" s="967"/>
      <c r="G45" s="687"/>
      <c r="H45" s="969" t="s">
        <v>2681</v>
      </c>
      <c r="I45" s="636">
        <f>SUM(I42:I44)</f>
        <v>0</v>
      </c>
      <c r="J45" s="630" t="s">
        <v>2682</v>
      </c>
      <c r="K45" s="626"/>
      <c r="L45" s="626"/>
    </row>
    <row r="46" spans="1:14" x14ac:dyDescent="0.2">
      <c r="A46" s="630"/>
      <c r="B46" s="626"/>
      <c r="C46" s="626"/>
      <c r="D46" s="626"/>
      <c r="E46" s="626"/>
      <c r="F46" s="967"/>
      <c r="G46" s="628"/>
      <c r="H46" s="626"/>
      <c r="I46" s="626"/>
      <c r="J46" s="626"/>
      <c r="K46" s="626"/>
      <c r="L46" s="626"/>
    </row>
    <row r="47" spans="1:14" x14ac:dyDescent="0.2">
      <c r="A47" s="626" t="s">
        <v>2683</v>
      </c>
      <c r="B47" s="626"/>
      <c r="C47" s="626"/>
      <c r="D47" s="626"/>
      <c r="E47" s="626"/>
      <c r="F47" s="626"/>
      <c r="G47" s="626"/>
      <c r="H47" s="626"/>
      <c r="I47" s="626"/>
      <c r="J47" s="626"/>
      <c r="K47" s="626"/>
      <c r="L47" s="626"/>
    </row>
    <row r="48" spans="1:14" x14ac:dyDescent="0.2">
      <c r="A48" s="630" t="s">
        <v>2684</v>
      </c>
      <c r="B48" s="626"/>
      <c r="C48" s="626"/>
      <c r="D48" s="626"/>
      <c r="E48" s="626"/>
      <c r="F48" s="626"/>
      <c r="G48" s="626"/>
      <c r="H48" s="626"/>
      <c r="I48" s="626"/>
      <c r="J48" s="626"/>
      <c r="K48" s="626"/>
      <c r="L48" s="626"/>
    </row>
    <row r="49" spans="1:12" x14ac:dyDescent="0.2">
      <c r="A49" s="630" t="s">
        <v>2685</v>
      </c>
      <c r="B49" s="626"/>
      <c r="C49" s="626"/>
      <c r="D49" s="626"/>
      <c r="E49" s="626"/>
      <c r="F49" s="626"/>
      <c r="G49" s="626"/>
      <c r="H49" s="626"/>
      <c r="I49" s="626"/>
      <c r="J49" s="626"/>
      <c r="K49" s="626"/>
      <c r="L49" s="626"/>
    </row>
    <row r="50" spans="1:12" x14ac:dyDescent="0.2">
      <c r="A50" s="630" t="s">
        <v>2686</v>
      </c>
      <c r="B50" s="626"/>
      <c r="C50" s="626"/>
      <c r="D50" s="626"/>
      <c r="E50" s="626"/>
      <c r="F50" s="626"/>
      <c r="G50" s="626"/>
      <c r="H50" s="626"/>
      <c r="I50" s="626"/>
      <c r="J50" s="626"/>
      <c r="K50" s="626"/>
      <c r="L50" s="626"/>
    </row>
    <row r="51" spans="1:12" x14ac:dyDescent="0.2">
      <c r="A51" s="630" t="s">
        <v>2687</v>
      </c>
      <c r="B51" s="626"/>
      <c r="C51" s="626"/>
      <c r="D51" s="626"/>
      <c r="E51" s="626"/>
      <c r="F51" s="626"/>
      <c r="G51" s="626"/>
      <c r="H51" s="626"/>
      <c r="I51" s="626"/>
      <c r="J51" s="626"/>
      <c r="K51" s="626"/>
      <c r="L51" s="626"/>
    </row>
    <row r="52" spans="1:12" x14ac:dyDescent="0.2">
      <c r="A52" s="626"/>
      <c r="B52" s="626"/>
      <c r="C52" s="626"/>
      <c r="D52" s="626"/>
      <c r="E52" s="626"/>
      <c r="F52" s="626"/>
      <c r="G52" s="386" t="s">
        <v>203</v>
      </c>
      <c r="H52" s="386" t="s">
        <v>172</v>
      </c>
      <c r="I52" s="626"/>
      <c r="J52" s="626"/>
      <c r="K52" s="626"/>
      <c r="L52" s="626"/>
    </row>
    <row r="53" spans="1:12" x14ac:dyDescent="0.2">
      <c r="A53" s="241" t="s">
        <v>2185</v>
      </c>
      <c r="B53" s="626"/>
      <c r="C53" s="626"/>
      <c r="D53" s="626"/>
      <c r="E53" s="626"/>
      <c r="F53" s="624" t="s">
        <v>2688</v>
      </c>
      <c r="G53" s="636">
        <f>G60+G61</f>
        <v>0</v>
      </c>
      <c r="H53" s="630" t="s">
        <v>2689</v>
      </c>
      <c r="I53" s="626"/>
      <c r="J53" s="626"/>
      <c r="K53" s="626"/>
      <c r="L53" s="626"/>
    </row>
    <row r="54" spans="1:12" x14ac:dyDescent="0.2">
      <c r="A54" s="241" t="s">
        <v>2186</v>
      </c>
      <c r="B54" s="626"/>
      <c r="C54" s="626"/>
      <c r="D54" s="626"/>
      <c r="E54" s="626"/>
      <c r="F54" s="624" t="s">
        <v>2690</v>
      </c>
      <c r="G54" s="385">
        <f>H37*2</f>
        <v>105414000</v>
      </c>
      <c r="H54" s="630" t="s">
        <v>2691</v>
      </c>
      <c r="I54" s="626"/>
      <c r="J54" s="626"/>
      <c r="K54" s="626"/>
      <c r="L54" s="626"/>
    </row>
    <row r="55" spans="1:12" x14ac:dyDescent="0.2">
      <c r="A55" s="241" t="s">
        <v>2187</v>
      </c>
      <c r="B55" s="626"/>
      <c r="C55" s="626"/>
      <c r="D55" s="626"/>
      <c r="E55" s="626"/>
      <c r="F55" s="624" t="s">
        <v>2692</v>
      </c>
      <c r="G55" s="636">
        <f xml:space="preserve"> G53-G54</f>
        <v>-105414000</v>
      </c>
      <c r="H55" s="630" t="s">
        <v>2693</v>
      </c>
      <c r="I55" s="626"/>
      <c r="J55" s="626"/>
      <c r="K55" s="626"/>
      <c r="L55" s="626"/>
    </row>
    <row r="56" spans="1:12" x14ac:dyDescent="0.2">
      <c r="A56" s="241"/>
      <c r="B56" s="626"/>
      <c r="C56" s="626"/>
      <c r="D56" s="626"/>
      <c r="E56" s="626"/>
      <c r="F56" s="626"/>
      <c r="G56" s="626"/>
      <c r="H56" s="626"/>
      <c r="I56" s="626"/>
      <c r="J56" s="626"/>
      <c r="K56" s="626"/>
      <c r="L56" s="626"/>
    </row>
    <row r="57" spans="1:12" x14ac:dyDescent="0.2">
      <c r="A57" s="241"/>
      <c r="B57" s="626"/>
      <c r="C57" s="626"/>
      <c r="D57" s="626" t="s">
        <v>2694</v>
      </c>
      <c r="E57" s="626"/>
      <c r="F57" s="626"/>
      <c r="G57" s="626"/>
      <c r="H57" s="626"/>
      <c r="I57" s="626"/>
      <c r="J57" s="626"/>
      <c r="K57" s="626"/>
      <c r="L57" s="626"/>
    </row>
    <row r="58" spans="1:12" x14ac:dyDescent="0.2">
      <c r="A58" s="241"/>
      <c r="B58" s="626"/>
      <c r="C58" s="626"/>
      <c r="D58" s="626"/>
      <c r="E58" s="626"/>
      <c r="F58" s="241"/>
      <c r="G58" s="241" t="s">
        <v>2695</v>
      </c>
      <c r="H58" s="626"/>
      <c r="I58" s="626"/>
      <c r="J58" s="626"/>
      <c r="K58" s="626"/>
      <c r="L58" s="626"/>
    </row>
    <row r="59" spans="1:12" x14ac:dyDescent="0.2">
      <c r="A59" s="241"/>
      <c r="B59" s="626"/>
      <c r="C59" s="626"/>
      <c r="D59" s="626"/>
      <c r="E59" s="626"/>
      <c r="F59" s="386" t="s">
        <v>221</v>
      </c>
      <c r="G59" s="386" t="s">
        <v>2671</v>
      </c>
      <c r="H59" s="626"/>
      <c r="I59" s="626"/>
      <c r="J59" s="626"/>
      <c r="K59" s="626"/>
      <c r="L59" s="626"/>
    </row>
    <row r="60" spans="1:12" x14ac:dyDescent="0.2">
      <c r="A60" s="241" t="s">
        <v>2188</v>
      </c>
      <c r="B60" s="626"/>
      <c r="C60" s="626"/>
      <c r="D60" s="626"/>
      <c r="E60" s="626"/>
      <c r="F60" s="968"/>
      <c r="G60" s="715"/>
      <c r="H60" s="626"/>
      <c r="I60" s="626"/>
      <c r="J60" s="626"/>
      <c r="K60" s="626"/>
      <c r="L60" s="626"/>
    </row>
    <row r="61" spans="1:12" x14ac:dyDescent="0.2">
      <c r="A61" s="241" t="s">
        <v>2189</v>
      </c>
      <c r="B61" s="626"/>
      <c r="C61" s="626"/>
      <c r="D61" s="626"/>
      <c r="E61" s="626"/>
      <c r="F61" s="968"/>
      <c r="G61" s="715"/>
      <c r="H61" s="626"/>
      <c r="I61" s="626"/>
      <c r="J61" s="626"/>
      <c r="K61" s="626"/>
      <c r="L61" s="626"/>
    </row>
    <row r="62" spans="1:12" x14ac:dyDescent="0.2">
      <c r="A62" s="241" t="s">
        <v>2190</v>
      </c>
      <c r="B62" s="626"/>
      <c r="C62" s="626"/>
      <c r="D62" s="626"/>
      <c r="E62" s="626"/>
      <c r="F62" s="968"/>
      <c r="G62" s="715"/>
      <c r="H62" s="626"/>
      <c r="I62" s="626"/>
      <c r="J62" s="626"/>
      <c r="K62" s="626"/>
      <c r="L62" s="626"/>
    </row>
    <row r="63" spans="1:12" x14ac:dyDescent="0.2">
      <c r="A63" s="241" t="s">
        <v>2192</v>
      </c>
      <c r="B63" s="626"/>
      <c r="C63" s="626"/>
      <c r="D63" s="626"/>
      <c r="E63" s="626"/>
      <c r="F63" s="968"/>
      <c r="G63" s="715"/>
      <c r="H63" s="626"/>
      <c r="I63" s="626"/>
      <c r="J63" s="626"/>
      <c r="K63" s="626"/>
      <c r="L63" s="626"/>
    </row>
    <row r="64" spans="1:12" x14ac:dyDescent="0.2">
      <c r="A64" s="241" t="s">
        <v>2478</v>
      </c>
      <c r="B64" s="626"/>
      <c r="C64" s="626"/>
      <c r="D64" s="626"/>
      <c r="E64" s="626"/>
      <c r="F64" s="968"/>
      <c r="G64" s="715"/>
      <c r="H64" s="626"/>
      <c r="I64" s="626"/>
      <c r="J64" s="626"/>
      <c r="K64" s="626"/>
      <c r="L64" s="626"/>
    </row>
    <row r="65" spans="1:13" x14ac:dyDescent="0.2">
      <c r="A65" s="241"/>
      <c r="B65" s="626"/>
      <c r="C65" s="626"/>
      <c r="D65" s="626"/>
      <c r="E65" s="626"/>
      <c r="F65" s="626"/>
      <c r="G65" s="626"/>
      <c r="H65" s="626"/>
      <c r="I65" s="626"/>
      <c r="J65" s="626"/>
      <c r="K65" s="626"/>
      <c r="L65" s="626"/>
    </row>
    <row r="66" spans="1:13" x14ac:dyDescent="0.2">
      <c r="A66" s="628"/>
      <c r="B66" s="628" t="s">
        <v>2696</v>
      </c>
      <c r="C66" s="628"/>
      <c r="D66" s="628"/>
      <c r="E66" s="628"/>
      <c r="F66" s="628"/>
      <c r="G66" s="628"/>
      <c r="H66" s="589" t="s">
        <v>172</v>
      </c>
      <c r="I66" s="628"/>
      <c r="J66" s="628"/>
      <c r="K66" s="628"/>
      <c r="L66" s="628"/>
      <c r="M66" s="14"/>
    </row>
    <row r="67" spans="1:13" x14ac:dyDescent="0.2">
      <c r="A67" s="588" t="s">
        <v>2479</v>
      </c>
      <c r="B67" s="628" t="s">
        <v>2697</v>
      </c>
      <c r="C67" s="628"/>
      <c r="D67" s="628"/>
      <c r="E67" s="628"/>
      <c r="F67" s="628"/>
      <c r="G67" s="687">
        <f xml:space="preserve"> (G60+G61)*0.2</f>
        <v>0</v>
      </c>
      <c r="H67" s="625" t="s">
        <v>2707</v>
      </c>
      <c r="I67" s="628"/>
      <c r="J67" s="628"/>
      <c r="K67" s="628"/>
      <c r="L67" s="628"/>
      <c r="M67" s="14"/>
    </row>
    <row r="68" spans="1:13" x14ac:dyDescent="0.2">
      <c r="A68" s="14"/>
      <c r="B68" s="14"/>
      <c r="C68" s="14"/>
      <c r="D68" s="14"/>
      <c r="E68" s="14"/>
      <c r="F68" s="14"/>
      <c r="G68" s="14"/>
      <c r="H68" s="14"/>
      <c r="I68" s="14"/>
      <c r="J68" s="14"/>
      <c r="K68" s="14"/>
      <c r="L68" s="14"/>
      <c r="M68" s="14"/>
    </row>
    <row r="69" spans="1:13" x14ac:dyDescent="0.2">
      <c r="A69" s="1128" t="s">
        <v>429</v>
      </c>
      <c r="B69" s="14"/>
      <c r="C69" s="14"/>
      <c r="D69" s="14"/>
      <c r="E69" s="14"/>
      <c r="F69" s="14"/>
      <c r="G69" s="14"/>
      <c r="H69" s="14"/>
      <c r="I69" s="14"/>
      <c r="J69" s="14"/>
      <c r="K69" s="14"/>
      <c r="L69" s="14"/>
      <c r="M69" s="14"/>
    </row>
    <row r="70" spans="1:13" x14ac:dyDescent="0.2">
      <c r="A70" s="625" t="s">
        <v>2705</v>
      </c>
      <c r="B70" s="14"/>
      <c r="C70" s="14"/>
      <c r="D70" s="14"/>
      <c r="E70" s="14"/>
      <c r="F70" s="14"/>
      <c r="G70" s="14"/>
      <c r="H70" s="14"/>
      <c r="I70" s="14"/>
      <c r="J70" s="14"/>
      <c r="K70" s="14"/>
      <c r="L70" s="14"/>
      <c r="M70" s="14"/>
    </row>
    <row r="71" spans="1:13" x14ac:dyDescent="0.2">
      <c r="A71" s="1030" t="s">
        <v>2706</v>
      </c>
      <c r="B71" s="14"/>
      <c r="C71" s="14"/>
      <c r="D71" s="14"/>
      <c r="E71" s="14"/>
      <c r="F71" s="14"/>
      <c r="G71" s="14"/>
      <c r="H71" s="14"/>
      <c r="I71" s="14"/>
      <c r="J71" s="14"/>
      <c r="K71" s="14"/>
      <c r="L71" s="14"/>
      <c r="M71" s="14"/>
    </row>
    <row r="72" spans="1:13" x14ac:dyDescent="0.2">
      <c r="A72" s="625"/>
      <c r="B72" s="14"/>
      <c r="C72" s="14"/>
      <c r="D72" s="14"/>
      <c r="E72" s="14"/>
      <c r="F72" s="14"/>
      <c r="G72" s="14"/>
      <c r="H72" s="14"/>
      <c r="I72" s="14"/>
      <c r="J72" s="14"/>
      <c r="K72" s="14"/>
      <c r="L72" s="14"/>
      <c r="M72" s="14"/>
    </row>
    <row r="73" spans="1:13" x14ac:dyDescent="0.2">
      <c r="A73" s="706"/>
    </row>
  </sheetData>
  <pageMargins left="0.7" right="0.7" top="0.75" bottom="0.75" header="0.3" footer="0.3"/>
  <pageSetup scale="78" orientation="portrait" cellComments="asDisplayed" verticalDpi="0" r:id="rId1"/>
  <headerFooter>
    <oddHeader>&amp;CSchedule 35
PBOPs
&amp;"Arial,Bold"Exhibit G-2</oddHeader>
    <oddFooter>&amp;R35-PBOPs</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7"/>
  <sheetViews>
    <sheetView topLeftCell="A142" zoomScale="80" zoomScaleNormal="80" zoomScalePageLayoutView="85" workbookViewId="0">
      <selection activeCell="G182" sqref="G182"/>
    </sheetView>
  </sheetViews>
  <sheetFormatPr defaultRowHeight="12.75" x14ac:dyDescent="0.2"/>
  <cols>
    <col min="1" max="1" width="4.7109375" customWidth="1"/>
    <col min="8" max="9" width="27.7109375" customWidth="1"/>
    <col min="10" max="10" width="2.7109375" customWidth="1"/>
    <col min="11" max="11" width="16.7109375" customWidth="1"/>
    <col min="14" max="15" width="8.85546875" customWidth="1"/>
  </cols>
  <sheetData>
    <row r="1" spans="1:12" x14ac:dyDescent="0.2">
      <c r="A1" s="1" t="s">
        <v>194</v>
      </c>
    </row>
    <row r="2" spans="1:12" x14ac:dyDescent="0.2">
      <c r="I2" s="99" t="s">
        <v>341</v>
      </c>
      <c r="J2" s="99"/>
      <c r="K2" s="14"/>
      <c r="L2" s="14"/>
    </row>
    <row r="3" spans="1:12" x14ac:dyDescent="0.2">
      <c r="A3" s="1" t="s">
        <v>195</v>
      </c>
      <c r="L3" s="14"/>
    </row>
    <row r="4" spans="1:12" x14ac:dyDescent="0.2">
      <c r="H4" s="2"/>
      <c r="I4" s="2" t="s">
        <v>197</v>
      </c>
      <c r="K4" s="262">
        <v>2011</v>
      </c>
    </row>
    <row r="5" spans="1:12" x14ac:dyDescent="0.2">
      <c r="A5" s="55" t="s">
        <v>359</v>
      </c>
      <c r="H5" s="3" t="s">
        <v>196</v>
      </c>
      <c r="I5" s="3" t="s">
        <v>198</v>
      </c>
      <c r="K5" s="3" t="s">
        <v>199</v>
      </c>
    </row>
    <row r="7" spans="1:12" x14ac:dyDescent="0.2">
      <c r="A7" s="10" t="s">
        <v>204</v>
      </c>
      <c r="B7" s="11"/>
      <c r="C7" s="11"/>
      <c r="D7" s="11"/>
      <c r="E7" s="11"/>
      <c r="F7" s="11"/>
      <c r="G7" s="11"/>
      <c r="H7" s="9"/>
      <c r="I7" s="9"/>
      <c r="J7" s="9"/>
      <c r="K7" s="9"/>
    </row>
    <row r="9" spans="1:12" x14ac:dyDescent="0.2">
      <c r="A9" s="115">
        <v>1</v>
      </c>
      <c r="B9" s="114" t="s">
        <v>1157</v>
      </c>
      <c r="C9" s="14"/>
      <c r="D9" s="14"/>
      <c r="E9" s="14"/>
      <c r="F9" s="14"/>
      <c r="G9" s="14"/>
      <c r="H9" s="14"/>
      <c r="I9" s="15" t="str">
        <f>"6-PlantInService, Line "&amp;'6-PlantInService'!A43&amp;""</f>
        <v>6-PlantInService, Line 19</v>
      </c>
      <c r="J9" s="14"/>
      <c r="K9" s="65">
        <f>'6-PlantInService'!D43</f>
        <v>3309597308.7680044</v>
      </c>
    </row>
    <row r="10" spans="1:12" x14ac:dyDescent="0.2">
      <c r="A10" s="115">
        <f>A9+1</f>
        <v>2</v>
      </c>
      <c r="B10" s="114" t="s">
        <v>357</v>
      </c>
      <c r="C10" s="14"/>
      <c r="D10" s="14"/>
      <c r="E10" s="14"/>
      <c r="F10" s="14"/>
      <c r="G10" s="14"/>
      <c r="H10" s="14"/>
      <c r="I10" s="15" t="str">
        <f>"6-PlantInService, Line "&amp;'6-PlantInService'!A63&amp;""</f>
        <v>6-PlantInService, Line 27</v>
      </c>
      <c r="J10" s="14"/>
      <c r="K10" s="65">
        <f>'6-PlantInService'!F63</f>
        <v>144547756.36352479</v>
      </c>
    </row>
    <row r="11" spans="1:12" x14ac:dyDescent="0.2">
      <c r="A11" s="115">
        <f>A10+1</f>
        <v>3</v>
      </c>
      <c r="B11" s="114" t="s">
        <v>183</v>
      </c>
      <c r="C11" s="14"/>
      <c r="D11" s="14"/>
      <c r="E11" s="14"/>
      <c r="F11" s="14"/>
      <c r="G11" s="14"/>
      <c r="H11" s="14"/>
      <c r="I11" s="15" t="str">
        <f>"11-PHFU, Line "&amp;'11-PHFU'!A38&amp;""</f>
        <v>11-PHFU, Line 8</v>
      </c>
      <c r="J11" s="14"/>
      <c r="K11" s="65">
        <f>'11-PHFU'!E38</f>
        <v>9942155</v>
      </c>
    </row>
    <row r="12" spans="1:12" x14ac:dyDescent="0.2">
      <c r="A12" s="115">
        <f>A11+1</f>
        <v>4</v>
      </c>
      <c r="B12" s="114" t="s">
        <v>352</v>
      </c>
      <c r="C12" s="14"/>
      <c r="D12" s="14"/>
      <c r="E12" s="14"/>
      <c r="F12" s="14"/>
      <c r="G12" s="14"/>
      <c r="H12" s="14"/>
      <c r="I12" s="15" t="str">
        <f>"12-AbandonedPlant, Line "&amp;'12-AbandonedPlant'!A20&amp;""</f>
        <v>12-AbandonedPlant, Line 3</v>
      </c>
      <c r="J12" s="14"/>
      <c r="K12" s="65">
        <f>'12-AbandonedPlant'!G20</f>
        <v>11028000</v>
      </c>
    </row>
    <row r="13" spans="1:12" x14ac:dyDescent="0.2">
      <c r="A13" s="115"/>
      <c r="B13" s="114"/>
      <c r="C13" s="14"/>
      <c r="D13" s="14"/>
      <c r="E13" s="14"/>
      <c r="F13" s="14"/>
      <c r="G13" s="14"/>
      <c r="H13" s="14"/>
      <c r="I13" s="14"/>
      <c r="J13" s="14"/>
      <c r="K13" s="65"/>
    </row>
    <row r="14" spans="1:12" x14ac:dyDescent="0.2">
      <c r="A14" s="115"/>
      <c r="B14" s="46" t="s">
        <v>278</v>
      </c>
      <c r="C14" s="14"/>
      <c r="D14" s="14"/>
      <c r="E14" s="14"/>
      <c r="F14" s="14"/>
      <c r="G14" s="14"/>
      <c r="H14" s="14"/>
      <c r="I14" s="14"/>
      <c r="J14" s="14"/>
      <c r="K14" s="65"/>
    </row>
    <row r="15" spans="1:12" x14ac:dyDescent="0.2">
      <c r="A15" s="115">
        <f>A12+1</f>
        <v>5</v>
      </c>
      <c r="B15" s="47" t="s">
        <v>103</v>
      </c>
      <c r="C15" s="14"/>
      <c r="D15" s="14"/>
      <c r="E15" s="14"/>
      <c r="F15" s="14"/>
      <c r="G15" s="14"/>
      <c r="H15" s="14"/>
      <c r="I15" s="15" t="str">
        <f>"13-WorkCap, Line "&amp;'13-WorkCap'!A26&amp;""</f>
        <v>13-WorkCap, Line 16</v>
      </c>
      <c r="J15" s="14"/>
      <c r="K15" s="65">
        <f>'13-WorkCap'!F26</f>
        <v>12813796.664487174</v>
      </c>
    </row>
    <row r="16" spans="1:12" x14ac:dyDescent="0.2">
      <c r="A16" s="115">
        <f>A15+1</f>
        <v>6</v>
      </c>
      <c r="B16" s="118" t="s">
        <v>104</v>
      </c>
      <c r="C16" s="14"/>
      <c r="D16" s="14"/>
      <c r="E16" s="14"/>
      <c r="F16" s="14"/>
      <c r="G16" s="14"/>
      <c r="H16" s="14"/>
      <c r="I16" s="15" t="str">
        <f>"13-WorkCap, Line "&amp;'13-WorkCap'!A55&amp;""</f>
        <v>13-WorkCap, Line 36</v>
      </c>
      <c r="J16" s="14"/>
      <c r="K16" s="65">
        <f>'13-WorkCap'!F55</f>
        <v>2115467.3088794425</v>
      </c>
    </row>
    <row r="17" spans="1:11" x14ac:dyDescent="0.2">
      <c r="A17" s="115">
        <f>A16+1</f>
        <v>7</v>
      </c>
      <c r="B17" s="47" t="s">
        <v>200</v>
      </c>
      <c r="C17" s="14"/>
      <c r="D17" s="14"/>
      <c r="E17" s="14"/>
      <c r="F17" s="14"/>
      <c r="G17" s="14"/>
      <c r="H17" s="14"/>
      <c r="I17" s="15" t="str">
        <f>"(Line "&amp;A124&amp;" + Line "&amp;A125&amp;") / 16"</f>
        <v>(Line 65 + Line 66) / 16</v>
      </c>
      <c r="J17" s="14"/>
      <c r="K17" s="106">
        <f>(K124+K125)/16</f>
        <v>7283528.8341432568</v>
      </c>
    </row>
    <row r="18" spans="1:11" x14ac:dyDescent="0.2">
      <c r="A18" s="115">
        <f>A17+1</f>
        <v>8</v>
      </c>
      <c r="B18" s="47" t="s">
        <v>102</v>
      </c>
      <c r="C18" s="14"/>
      <c r="D18" s="14"/>
      <c r="E18" s="14"/>
      <c r="F18" s="14"/>
      <c r="G18" s="14"/>
      <c r="H18" s="14"/>
      <c r="I18" s="15" t="str">
        <f>"Line "&amp;A15&amp;" + Line "&amp;A16&amp;" + Line "&amp;A17&amp;""</f>
        <v>Line 5 + Line 6 + Line 7</v>
      </c>
      <c r="J18" s="14"/>
      <c r="K18" s="65">
        <f>SUM(K15:K17)</f>
        <v>22212792.807509873</v>
      </c>
    </row>
    <row r="19" spans="1:11" x14ac:dyDescent="0.2">
      <c r="A19" s="115"/>
      <c r="B19" s="47"/>
      <c r="C19" s="14"/>
      <c r="D19" s="14"/>
      <c r="E19" s="14"/>
      <c r="F19" s="14"/>
      <c r="G19" s="14"/>
      <c r="H19" s="14"/>
      <c r="I19" s="14"/>
      <c r="J19" s="14"/>
      <c r="K19" s="65"/>
    </row>
    <row r="20" spans="1:11" x14ac:dyDescent="0.2">
      <c r="A20" s="115"/>
      <c r="B20" s="1018" t="s">
        <v>193</v>
      </c>
      <c r="C20" s="14"/>
      <c r="D20" s="14"/>
      <c r="E20" s="14"/>
      <c r="F20" s="14"/>
      <c r="G20" s="14"/>
      <c r="H20" s="14"/>
      <c r="I20" s="14"/>
      <c r="J20" s="14"/>
      <c r="K20" s="65"/>
    </row>
    <row r="21" spans="1:11" x14ac:dyDescent="0.2">
      <c r="A21" s="115">
        <f>A18+1</f>
        <v>9</v>
      </c>
      <c r="B21" s="47" t="s">
        <v>1160</v>
      </c>
      <c r="C21" s="14"/>
      <c r="D21" s="14"/>
      <c r="E21" s="14"/>
      <c r="F21" s="14"/>
      <c r="G21" s="14"/>
      <c r="H21" s="14" t="s">
        <v>169</v>
      </c>
      <c r="I21" s="15" t="str">
        <f>"8-AccDep, Line "&amp;'8-AccDep'!A24&amp;", Col. 12"</f>
        <v>8-AccDep, Line 13, Col. 12</v>
      </c>
      <c r="J21" s="14"/>
      <c r="K21" s="65">
        <f>-'8-AccDep'!N24</f>
        <v>-1018886632.5608662</v>
      </c>
    </row>
    <row r="22" spans="1:11" x14ac:dyDescent="0.2">
      <c r="A22" s="115">
        <f>A21+1</f>
        <v>10</v>
      </c>
      <c r="B22" s="47" t="s">
        <v>1161</v>
      </c>
      <c r="C22" s="14"/>
      <c r="D22" s="14"/>
      <c r="E22" s="14"/>
      <c r="F22" s="14"/>
      <c r="G22" s="14"/>
      <c r="H22" s="14" t="s">
        <v>169</v>
      </c>
      <c r="I22" s="15" t="str">
        <f>"8-AccDep, Line "&amp;'8-AccDep'!A34&amp;", Col. 5"</f>
        <v>8-AccDep, Line 16, Col. 5</v>
      </c>
      <c r="J22" s="14"/>
      <c r="K22" s="65">
        <f>-'8-AccDep'!G34</f>
        <v>-1088416.3520202676</v>
      </c>
    </row>
    <row r="23" spans="1:11" x14ac:dyDescent="0.2">
      <c r="A23" s="115">
        <f>A22+1</f>
        <v>11</v>
      </c>
      <c r="B23" s="47" t="s">
        <v>348</v>
      </c>
      <c r="C23" s="22"/>
      <c r="D23" s="14"/>
      <c r="E23" s="14"/>
      <c r="F23" s="14"/>
      <c r="G23" s="14"/>
      <c r="H23" s="14" t="s">
        <v>169</v>
      </c>
      <c r="I23" s="15" t="str">
        <f>"8-AccDep, Line "&amp;'8-AccDep'!A60&amp;""</f>
        <v>8-AccDep, Line 26</v>
      </c>
      <c r="J23" s="14"/>
      <c r="K23" s="106">
        <f>-'8-AccDep'!F60</f>
        <v>-52550003.98064702</v>
      </c>
    </row>
    <row r="24" spans="1:11" x14ac:dyDescent="0.2">
      <c r="A24" s="115">
        <f>A23+1</f>
        <v>12</v>
      </c>
      <c r="B24" s="1019" t="s">
        <v>190</v>
      </c>
      <c r="C24" s="22"/>
      <c r="D24" s="14"/>
      <c r="E24" s="14"/>
      <c r="F24" s="14"/>
      <c r="G24" s="14"/>
      <c r="H24" s="14"/>
      <c r="I24" s="15" t="str">
        <f>"Line "&amp;A21&amp;" + Line "&amp;A22&amp;" + Line "&amp;A23&amp;""</f>
        <v>Line 9 + Line 10 + Line 11</v>
      </c>
      <c r="J24" s="14"/>
      <c r="K24" s="65">
        <f>SUM(K21:K23)</f>
        <v>-1072525052.8935335</v>
      </c>
    </row>
    <row r="25" spans="1:11" x14ac:dyDescent="0.2">
      <c r="A25" s="14"/>
      <c r="B25" s="15"/>
      <c r="C25" s="14"/>
      <c r="D25" s="14"/>
      <c r="E25" s="14"/>
      <c r="F25" s="14"/>
      <c r="G25" s="14"/>
      <c r="H25" s="14"/>
      <c r="I25" s="14"/>
      <c r="J25" s="14"/>
      <c r="K25" s="65"/>
    </row>
    <row r="26" spans="1:11" x14ac:dyDescent="0.2">
      <c r="A26" s="115">
        <f>A24+1</f>
        <v>13</v>
      </c>
      <c r="B26" s="1017" t="s">
        <v>191</v>
      </c>
      <c r="C26" s="14"/>
      <c r="D26" s="14"/>
      <c r="E26" s="14"/>
      <c r="F26" s="14"/>
      <c r="G26" s="14"/>
      <c r="H26" s="14" t="s">
        <v>169</v>
      </c>
      <c r="I26" s="15" t="str">
        <f>"9-ADIT, Line "&amp;'9-ADIT'!A14&amp;", Col. 2"</f>
        <v>9-ADIT, Line 5, Col. 2</v>
      </c>
      <c r="J26" s="14"/>
      <c r="K26" s="65">
        <f>'9-ADIT'!D14</f>
        <v>-445501987.33140349</v>
      </c>
    </row>
    <row r="27" spans="1:11" x14ac:dyDescent="0.2">
      <c r="A27" s="115"/>
      <c r="B27" s="1017"/>
      <c r="C27" s="14"/>
      <c r="D27" s="14"/>
      <c r="E27" s="14"/>
      <c r="F27" s="14"/>
      <c r="G27" s="14"/>
      <c r="H27" s="14"/>
      <c r="I27" s="14"/>
      <c r="J27" s="14"/>
      <c r="K27" s="14"/>
    </row>
    <row r="28" spans="1:11" x14ac:dyDescent="0.2">
      <c r="A28" s="115">
        <f>A26+1</f>
        <v>14</v>
      </c>
      <c r="B28" s="114" t="s">
        <v>275</v>
      </c>
      <c r="C28" s="14"/>
      <c r="D28" s="14"/>
      <c r="E28" s="14"/>
      <c r="F28" s="14"/>
      <c r="G28" s="14"/>
      <c r="H28" s="14"/>
      <c r="I28" s="15" t="str">
        <f>"14-IncentivePlant, L "&amp;'14-IncentivePlant'!A37&amp;", Col 1"</f>
        <v>14-IncentivePlant, L 12, Col 1</v>
      </c>
      <c r="J28" s="14"/>
      <c r="K28" s="65">
        <f>'14-IncentivePlant'!E37</f>
        <v>1277500411.2933509</v>
      </c>
    </row>
    <row r="29" spans="1:11" x14ac:dyDescent="0.2">
      <c r="A29" s="115"/>
      <c r="B29" s="114"/>
      <c r="C29" s="14"/>
      <c r="D29" s="14"/>
      <c r="E29" s="14"/>
      <c r="F29" s="14"/>
      <c r="G29" s="14"/>
      <c r="H29" s="14"/>
      <c r="I29" s="14"/>
      <c r="J29" s="14"/>
      <c r="K29" s="65"/>
    </row>
    <row r="30" spans="1:11" x14ac:dyDescent="0.2">
      <c r="A30" s="115">
        <f>A28+1</f>
        <v>15</v>
      </c>
      <c r="B30" s="114" t="s">
        <v>407</v>
      </c>
      <c r="C30" s="14"/>
      <c r="D30" s="14"/>
      <c r="E30" s="14"/>
      <c r="F30" s="14"/>
      <c r="G30" s="14"/>
      <c r="H30" s="14"/>
      <c r="I30" s="15" t="str">
        <f>"23-RegAssets, Line "&amp;'23-RegAssets'!A17&amp;""</f>
        <v>23-RegAssets, Line 14</v>
      </c>
      <c r="J30" s="14"/>
      <c r="K30" s="65">
        <f>'23-RegAssets'!E17</f>
        <v>0</v>
      </c>
    </row>
    <row r="31" spans="1:11" x14ac:dyDescent="0.2">
      <c r="A31" s="115" t="s">
        <v>912</v>
      </c>
      <c r="B31" s="1017" t="s">
        <v>2708</v>
      </c>
      <c r="C31" s="14"/>
      <c r="D31" s="14"/>
      <c r="E31" s="14"/>
      <c r="F31" s="14"/>
      <c r="G31" s="14"/>
      <c r="H31" s="14"/>
      <c r="I31" s="15" t="str">
        <f>"34-UnfundedReserves, Line "&amp;'34-UnfundedReserves'!A9&amp;""</f>
        <v>34-UnfundedReserves, Line 6</v>
      </c>
      <c r="J31" s="14"/>
      <c r="K31" s="65">
        <f>'34-UnfundedReserves'!K9</f>
        <v>-10874795.021993753</v>
      </c>
    </row>
    <row r="32" spans="1:11" x14ac:dyDescent="0.2">
      <c r="A32" s="115">
        <f>A30+1</f>
        <v>16</v>
      </c>
      <c r="B32" s="1017" t="s">
        <v>64</v>
      </c>
      <c r="C32" s="14"/>
      <c r="D32" s="14"/>
      <c r="E32" s="14"/>
      <c r="F32" s="14"/>
      <c r="G32" s="14"/>
      <c r="H32" s="14" t="s">
        <v>169</v>
      </c>
      <c r="I32" s="15" t="str">
        <f>"22-NUCs, Line "&amp;'22-NUCs'!A12&amp;""</f>
        <v>22-NUCs, Line 5</v>
      </c>
      <c r="J32" s="14"/>
      <c r="K32" s="65">
        <f>-'22-NUCs'!E12</f>
        <v>-18816505.559999999</v>
      </c>
    </row>
    <row r="33" spans="1:11" x14ac:dyDescent="0.2">
      <c r="A33" s="115"/>
      <c r="B33" s="1017"/>
      <c r="C33" s="14"/>
      <c r="D33" s="14"/>
      <c r="E33" s="14"/>
      <c r="F33" s="14"/>
      <c r="G33" s="14"/>
      <c r="H33" s="14"/>
      <c r="I33" s="14"/>
      <c r="J33" s="14"/>
      <c r="K33" s="14"/>
    </row>
    <row r="34" spans="1:11" x14ac:dyDescent="0.2">
      <c r="A34" s="115">
        <f>A32+1</f>
        <v>17</v>
      </c>
      <c r="B34" s="14" t="s">
        <v>201</v>
      </c>
      <c r="C34" s="14"/>
      <c r="D34" s="14"/>
      <c r="E34" s="14"/>
      <c r="F34" s="14"/>
      <c r="G34" s="14"/>
      <c r="H34" s="14"/>
      <c r="I34" s="15" t="str">
        <f>"L"&amp;A9&amp;" + L"&amp;A10&amp;" + L"&amp;A11&amp;" + L"&amp;A12&amp;" + L"&amp;A18&amp;" + L"&amp;A24&amp;" +"</f>
        <v>L1 + L2 + L3 + L4 + L8 + L12 +</v>
      </c>
      <c r="J34" s="14"/>
      <c r="K34" s="65">
        <f>K9+K10+K11+K12+K18+K24+K26+K28+K30+K31+K32</f>
        <v>3227110083.4254594</v>
      </c>
    </row>
    <row r="35" spans="1:11" x14ac:dyDescent="0.2">
      <c r="A35" s="115"/>
      <c r="B35" s="14"/>
      <c r="C35" s="14"/>
      <c r="D35" s="14"/>
      <c r="E35" s="14"/>
      <c r="F35" s="14"/>
      <c r="G35" s="14"/>
      <c r="H35" s="14"/>
      <c r="I35" s="114" t="str">
        <f>"L"&amp;A26&amp;" + L"&amp;A28&amp;"+ L"&amp;A30&amp;"+ L"&amp;A31&amp;" + L"&amp;A32&amp;""</f>
        <v>L13 + L14+ L15+ L15a + L16</v>
      </c>
      <c r="J35" s="14"/>
      <c r="K35" s="65"/>
    </row>
    <row r="37" spans="1:11" x14ac:dyDescent="0.2">
      <c r="A37" s="10" t="s">
        <v>286</v>
      </c>
      <c r="B37" s="11"/>
      <c r="C37" s="11"/>
      <c r="D37" s="11"/>
      <c r="E37" s="11"/>
      <c r="F37" s="11"/>
      <c r="G37" s="11"/>
      <c r="H37" s="9"/>
      <c r="I37" s="9"/>
      <c r="J37" s="9"/>
      <c r="K37" s="9"/>
    </row>
    <row r="39" spans="1:11" x14ac:dyDescent="0.2">
      <c r="A39" s="2">
        <f>A34+1</f>
        <v>18</v>
      </c>
      <c r="B39" s="628" t="s">
        <v>2315</v>
      </c>
      <c r="C39" s="14"/>
      <c r="D39" s="14"/>
      <c r="H39" s="644" t="s">
        <v>2884</v>
      </c>
      <c r="I39" s="12" t="s">
        <v>565</v>
      </c>
      <c r="K39" s="6">
        <v>189815354</v>
      </c>
    </row>
    <row r="40" spans="1:11" x14ac:dyDescent="0.2">
      <c r="A40" s="2">
        <f>A39+1</f>
        <v>19</v>
      </c>
      <c r="B40" s="118" t="s">
        <v>66</v>
      </c>
      <c r="C40" s="14"/>
      <c r="D40" s="14"/>
      <c r="I40" s="15" t="str">
        <f>"27-Allocators, Line "&amp;'27-Allocators'!A28&amp;""</f>
        <v>27-Allocators, Line 22</v>
      </c>
      <c r="K40" s="8">
        <f>'27-Allocators'!G28</f>
        <v>9.6689189040997187E-2</v>
      </c>
    </row>
    <row r="41" spans="1:11" x14ac:dyDescent="0.2">
      <c r="A41" s="2">
        <f>A40+1</f>
        <v>20</v>
      </c>
      <c r="B41" s="14" t="s">
        <v>70</v>
      </c>
      <c r="C41" s="14"/>
      <c r="D41" s="14"/>
      <c r="I41" s="15" t="str">
        <f>"Line "&amp;A39&amp;" * Line "&amp;A40&amp;""</f>
        <v>Line 18 * Line 19</v>
      </c>
      <c r="K41" s="7">
        <f>K39*K40</f>
        <v>18353092.645789802</v>
      </c>
    </row>
    <row r="42" spans="1:11" x14ac:dyDescent="0.2">
      <c r="A42" s="2" t="s">
        <v>368</v>
      </c>
      <c r="B42" s="14"/>
      <c r="C42" s="14"/>
      <c r="D42" s="14"/>
      <c r="H42" s="626"/>
      <c r="I42" s="14"/>
      <c r="K42" s="8"/>
    </row>
    <row r="43" spans="1:11" x14ac:dyDescent="0.2">
      <c r="A43" s="2">
        <f>A41+1</f>
        <v>21</v>
      </c>
      <c r="B43" s="15" t="s">
        <v>287</v>
      </c>
      <c r="C43" s="14"/>
      <c r="D43" s="14"/>
      <c r="I43" s="14"/>
      <c r="K43" s="8"/>
    </row>
    <row r="44" spans="1:11" x14ac:dyDescent="0.2">
      <c r="A44" s="2">
        <f t="shared" ref="A44:A56" si="0">A43+1</f>
        <v>22</v>
      </c>
      <c r="B44" s="118" t="s">
        <v>16</v>
      </c>
      <c r="C44" s="14"/>
      <c r="D44" s="14"/>
      <c r="E44" s="1"/>
      <c r="F44" s="1"/>
      <c r="G44" s="1"/>
      <c r="I44" s="15" t="str">
        <f>"Line "&amp;A45&amp;" + Line "&amp;A46&amp;"+ Line "&amp;A47&amp;""</f>
        <v>Line 23 + Line 24+ Line 25</v>
      </c>
      <c r="K44" s="65">
        <f>SUM(K45:K47)</f>
        <v>130062378</v>
      </c>
    </row>
    <row r="45" spans="1:11" x14ac:dyDescent="0.2">
      <c r="A45" s="2">
        <f t="shared" si="0"/>
        <v>23</v>
      </c>
      <c r="B45" s="397" t="s">
        <v>46</v>
      </c>
      <c r="C45" s="14"/>
      <c r="D45" s="14"/>
      <c r="E45" s="1"/>
      <c r="F45" s="1"/>
      <c r="G45" s="1"/>
      <c r="H45" s="644" t="s">
        <v>2885</v>
      </c>
      <c r="I45" s="15" t="s">
        <v>566</v>
      </c>
      <c r="K45" s="6">
        <v>129728541</v>
      </c>
    </row>
    <row r="46" spans="1:11" x14ac:dyDescent="0.2">
      <c r="A46" s="2">
        <f t="shared" si="0"/>
        <v>24</v>
      </c>
      <c r="B46" s="397" t="s">
        <v>47</v>
      </c>
      <c r="C46" s="14"/>
      <c r="D46" s="14"/>
      <c r="E46" s="1"/>
      <c r="F46" s="1"/>
      <c r="G46" s="1"/>
      <c r="H46" s="644" t="s">
        <v>2886</v>
      </c>
      <c r="I46" s="15" t="s">
        <v>566</v>
      </c>
      <c r="K46" s="6">
        <v>341297</v>
      </c>
    </row>
    <row r="47" spans="1:11" x14ac:dyDescent="0.2">
      <c r="A47" s="2">
        <f t="shared" si="0"/>
        <v>25</v>
      </c>
      <c r="B47" s="397" t="s">
        <v>48</v>
      </c>
      <c r="C47" s="14"/>
      <c r="D47" s="14"/>
      <c r="E47" s="1"/>
      <c r="F47" s="1"/>
      <c r="G47" s="1"/>
      <c r="H47" s="644" t="s">
        <v>2887</v>
      </c>
      <c r="I47" s="15" t="s">
        <v>566</v>
      </c>
      <c r="K47" s="6">
        <v>-7460</v>
      </c>
    </row>
    <row r="48" spans="1:11" x14ac:dyDescent="0.2">
      <c r="A48" s="2">
        <f t="shared" si="0"/>
        <v>26</v>
      </c>
      <c r="B48" s="625" t="s">
        <v>2316</v>
      </c>
      <c r="C48" s="14"/>
      <c r="D48" s="14"/>
      <c r="H48" s="644" t="s">
        <v>2888</v>
      </c>
      <c r="I48" s="15" t="s">
        <v>566</v>
      </c>
      <c r="K48" s="6">
        <v>5992476</v>
      </c>
    </row>
    <row r="49" spans="1:11" x14ac:dyDescent="0.2">
      <c r="A49" s="2">
        <f t="shared" si="0"/>
        <v>27</v>
      </c>
      <c r="B49" s="118" t="s">
        <v>2317</v>
      </c>
      <c r="C49" s="14"/>
      <c r="D49" s="14"/>
      <c r="H49" s="644" t="s">
        <v>2889</v>
      </c>
      <c r="I49" s="15" t="s">
        <v>566</v>
      </c>
      <c r="K49" s="6">
        <v>1081427</v>
      </c>
    </row>
    <row r="50" spans="1:11" x14ac:dyDescent="0.2">
      <c r="A50" s="780">
        <f t="shared" si="0"/>
        <v>28</v>
      </c>
      <c r="B50" s="118" t="s">
        <v>2103</v>
      </c>
      <c r="C50" s="14"/>
      <c r="D50" s="14"/>
      <c r="H50" s="644" t="s">
        <v>2890</v>
      </c>
      <c r="I50" s="628" t="s">
        <v>2104</v>
      </c>
      <c r="K50" s="6">
        <v>17497</v>
      </c>
    </row>
    <row r="51" spans="1:11" x14ac:dyDescent="0.2">
      <c r="A51" s="780">
        <f t="shared" si="0"/>
        <v>29</v>
      </c>
      <c r="B51" s="118" t="s">
        <v>2318</v>
      </c>
      <c r="C51" s="14"/>
      <c r="D51" s="14"/>
      <c r="H51" s="644" t="s">
        <v>2884</v>
      </c>
      <c r="I51" s="628" t="s">
        <v>2104</v>
      </c>
      <c r="K51" s="6">
        <v>27424</v>
      </c>
    </row>
    <row r="52" spans="1:11" x14ac:dyDescent="0.2">
      <c r="A52" s="780">
        <f t="shared" si="0"/>
        <v>30</v>
      </c>
      <c r="B52" t="s">
        <v>71</v>
      </c>
      <c r="I52" s="15" t="str">
        <f>"Line "&amp;A44&amp;" + (Line "&amp;A48&amp;" to Line "&amp;A51&amp;")"</f>
        <v>Line 22 + (Line 26 to Line 29)</v>
      </c>
      <c r="K52" s="7">
        <f>K44+K48+K49+K50+K51</f>
        <v>137181202</v>
      </c>
    </row>
    <row r="53" spans="1:11" x14ac:dyDescent="0.2">
      <c r="A53" s="780">
        <f t="shared" si="0"/>
        <v>31</v>
      </c>
      <c r="B53" s="628" t="s">
        <v>2105</v>
      </c>
      <c r="C53" s="14"/>
      <c r="D53" s="14"/>
      <c r="E53" s="14"/>
      <c r="F53" s="14"/>
      <c r="G53" s="14"/>
      <c r="H53" s="628"/>
      <c r="I53" s="628" t="str">
        <f>"26-TaxRates, Line "&amp;'26-TaxRates'!A57&amp;""</f>
        <v>26-TaxRates, Line 51</v>
      </c>
      <c r="K53" s="242">
        <f>'26-TaxRates'!F57</f>
        <v>45967326</v>
      </c>
    </row>
    <row r="54" spans="1:11" x14ac:dyDescent="0.2">
      <c r="A54" s="780">
        <f t="shared" si="0"/>
        <v>32</v>
      </c>
      <c r="B54" s="14" t="s">
        <v>1625</v>
      </c>
      <c r="C54" s="14"/>
      <c r="D54" s="14"/>
      <c r="E54" s="14"/>
      <c r="F54" s="14"/>
      <c r="G54" s="14"/>
      <c r="I54" s="15" t="str">
        <f>"Line "&amp;A52&amp;" - Line "&amp;A53&amp;""</f>
        <v>Line 30 - Line 31</v>
      </c>
      <c r="K54" s="7">
        <f>K52-K53</f>
        <v>91213876</v>
      </c>
    </row>
    <row r="55" spans="1:11" x14ac:dyDescent="0.2">
      <c r="A55" s="780">
        <f t="shared" si="0"/>
        <v>33</v>
      </c>
      <c r="B55" s="13" t="s">
        <v>105</v>
      </c>
      <c r="I55" s="15" t="str">
        <f>"27-Allocators, Line "&amp;'27-Allocators'!A15&amp;""</f>
        <v>27-Allocators, Line 9</v>
      </c>
      <c r="K55" s="8">
        <f>'27-Allocators'!G15</f>
        <v>3.9273273898169321E-2</v>
      </c>
    </row>
    <row r="56" spans="1:11" x14ac:dyDescent="0.2">
      <c r="A56" s="780">
        <f t="shared" si="0"/>
        <v>34</v>
      </c>
      <c r="B56" s="52" t="s">
        <v>287</v>
      </c>
      <c r="I56" s="12" t="str">
        <f>"Line "&amp;A54&amp;" * Line "&amp;A55&amp;""</f>
        <v>Line 32 * Line 33</v>
      </c>
      <c r="K56" s="7">
        <f>K54*K55</f>
        <v>3582267.535461653</v>
      </c>
    </row>
    <row r="57" spans="1:11" x14ac:dyDescent="0.2">
      <c r="A57" s="2"/>
      <c r="K57" s="7"/>
    </row>
    <row r="58" spans="1:11" x14ac:dyDescent="0.2">
      <c r="A58" s="2">
        <f>A56+1</f>
        <v>35</v>
      </c>
      <c r="B58" s="12" t="s">
        <v>89</v>
      </c>
      <c r="I58" s="12" t="str">
        <f>"Line "&amp;A41&amp;" + Line "&amp;A56&amp;""</f>
        <v>Line 20 + Line 34</v>
      </c>
      <c r="K58" s="7">
        <f>K41+K56</f>
        <v>21935360.181251455</v>
      </c>
    </row>
    <row r="60" spans="1:11" x14ac:dyDescent="0.2">
      <c r="A60" s="10" t="s">
        <v>205</v>
      </c>
      <c r="B60" s="11"/>
      <c r="C60" s="11"/>
      <c r="D60" s="11"/>
      <c r="E60" s="11"/>
      <c r="F60" s="11"/>
      <c r="G60" s="11"/>
      <c r="H60" s="9"/>
      <c r="I60" s="9"/>
      <c r="J60" s="9"/>
      <c r="K60" s="9"/>
    </row>
    <row r="61" spans="1:11" x14ac:dyDescent="0.2">
      <c r="A61" s="45"/>
      <c r="B61" s="15"/>
      <c r="C61" s="15"/>
      <c r="D61" s="15"/>
      <c r="E61" s="15"/>
      <c r="F61" s="15"/>
      <c r="G61" s="15"/>
      <c r="H61" s="15"/>
      <c r="I61" s="15"/>
      <c r="J61" s="15"/>
      <c r="K61" s="15"/>
    </row>
    <row r="62" spans="1:11" x14ac:dyDescent="0.2">
      <c r="A62" s="110"/>
      <c r="B62" s="46" t="s">
        <v>26</v>
      </c>
      <c r="C62" s="15"/>
      <c r="D62" s="15"/>
      <c r="E62" s="15"/>
      <c r="F62" s="15"/>
      <c r="G62" s="15"/>
      <c r="H62" s="15"/>
      <c r="I62" s="15"/>
      <c r="J62" s="15"/>
      <c r="K62" s="15"/>
    </row>
    <row r="63" spans="1:11" x14ac:dyDescent="0.2">
      <c r="A63" s="115">
        <f>A58+1</f>
        <v>36</v>
      </c>
      <c r="B63" s="15" t="s">
        <v>237</v>
      </c>
      <c r="C63" s="15"/>
      <c r="D63" s="15"/>
      <c r="E63" s="15"/>
      <c r="F63" s="15"/>
      <c r="G63" s="15"/>
      <c r="H63" s="15"/>
      <c r="I63" s="15" t="str">
        <f>"5-ROR-1, Line "&amp;'5-ROR-1'!A16&amp;""</f>
        <v>5-ROR-1, Line 8</v>
      </c>
      <c r="J63" s="15"/>
      <c r="K63" s="48">
        <f>'5-ROR-1'!L16</f>
        <v>7989426591.5761538</v>
      </c>
    </row>
    <row r="64" spans="1:11" x14ac:dyDescent="0.2">
      <c r="A64" s="2">
        <f>A63+1</f>
        <v>37</v>
      </c>
      <c r="B64" s="15" t="s">
        <v>288</v>
      </c>
      <c r="C64" s="15"/>
      <c r="D64" s="15"/>
      <c r="E64" s="15"/>
      <c r="F64" s="15"/>
      <c r="G64" s="15"/>
      <c r="H64" s="15"/>
      <c r="I64" s="15" t="str">
        <f>"5-ROR-1, Line "&amp;'5-ROR-1'!A27&amp;""</f>
        <v>5-ROR-1, Line 16</v>
      </c>
      <c r="J64" s="15"/>
      <c r="K64" s="48">
        <f>'5-ROR-1'!L27</f>
        <v>444702626</v>
      </c>
    </row>
    <row r="65" spans="1:11" x14ac:dyDescent="0.2">
      <c r="A65" s="2">
        <f>A64+1</f>
        <v>38</v>
      </c>
      <c r="B65" s="15" t="s">
        <v>289</v>
      </c>
      <c r="C65" s="15"/>
      <c r="D65" s="15"/>
      <c r="E65" s="15"/>
      <c r="F65" s="15"/>
      <c r="G65" s="15"/>
      <c r="I65" s="15" t="str">
        <f>"5-ROR-1, Line "&amp;'5-ROR-1'!A29&amp;""</f>
        <v>5-ROR-1, Line 17</v>
      </c>
      <c r="J65" s="15"/>
      <c r="K65" s="49">
        <f>'5-ROR-1'!L29</f>
        <v>5.566139458229493E-2</v>
      </c>
    </row>
    <row r="66" spans="1:11" x14ac:dyDescent="0.2">
      <c r="A66" s="115"/>
      <c r="B66" s="15"/>
      <c r="C66" s="15"/>
      <c r="D66" s="15"/>
      <c r="E66" s="15"/>
      <c r="F66" s="15"/>
      <c r="G66" s="15"/>
      <c r="I66" s="15"/>
      <c r="J66" s="15"/>
      <c r="K66" s="49"/>
    </row>
    <row r="67" spans="1:11" x14ac:dyDescent="0.2">
      <c r="A67" s="115"/>
      <c r="B67" s="46" t="s">
        <v>27</v>
      </c>
      <c r="C67" s="15"/>
      <c r="D67" s="15"/>
      <c r="E67" s="15"/>
      <c r="F67" s="15"/>
      <c r="G67" s="15"/>
      <c r="H67" s="15"/>
      <c r="I67" s="15"/>
      <c r="J67" s="15"/>
      <c r="K67" s="15"/>
    </row>
    <row r="68" spans="1:11" x14ac:dyDescent="0.2">
      <c r="A68" s="115">
        <f>A65+1</f>
        <v>39</v>
      </c>
      <c r="B68" s="628" t="s">
        <v>56</v>
      </c>
      <c r="C68" s="15"/>
      <c r="D68" s="15"/>
      <c r="E68" s="15"/>
      <c r="F68" s="15"/>
      <c r="G68" s="15"/>
      <c r="H68" s="15"/>
      <c r="I68" s="15" t="str">
        <f>"5-ROR-1, Line "&amp;'5-ROR-1'!A35&amp;""</f>
        <v>5-ROR-1, Line 21</v>
      </c>
      <c r="J68" s="15"/>
      <c r="K68" s="48">
        <f>'5-ROR-1'!L35</f>
        <v>1006462140.8444192</v>
      </c>
    </row>
    <row r="69" spans="1:11" x14ac:dyDescent="0.2">
      <c r="A69" s="2">
        <f>A68+1</f>
        <v>40</v>
      </c>
      <c r="B69" s="628" t="s">
        <v>25</v>
      </c>
      <c r="C69" s="15"/>
      <c r="D69" s="15"/>
      <c r="E69" s="15"/>
      <c r="F69" s="15"/>
      <c r="G69" s="15"/>
      <c r="H69" s="15"/>
      <c r="I69" s="15" t="str">
        <f>"5-ROR-1, Line "&amp;'5-ROR-1'!A41&amp;""</f>
        <v>5-ROR-1, Line 25</v>
      </c>
      <c r="J69" s="15"/>
      <c r="K69" s="48">
        <f>'5-ROR-1'!L41</f>
        <v>59324534.180392154</v>
      </c>
    </row>
    <row r="70" spans="1:11" x14ac:dyDescent="0.2">
      <c r="A70" s="2">
        <f>A69+1</f>
        <v>41</v>
      </c>
      <c r="B70" s="628" t="s">
        <v>52</v>
      </c>
      <c r="C70" s="15"/>
      <c r="D70" s="15"/>
      <c r="E70" s="15"/>
      <c r="F70" s="15"/>
      <c r="G70" s="15"/>
      <c r="I70" s="15" t="str">
        <f>"5-ROR-1, Line "&amp;'5-ROR-1'!A43&amp;""</f>
        <v>5-ROR-1, Line 26</v>
      </c>
      <c r="J70" s="15"/>
      <c r="K70" s="49">
        <f>'5-ROR-1'!L43</f>
        <v>5.8943632127701311E-2</v>
      </c>
    </row>
    <row r="71" spans="1:11" x14ac:dyDescent="0.2">
      <c r="A71" s="115"/>
      <c r="B71" s="15"/>
      <c r="C71" s="15"/>
      <c r="D71" s="15"/>
      <c r="E71" s="15"/>
      <c r="F71" s="15"/>
      <c r="G71" s="15"/>
      <c r="I71" s="15"/>
      <c r="J71" s="15"/>
      <c r="K71" s="49"/>
    </row>
    <row r="72" spans="1:11" x14ac:dyDescent="0.2">
      <c r="A72" s="115"/>
      <c r="B72" s="46" t="s">
        <v>28</v>
      </c>
      <c r="C72" s="15"/>
      <c r="D72" s="15"/>
      <c r="E72" s="15"/>
      <c r="F72" s="15"/>
      <c r="G72" s="15"/>
      <c r="H72" s="15"/>
      <c r="I72" s="15"/>
      <c r="J72" s="15"/>
      <c r="K72" s="15"/>
    </row>
    <row r="73" spans="1:11" x14ac:dyDescent="0.2">
      <c r="A73" s="115">
        <f>A70+1</f>
        <v>42</v>
      </c>
      <c r="B73" s="15" t="s">
        <v>53</v>
      </c>
      <c r="C73" s="15"/>
      <c r="D73" s="15"/>
      <c r="E73" s="15"/>
      <c r="F73" s="15"/>
      <c r="G73" s="15"/>
      <c r="H73" s="15"/>
      <c r="I73" s="15" t="str">
        <f>"5-ROR-1, Line "&amp;'5-ROR-1'!A51&amp;""</f>
        <v>5-ROR-1, Line 32</v>
      </c>
      <c r="J73" s="15"/>
      <c r="K73" s="48">
        <f>'5-ROR-1'!L51</f>
        <v>8633498106.0914764</v>
      </c>
    </row>
    <row r="74" spans="1:11" x14ac:dyDescent="0.2">
      <c r="A74" s="115"/>
      <c r="B74" s="15"/>
      <c r="C74" s="15"/>
      <c r="D74" s="15"/>
      <c r="E74" s="15"/>
      <c r="F74" s="15"/>
      <c r="G74" s="15"/>
      <c r="H74" s="15"/>
      <c r="I74" s="66"/>
      <c r="J74" s="15"/>
      <c r="K74" s="15"/>
    </row>
    <row r="75" spans="1:11" x14ac:dyDescent="0.2">
      <c r="A75" s="2">
        <f>A73+1</f>
        <v>43</v>
      </c>
      <c r="B75" s="15" t="s">
        <v>55</v>
      </c>
      <c r="C75" s="15"/>
      <c r="D75" s="15"/>
      <c r="E75" s="15"/>
      <c r="F75" s="15"/>
      <c r="G75" s="15"/>
      <c r="H75" s="15"/>
      <c r="I75" s="12" t="str">
        <f>"Line "&amp;A63&amp;" + Line "&amp;A68&amp;" + Line "&amp;A73&amp;""</f>
        <v>Line 36 + Line 39 + Line 42</v>
      </c>
      <c r="J75" s="15"/>
      <c r="K75" s="48">
        <f>K63+K68+K73</f>
        <v>17629386838.512047</v>
      </c>
    </row>
    <row r="76" spans="1:11" x14ac:dyDescent="0.2">
      <c r="A76" s="115"/>
      <c r="B76" s="47"/>
      <c r="C76" s="15"/>
      <c r="D76" s="15"/>
      <c r="E76" s="15"/>
      <c r="F76" s="15"/>
      <c r="G76" s="15"/>
      <c r="I76" s="15"/>
      <c r="J76" s="15"/>
      <c r="K76" s="48"/>
    </row>
    <row r="77" spans="1:11" x14ac:dyDescent="0.2">
      <c r="A77" s="115"/>
      <c r="B77" s="46" t="s">
        <v>57</v>
      </c>
      <c r="C77" s="15"/>
      <c r="D77" s="15"/>
      <c r="E77" s="15"/>
      <c r="F77" s="15"/>
      <c r="G77" s="15"/>
      <c r="H77" s="15"/>
      <c r="I77" s="15"/>
      <c r="J77" s="15"/>
      <c r="K77" s="15"/>
    </row>
    <row r="78" spans="1:11" x14ac:dyDescent="0.2">
      <c r="A78" s="115">
        <f>A75+1</f>
        <v>44</v>
      </c>
      <c r="B78" s="15" t="s">
        <v>290</v>
      </c>
      <c r="C78" s="15"/>
      <c r="D78" s="15"/>
      <c r="E78" s="15"/>
      <c r="F78" s="15"/>
      <c r="G78" s="15"/>
      <c r="H78" s="15"/>
      <c r="I78" s="12" t="str">
        <f>"Line "&amp;A63&amp;" / Line "&amp;A75&amp;""</f>
        <v>Line 36 / Line 43</v>
      </c>
      <c r="J78" s="15"/>
      <c r="K78" s="49">
        <f>K63/K75</f>
        <v>0.45318800164523909</v>
      </c>
    </row>
    <row r="79" spans="1:11" x14ac:dyDescent="0.2">
      <c r="A79" s="2">
        <f>A78+1</f>
        <v>45</v>
      </c>
      <c r="B79" s="628" t="s">
        <v>291</v>
      </c>
      <c r="C79" s="15"/>
      <c r="D79" s="15"/>
      <c r="E79" s="15"/>
      <c r="F79" s="15"/>
      <c r="G79" s="15"/>
      <c r="H79" s="15"/>
      <c r="I79" s="12" t="str">
        <f>"Line "&amp;A68&amp;" / Line "&amp;A75&amp;""</f>
        <v>Line 39 / Line 43</v>
      </c>
      <c r="J79" s="15"/>
      <c r="K79" s="49">
        <f>K68/K75</f>
        <v>5.7090025311927785E-2</v>
      </c>
    </row>
    <row r="80" spans="1:11" x14ac:dyDescent="0.2">
      <c r="A80" s="2">
        <f>A79+1</f>
        <v>46</v>
      </c>
      <c r="B80" s="15" t="s">
        <v>58</v>
      </c>
      <c r="C80" s="15"/>
      <c r="D80" s="15"/>
      <c r="E80" s="15"/>
      <c r="F80" s="15"/>
      <c r="G80" s="15"/>
      <c r="H80" s="15"/>
      <c r="I80" s="12" t="str">
        <f>"Line "&amp;A73&amp;" / Line "&amp;A75&amp;""</f>
        <v>Line 42 / Line 43</v>
      </c>
      <c r="J80" s="15"/>
      <c r="K80" s="50">
        <f>K73/K75</f>
        <v>0.48972197304283327</v>
      </c>
    </row>
    <row r="81" spans="1:11" x14ac:dyDescent="0.2">
      <c r="A81" s="115"/>
      <c r="B81" s="15"/>
      <c r="C81" s="15"/>
      <c r="D81" s="15"/>
      <c r="E81" s="15"/>
      <c r="F81" s="15"/>
      <c r="G81" s="15"/>
      <c r="H81" s="15"/>
      <c r="I81" s="12" t="str">
        <f>"Line "&amp;A78&amp;" + Line "&amp;A79&amp;"+ Line "&amp;A80&amp;""</f>
        <v>Line 44 + Line 45+ Line 46</v>
      </c>
      <c r="J81" s="15"/>
      <c r="K81" s="49">
        <f>SUM(K78:K80)</f>
        <v>1</v>
      </c>
    </row>
    <row r="82" spans="1:11" x14ac:dyDescent="0.2">
      <c r="A82" s="115"/>
      <c r="B82" s="46" t="s">
        <v>253</v>
      </c>
      <c r="C82" s="15"/>
      <c r="D82" s="15"/>
      <c r="E82" s="15"/>
      <c r="F82" s="15"/>
      <c r="G82" s="15"/>
      <c r="H82" s="15"/>
      <c r="I82" s="15"/>
      <c r="J82" s="15"/>
      <c r="K82" s="49"/>
    </row>
    <row r="83" spans="1:11" x14ac:dyDescent="0.2">
      <c r="A83" s="115">
        <f>A80+1</f>
        <v>47</v>
      </c>
      <c r="B83" s="15" t="s">
        <v>289</v>
      </c>
      <c r="C83" s="15"/>
      <c r="D83" s="15"/>
      <c r="E83" s="15"/>
      <c r="F83" s="15"/>
      <c r="G83" s="15"/>
      <c r="I83" s="12" t="str">
        <f>"Line "&amp;A65&amp;""</f>
        <v>Line 38</v>
      </c>
      <c r="J83" s="15"/>
      <c r="K83" s="49">
        <f>K65</f>
        <v>5.566139458229493E-2</v>
      </c>
    </row>
    <row r="84" spans="1:11" x14ac:dyDescent="0.2">
      <c r="A84" s="2">
        <f>A83+1</f>
        <v>48</v>
      </c>
      <c r="B84" s="628" t="s">
        <v>52</v>
      </c>
      <c r="C84" s="15"/>
      <c r="D84" s="15"/>
      <c r="E84" s="15"/>
      <c r="F84" s="15"/>
      <c r="G84" s="15"/>
      <c r="I84" s="12" t="str">
        <f>"Line "&amp;A70&amp;""</f>
        <v>Line 41</v>
      </c>
      <c r="J84" s="15"/>
      <c r="K84" s="49">
        <f>K70</f>
        <v>5.8943632127701311E-2</v>
      </c>
    </row>
    <row r="85" spans="1:11" x14ac:dyDescent="0.2">
      <c r="A85" s="2">
        <f>A84+1</f>
        <v>49</v>
      </c>
      <c r="B85" s="628" t="s">
        <v>2239</v>
      </c>
      <c r="C85" s="15"/>
      <c r="D85" s="15"/>
      <c r="E85" s="15"/>
      <c r="F85" s="15"/>
      <c r="G85" s="15"/>
      <c r="H85" s="15" t="s">
        <v>404</v>
      </c>
      <c r="I85" s="15" t="s">
        <v>246</v>
      </c>
      <c r="J85" s="15"/>
      <c r="K85" s="1189">
        <v>9.8000000000000004E-2</v>
      </c>
    </row>
    <row r="86" spans="1:11" x14ac:dyDescent="0.2">
      <c r="A86" s="115"/>
      <c r="B86" s="15"/>
      <c r="C86" s="15"/>
      <c r="D86" s="15"/>
      <c r="E86" s="15"/>
      <c r="F86" s="15"/>
      <c r="G86" s="15"/>
      <c r="H86" s="14"/>
      <c r="I86" s="71"/>
      <c r="J86" s="15"/>
      <c r="K86" s="49"/>
    </row>
    <row r="87" spans="1:11" x14ac:dyDescent="0.2">
      <c r="A87" s="115"/>
      <c r="B87" s="46" t="s">
        <v>294</v>
      </c>
      <c r="C87" s="15"/>
      <c r="D87" s="15"/>
      <c r="E87" s="15"/>
      <c r="F87" s="15"/>
      <c r="G87" s="15"/>
      <c r="H87" s="15"/>
      <c r="I87" s="15"/>
      <c r="J87" s="15"/>
      <c r="K87" s="15"/>
    </row>
    <row r="88" spans="1:11" x14ac:dyDescent="0.2">
      <c r="A88" s="115">
        <f>A85+1</f>
        <v>50</v>
      </c>
      <c r="B88" s="15" t="s">
        <v>59</v>
      </c>
      <c r="C88" s="15"/>
      <c r="D88" s="15"/>
      <c r="E88" s="15"/>
      <c r="F88" s="15"/>
      <c r="G88" s="15"/>
      <c r="H88" s="14"/>
      <c r="I88" s="15" t="str">
        <f>"Line "&amp;A65&amp;" * Line "&amp;A78&amp;""</f>
        <v>Line 38 * Line 44</v>
      </c>
      <c r="J88" s="15"/>
      <c r="K88" s="49">
        <f>K65*K78</f>
        <v>2.5225076179537377E-2</v>
      </c>
    </row>
    <row r="89" spans="1:11" x14ac:dyDescent="0.2">
      <c r="A89" s="2">
        <f>A88+1</f>
        <v>51</v>
      </c>
      <c r="B89" s="628" t="s">
        <v>60</v>
      </c>
      <c r="C89" s="15"/>
      <c r="D89" s="15"/>
      <c r="E89" s="15"/>
      <c r="F89" s="15"/>
      <c r="G89" s="15"/>
      <c r="H89" s="14"/>
      <c r="I89" s="15" t="str">
        <f>"Line "&amp;A70&amp;" * Line "&amp;A79&amp;""</f>
        <v>Line 41 * Line 45</v>
      </c>
      <c r="J89" s="15"/>
      <c r="K89" s="49">
        <f>K70*K79</f>
        <v>3.3650934501474276E-3</v>
      </c>
    </row>
    <row r="90" spans="1:11" x14ac:dyDescent="0.2">
      <c r="A90" s="2">
        <f>A89+1</f>
        <v>52</v>
      </c>
      <c r="B90" s="15" t="s">
        <v>61</v>
      </c>
      <c r="C90" s="15"/>
      <c r="D90" s="15"/>
      <c r="E90" s="15"/>
      <c r="F90" s="15"/>
      <c r="G90" s="15"/>
      <c r="H90" s="14"/>
      <c r="I90" s="15" t="str">
        <f>"Line "&amp;A80&amp;" * Line "&amp;A85&amp;""</f>
        <v>Line 46 * Line 49</v>
      </c>
      <c r="J90" s="15"/>
      <c r="K90" s="50">
        <f>K80*K85</f>
        <v>4.7992753358197665E-2</v>
      </c>
    </row>
    <row r="91" spans="1:11" x14ac:dyDescent="0.2">
      <c r="A91" s="2">
        <f>A90+1</f>
        <v>53</v>
      </c>
      <c r="B91" s="47" t="s">
        <v>62</v>
      </c>
      <c r="C91" s="15"/>
      <c r="D91" s="15"/>
      <c r="E91" s="15"/>
      <c r="F91" s="15"/>
      <c r="G91" s="15"/>
      <c r="H91" s="14"/>
      <c r="I91" s="15" t="str">
        <f>"Line "&amp;A88&amp;" + Line "&amp;A89&amp;" + Line "&amp;A90&amp;""</f>
        <v>Line 50 + Line 51 + Line 52</v>
      </c>
      <c r="J91" s="15"/>
      <c r="K91" s="49">
        <f>SUM(K88:K90)</f>
        <v>7.6582922987882468E-2</v>
      </c>
    </row>
    <row r="92" spans="1:11" x14ac:dyDescent="0.2">
      <c r="A92" s="115"/>
      <c r="B92" s="47"/>
      <c r="C92" s="15"/>
      <c r="D92" s="15"/>
      <c r="E92" s="15"/>
      <c r="F92" s="15"/>
      <c r="G92" s="15"/>
      <c r="H92" s="14"/>
      <c r="I92" s="15"/>
      <c r="J92" s="15"/>
      <c r="K92" s="49"/>
    </row>
    <row r="93" spans="1:11" x14ac:dyDescent="0.2">
      <c r="A93" s="2">
        <f>A91+1</f>
        <v>54</v>
      </c>
      <c r="B93" s="698" t="s">
        <v>2240</v>
      </c>
      <c r="C93" s="15"/>
      <c r="D93" s="15"/>
      <c r="E93" s="15"/>
      <c r="F93" s="15"/>
      <c r="G93" s="15"/>
      <c r="H93" s="15" t="s">
        <v>248</v>
      </c>
      <c r="I93" s="15" t="str">
        <f>"Line "&amp;A89&amp;" + Line "&amp;A90&amp;""</f>
        <v>Line 51 + Line 52</v>
      </c>
      <c r="J93" s="15"/>
      <c r="K93" s="49">
        <f>K89+K90</f>
        <v>5.1357846808345091E-2</v>
      </c>
    </row>
    <row r="94" spans="1:11" x14ac:dyDescent="0.2">
      <c r="A94" s="115"/>
      <c r="B94" s="15"/>
      <c r="C94" s="15"/>
      <c r="D94" s="15"/>
      <c r="E94" s="15"/>
      <c r="F94" s="15"/>
      <c r="G94" s="15"/>
      <c r="H94" s="14"/>
      <c r="I94" s="15"/>
      <c r="J94" s="15"/>
      <c r="K94" s="49"/>
    </row>
    <row r="95" spans="1:11" x14ac:dyDescent="0.2">
      <c r="A95" s="2">
        <f>A93+1</f>
        <v>55</v>
      </c>
      <c r="B95" s="15" t="s">
        <v>63</v>
      </c>
      <c r="C95" s="15"/>
      <c r="D95" s="15"/>
      <c r="E95" s="15"/>
      <c r="F95" s="15"/>
      <c r="G95" s="15"/>
      <c r="H95" s="14"/>
      <c r="I95" s="15" t="str">
        <f>"Line "&amp;A34&amp;" * Line "&amp;A91&amp;""</f>
        <v>Line 17 * Line 53</v>
      </c>
      <c r="J95" s="15"/>
      <c r="K95" s="48">
        <f>K34*K91</f>
        <v>247141522.99239093</v>
      </c>
    </row>
    <row r="96" spans="1:11" x14ac:dyDescent="0.2">
      <c r="A96" s="89"/>
      <c r="B96" s="12"/>
      <c r="C96" s="12"/>
      <c r="D96" s="12"/>
      <c r="E96" s="12"/>
      <c r="F96" s="12"/>
      <c r="G96" s="12"/>
      <c r="H96" s="12"/>
      <c r="I96" s="12"/>
      <c r="J96" s="12"/>
      <c r="K96" s="12"/>
    </row>
    <row r="97" spans="1:11" x14ac:dyDescent="0.2">
      <c r="A97" s="12"/>
      <c r="B97" s="12"/>
      <c r="C97" s="12"/>
      <c r="D97" s="12"/>
      <c r="E97" s="12"/>
      <c r="F97" s="12"/>
      <c r="G97" s="12"/>
      <c r="H97" s="12"/>
      <c r="I97" s="12"/>
      <c r="J97" s="12"/>
      <c r="K97" s="12"/>
    </row>
    <row r="98" spans="1:11" x14ac:dyDescent="0.2">
      <c r="A98" s="10" t="s">
        <v>206</v>
      </c>
      <c r="B98" s="11"/>
      <c r="C98" s="11"/>
      <c r="D98" s="11"/>
      <c r="E98" s="11"/>
      <c r="F98" s="11"/>
      <c r="G98" s="11"/>
      <c r="H98" s="9"/>
      <c r="I98" s="9"/>
      <c r="J98" s="9"/>
      <c r="K98" s="9"/>
    </row>
    <row r="100" spans="1:11" x14ac:dyDescent="0.2">
      <c r="A100" s="115">
        <f>A95+1</f>
        <v>56</v>
      </c>
      <c r="B100" s="14" t="s">
        <v>247</v>
      </c>
      <c r="C100" s="14"/>
      <c r="D100" s="14"/>
      <c r="E100" s="14"/>
      <c r="F100" s="14"/>
      <c r="G100" s="14"/>
      <c r="H100" s="14"/>
      <c r="I100" s="14" t="str">
        <f>"26-Tax Rates, Line "&amp;'26-TaxRates'!A7&amp;""</f>
        <v>26-Tax Rates, Line 1</v>
      </c>
      <c r="J100" s="14"/>
      <c r="K100" s="69">
        <f>'26-TaxRates'!D7</f>
        <v>0.35</v>
      </c>
    </row>
    <row r="101" spans="1:11" x14ac:dyDescent="0.2">
      <c r="A101" s="115">
        <f>A100+1</f>
        <v>57</v>
      </c>
      <c r="B101" s="15" t="s">
        <v>293</v>
      </c>
      <c r="C101" s="14"/>
      <c r="D101" s="14"/>
      <c r="E101" s="14"/>
      <c r="F101" s="14"/>
      <c r="G101" s="14"/>
      <c r="H101" s="14"/>
      <c r="I101" s="14" t="str">
        <f>"26-Tax Rates, Line "&amp;'26-TaxRates'!A14&amp;""</f>
        <v>26-Tax Rates, Line 8</v>
      </c>
      <c r="J101" s="14"/>
      <c r="K101" s="69">
        <f>'26-TaxRates'!D14</f>
        <v>9.0558621183229229E-2</v>
      </c>
    </row>
    <row r="102" spans="1:11" x14ac:dyDescent="0.2">
      <c r="A102" s="115">
        <f>A101+1</f>
        <v>58</v>
      </c>
      <c r="B102" s="15" t="s">
        <v>292</v>
      </c>
      <c r="C102" s="14"/>
      <c r="D102" s="14"/>
      <c r="E102" s="14"/>
      <c r="F102" s="14"/>
      <c r="G102" s="14"/>
      <c r="H102" s="519" t="s">
        <v>2131</v>
      </c>
      <c r="I102" s="15" t="str">
        <f>"(L"&amp;A100&amp;" + L"&amp;A101&amp;") - (L"&amp;A100&amp;" * L"&amp;A101&amp;")"</f>
        <v>(L56 + L57) - (L56 * L57)</v>
      </c>
      <c r="J102" s="14"/>
      <c r="K102" s="69">
        <f>(K100+K101)-(K100*K101)</f>
        <v>0.40886310376909896</v>
      </c>
    </row>
    <row r="103" spans="1:11" x14ac:dyDescent="0.2">
      <c r="A103" s="115"/>
      <c r="B103" s="14"/>
      <c r="C103" s="14"/>
      <c r="D103" s="14"/>
      <c r="E103" s="14"/>
      <c r="F103" s="14"/>
      <c r="G103" s="14"/>
      <c r="H103" s="14"/>
      <c r="I103" s="14"/>
      <c r="J103" s="14"/>
      <c r="K103" s="69"/>
    </row>
    <row r="104" spans="1:11" x14ac:dyDescent="0.2">
      <c r="A104" s="115"/>
      <c r="B104" s="46" t="s">
        <v>295</v>
      </c>
      <c r="C104" s="14"/>
      <c r="D104" s="14"/>
      <c r="E104" s="14"/>
      <c r="F104" s="14"/>
      <c r="G104" s="14"/>
      <c r="H104" s="14"/>
      <c r="I104" s="14"/>
      <c r="J104" s="14"/>
      <c r="K104" s="69"/>
    </row>
    <row r="105" spans="1:11" x14ac:dyDescent="0.2">
      <c r="A105" s="115">
        <f>A102+1</f>
        <v>59</v>
      </c>
      <c r="B105" s="698" t="s">
        <v>2448</v>
      </c>
      <c r="C105" s="14"/>
      <c r="D105" s="14"/>
      <c r="E105" s="14"/>
      <c r="F105" s="14"/>
      <c r="G105" s="14"/>
      <c r="H105" s="15" t="s">
        <v>405</v>
      </c>
      <c r="I105" s="14"/>
      <c r="J105" s="14"/>
      <c r="K105" s="65">
        <v>200</v>
      </c>
    </row>
    <row r="106" spans="1:11" x14ac:dyDescent="0.2">
      <c r="A106" s="115">
        <f>A105+1</f>
        <v>60</v>
      </c>
      <c r="B106" s="698" t="s">
        <v>2449</v>
      </c>
      <c r="C106" s="14"/>
      <c r="D106" s="14"/>
      <c r="E106" s="14"/>
      <c r="F106" s="14"/>
      <c r="G106" s="14"/>
      <c r="H106" s="15" t="s">
        <v>405</v>
      </c>
      <c r="I106" s="14"/>
      <c r="J106" s="14"/>
      <c r="K106" s="65">
        <v>-520000</v>
      </c>
    </row>
    <row r="107" spans="1:11" x14ac:dyDescent="0.2">
      <c r="A107" s="115">
        <f>A106+1</f>
        <v>61</v>
      </c>
      <c r="B107" s="698" t="s">
        <v>2450</v>
      </c>
      <c r="C107" s="14"/>
      <c r="D107" s="14"/>
      <c r="E107" s="14"/>
      <c r="F107" s="14"/>
      <c r="G107" s="14"/>
      <c r="H107" s="15" t="s">
        <v>405</v>
      </c>
      <c r="I107" s="14"/>
      <c r="J107" s="14"/>
      <c r="K107" s="116">
        <v>2606000</v>
      </c>
    </row>
    <row r="108" spans="1:11" x14ac:dyDescent="0.2">
      <c r="A108" s="115">
        <f>A107+1</f>
        <v>62</v>
      </c>
      <c r="B108" s="47" t="s">
        <v>296</v>
      </c>
      <c r="C108" s="14"/>
      <c r="D108" s="14"/>
      <c r="E108" s="14"/>
      <c r="F108" s="14"/>
      <c r="G108" s="14"/>
      <c r="H108" s="14"/>
      <c r="I108" s="628" t="str">
        <f>"Line "&amp;A105&amp;" + Line "&amp;A106&amp;"+ Line "&amp;A107&amp;""</f>
        <v>Line 59 + Line 60+ Line 61</v>
      </c>
      <c r="J108" s="14"/>
      <c r="K108" s="65">
        <f>SUM(K105:K107)</f>
        <v>2086200</v>
      </c>
    </row>
    <row r="109" spans="1:11" x14ac:dyDescent="0.2">
      <c r="A109" s="115"/>
      <c r="B109" s="14"/>
      <c r="C109" s="14"/>
      <c r="D109" s="14"/>
      <c r="E109" s="14"/>
      <c r="F109" s="14"/>
      <c r="G109" s="14"/>
      <c r="H109" s="14"/>
      <c r="I109" s="14"/>
      <c r="J109" s="14"/>
      <c r="K109" s="14"/>
    </row>
    <row r="110" spans="1:11" x14ac:dyDescent="0.2">
      <c r="A110" s="115">
        <f>A108+1</f>
        <v>63</v>
      </c>
      <c r="B110" s="15" t="s">
        <v>297</v>
      </c>
      <c r="C110" s="14"/>
      <c r="D110" s="14"/>
      <c r="E110" s="14"/>
      <c r="F110" s="14"/>
      <c r="G110" s="14"/>
      <c r="H110" s="14"/>
      <c r="I110" s="14" t="str">
        <f>"Formula on Line "&amp;A112&amp;""</f>
        <v>Formula on Line 64</v>
      </c>
      <c r="J110" s="14"/>
      <c r="K110" s="65">
        <f>(((K34*K93) + K119)*(K102/(1-K102)))+(K108/(1-K102))</f>
        <v>119537744.08423057</v>
      </c>
    </row>
    <row r="111" spans="1:11" x14ac:dyDescent="0.2">
      <c r="A111" s="115"/>
      <c r="B111" s="14"/>
      <c r="C111" s="14"/>
      <c r="D111" s="14"/>
      <c r="E111" s="14"/>
      <c r="F111" s="14"/>
      <c r="G111" s="14"/>
      <c r="H111" s="14"/>
      <c r="I111" s="14"/>
      <c r="J111" s="14"/>
      <c r="K111" s="14"/>
    </row>
    <row r="112" spans="1:11" x14ac:dyDescent="0.2">
      <c r="A112" s="115">
        <f>A110+1</f>
        <v>64</v>
      </c>
      <c r="B112" s="628" t="s">
        <v>2871</v>
      </c>
      <c r="C112" s="14"/>
      <c r="D112" s="14"/>
      <c r="E112" s="14"/>
      <c r="F112" s="14"/>
      <c r="G112" s="14"/>
      <c r="H112" s="14"/>
      <c r="I112" s="14"/>
      <c r="J112" s="14"/>
      <c r="K112" s="14"/>
    </row>
    <row r="113" spans="1:11" x14ac:dyDescent="0.2">
      <c r="A113" s="1016"/>
      <c r="B113" s="14"/>
      <c r="C113" s="14"/>
      <c r="D113" s="14"/>
      <c r="E113" s="14"/>
      <c r="F113" s="14"/>
      <c r="G113" s="14"/>
      <c r="H113" s="14"/>
      <c r="I113" s="15"/>
      <c r="J113" s="14"/>
      <c r="K113" s="14"/>
    </row>
    <row r="114" spans="1:11" x14ac:dyDescent="0.2">
      <c r="A114" s="1016"/>
      <c r="B114" s="14"/>
      <c r="C114" s="14" t="s">
        <v>249</v>
      </c>
      <c r="D114" s="14"/>
      <c r="E114" s="14"/>
      <c r="F114" s="14"/>
      <c r="G114" s="14"/>
      <c r="H114" s="14"/>
      <c r="I114" s="14"/>
      <c r="J114" s="14"/>
      <c r="K114" s="14"/>
    </row>
    <row r="115" spans="1:11" x14ac:dyDescent="0.2">
      <c r="A115" s="1016"/>
      <c r="B115" s="14"/>
      <c r="C115" s="118" t="s">
        <v>250</v>
      </c>
      <c r="D115" s="14"/>
      <c r="E115" s="14"/>
      <c r="F115" s="14"/>
      <c r="G115" s="14"/>
      <c r="H115" s="14"/>
      <c r="I115" s="15" t="str">
        <f>"Line "&amp;A34&amp;""</f>
        <v>Line 17</v>
      </c>
      <c r="J115" s="14"/>
      <c r="K115" s="14"/>
    </row>
    <row r="116" spans="1:11" x14ac:dyDescent="0.2">
      <c r="A116" s="1016"/>
      <c r="B116" s="14"/>
      <c r="C116" s="625" t="s">
        <v>2241</v>
      </c>
      <c r="D116" s="14"/>
      <c r="E116" s="14"/>
      <c r="F116" s="14"/>
      <c r="G116" s="14"/>
      <c r="H116" s="14"/>
      <c r="I116" s="15" t="str">
        <f>"Line "&amp;A93&amp;""</f>
        <v>Line 54</v>
      </c>
      <c r="J116" s="14"/>
      <c r="K116" s="14"/>
    </row>
    <row r="117" spans="1:11" x14ac:dyDescent="0.2">
      <c r="A117" s="1016"/>
      <c r="B117" s="14"/>
      <c r="C117" s="118" t="s">
        <v>251</v>
      </c>
      <c r="D117" s="14"/>
      <c r="E117" s="14"/>
      <c r="F117" s="14"/>
      <c r="G117" s="14"/>
      <c r="H117" s="14"/>
      <c r="I117" s="15" t="str">
        <f>"Line "&amp;A102&amp;""</f>
        <v>Line 58</v>
      </c>
      <c r="J117" s="14"/>
      <c r="K117" s="14"/>
    </row>
    <row r="118" spans="1:11" x14ac:dyDescent="0.2">
      <c r="A118" s="1016"/>
      <c r="B118" s="14"/>
      <c r="C118" s="118" t="s">
        <v>252</v>
      </c>
      <c r="D118" s="14"/>
      <c r="E118" s="14"/>
      <c r="F118" s="14"/>
      <c r="G118" s="14"/>
      <c r="H118" s="14"/>
      <c r="I118" s="15" t="str">
        <f>"Line "&amp;A108&amp;""</f>
        <v>Line 62</v>
      </c>
      <c r="J118" s="14"/>
      <c r="K118" s="14"/>
    </row>
    <row r="119" spans="1:11" x14ac:dyDescent="0.2">
      <c r="A119" s="700"/>
      <c r="C119" s="118" t="s">
        <v>2238</v>
      </c>
      <c r="D119" s="14"/>
      <c r="E119" s="14"/>
      <c r="F119" s="14"/>
      <c r="G119" s="14"/>
      <c r="H119" s="14"/>
      <c r="I119" s="14" t="s">
        <v>33</v>
      </c>
      <c r="K119" s="715">
        <v>1988570</v>
      </c>
    </row>
    <row r="121" spans="1:11" x14ac:dyDescent="0.2">
      <c r="A121" s="10" t="s">
        <v>72</v>
      </c>
      <c r="B121" s="11"/>
      <c r="C121" s="11"/>
      <c r="D121" s="11"/>
      <c r="E121" s="11"/>
      <c r="F121" s="11"/>
      <c r="G121" s="11"/>
      <c r="H121" s="9"/>
      <c r="I121" s="9"/>
      <c r="J121" s="9"/>
      <c r="K121" s="9"/>
    </row>
    <row r="123" spans="1:11" x14ac:dyDescent="0.2">
      <c r="B123" s="78" t="s">
        <v>298</v>
      </c>
    </row>
    <row r="124" spans="1:11" x14ac:dyDescent="0.2">
      <c r="A124" s="115">
        <f>A112+1</f>
        <v>65</v>
      </c>
      <c r="B124" s="14" t="s">
        <v>113</v>
      </c>
      <c r="C124" s="14"/>
      <c r="D124" s="14"/>
      <c r="E124" s="14"/>
      <c r="F124" s="14"/>
      <c r="G124" s="14"/>
      <c r="H124" s="118"/>
      <c r="I124" s="14" t="str">
        <f>"19-OandM, Line "&amp;'19-OandM'!A170&amp;", Col. 6"</f>
        <v>19-OandM, Line 137, Col. 6</v>
      </c>
      <c r="K124" s="65">
        <f>'19-OandM'!G170</f>
        <v>79741212.482255787</v>
      </c>
    </row>
    <row r="125" spans="1:11" x14ac:dyDescent="0.2">
      <c r="A125" s="115">
        <f t="shared" ref="A125:A139" si="1">A124+1</f>
        <v>66</v>
      </c>
      <c r="B125" s="15" t="s">
        <v>299</v>
      </c>
      <c r="C125" s="14"/>
      <c r="D125" s="14"/>
      <c r="E125" s="14"/>
      <c r="F125" s="14"/>
      <c r="G125" s="14"/>
      <c r="H125" s="118"/>
      <c r="I125" s="14" t="str">
        <f>"20-AandG, Line "&amp;'20-AandG'!A30&amp;""</f>
        <v>20-AandG, Line 23</v>
      </c>
      <c r="K125" s="65">
        <f>'20-AandG'!F30</f>
        <v>36795248.864036329</v>
      </c>
    </row>
    <row r="126" spans="1:11" x14ac:dyDescent="0.2">
      <c r="A126" s="115">
        <f t="shared" si="1"/>
        <v>67</v>
      </c>
      <c r="B126" s="14" t="s">
        <v>65</v>
      </c>
      <c r="C126" s="14"/>
      <c r="D126" s="14"/>
      <c r="E126" s="14"/>
      <c r="F126" s="14"/>
      <c r="G126" s="14"/>
      <c r="H126" s="118"/>
      <c r="I126" s="15" t="str">
        <f>"22-NUCs, Line "&amp;'22-NUCs'!A19&amp;""</f>
        <v>22-NUCs, Line 10</v>
      </c>
      <c r="K126" s="7">
        <f>'22-NUCs'!E19</f>
        <v>1275701.3</v>
      </c>
    </row>
    <row r="127" spans="1:11" x14ac:dyDescent="0.2">
      <c r="A127" s="115">
        <f t="shared" si="1"/>
        <v>68</v>
      </c>
      <c r="B127" s="15" t="s">
        <v>285</v>
      </c>
      <c r="C127" s="14"/>
      <c r="D127" s="14"/>
      <c r="E127" s="14"/>
      <c r="F127" s="14"/>
      <c r="G127" s="14"/>
      <c r="H127" s="118"/>
      <c r="I127" s="14" t="str">
        <f>"17-Depreciation, Line "&amp;'17-Depreciation'!A95&amp;""</f>
        <v>17-Depreciation, Line 70</v>
      </c>
      <c r="K127" s="7">
        <f>'17-Depreciation'!F95</f>
        <v>94491327.689588651</v>
      </c>
    </row>
    <row r="128" spans="1:11" x14ac:dyDescent="0.2">
      <c r="A128" s="115">
        <f t="shared" si="1"/>
        <v>69</v>
      </c>
      <c r="B128" s="15" t="s">
        <v>331</v>
      </c>
      <c r="C128" s="14"/>
      <c r="D128" s="14"/>
      <c r="E128" s="14"/>
      <c r="F128" s="14"/>
      <c r="G128" s="14"/>
      <c r="H128" s="118"/>
      <c r="I128" s="14" t="str">
        <f>"12-AbandonedPlant, Line "&amp;'12-AbandonedPlant'!A18&amp;""</f>
        <v>12-AbandonedPlant, Line 1</v>
      </c>
      <c r="K128" s="7">
        <f>'12-AbandonedPlant'!G18</f>
        <v>0</v>
      </c>
    </row>
    <row r="129" spans="1:11" x14ac:dyDescent="0.2">
      <c r="A129" s="115">
        <f t="shared" si="1"/>
        <v>70</v>
      </c>
      <c r="B129" s="15" t="s">
        <v>89</v>
      </c>
      <c r="C129" s="14"/>
      <c r="D129" s="14"/>
      <c r="E129" s="14"/>
      <c r="F129" s="14"/>
      <c r="G129" s="14"/>
      <c r="H129" s="118"/>
      <c r="I129" s="14" t="str">
        <f>"Line "&amp;A58&amp;""</f>
        <v>Line 35</v>
      </c>
      <c r="K129" s="7">
        <f>K58</f>
        <v>21935360.181251455</v>
      </c>
    </row>
    <row r="130" spans="1:11" x14ac:dyDescent="0.2">
      <c r="A130" s="115">
        <f t="shared" si="1"/>
        <v>71</v>
      </c>
      <c r="B130" s="14" t="s">
        <v>11</v>
      </c>
      <c r="C130" s="14"/>
      <c r="D130" s="14"/>
      <c r="E130" s="14"/>
      <c r="F130" s="14"/>
      <c r="G130" s="14"/>
      <c r="H130" s="47" t="s">
        <v>169</v>
      </c>
      <c r="I130" s="14" t="str">
        <f>"21-Revenue Credits, Line "&amp;'21-RevenueCredits'!A207&amp;""</f>
        <v>21-Revenue Credits, Line 44</v>
      </c>
      <c r="K130" s="7">
        <f>-'21-RevenueCredits'!E207</f>
        <v>-42691158.31862767</v>
      </c>
    </row>
    <row r="131" spans="1:11" x14ac:dyDescent="0.2">
      <c r="A131" s="115">
        <f t="shared" si="1"/>
        <v>72</v>
      </c>
      <c r="B131" s="14" t="s">
        <v>98</v>
      </c>
      <c r="C131" s="14"/>
      <c r="D131" s="14"/>
      <c r="E131" s="14"/>
      <c r="F131" s="14"/>
      <c r="G131" s="14"/>
      <c r="H131" s="118"/>
      <c r="I131" s="14" t="str">
        <f>"Line "&amp;A95&amp;""</f>
        <v>Line 55</v>
      </c>
      <c r="K131" s="7">
        <f>K95</f>
        <v>247141522.99239093</v>
      </c>
    </row>
    <row r="132" spans="1:11" x14ac:dyDescent="0.2">
      <c r="A132" s="115">
        <f t="shared" si="1"/>
        <v>73</v>
      </c>
      <c r="B132" s="14" t="s">
        <v>5</v>
      </c>
      <c r="C132" s="14"/>
      <c r="D132" s="14"/>
      <c r="E132" s="14"/>
      <c r="F132" s="14"/>
      <c r="G132" s="14"/>
      <c r="H132" s="118"/>
      <c r="I132" s="14" t="str">
        <f>"Line "&amp;A110&amp;""</f>
        <v>Line 63</v>
      </c>
      <c r="K132" s="105">
        <f>K110</f>
        <v>119537744.08423057</v>
      </c>
    </row>
    <row r="133" spans="1:11" x14ac:dyDescent="0.2">
      <c r="A133" s="115">
        <f t="shared" si="1"/>
        <v>74</v>
      </c>
      <c r="B133" s="14" t="s">
        <v>1052</v>
      </c>
      <c r="C133" s="14"/>
      <c r="D133" s="14"/>
      <c r="E133" s="14"/>
      <c r="F133" s="14"/>
      <c r="G133" s="14"/>
      <c r="H133" s="47" t="s">
        <v>1306</v>
      </c>
      <c r="I133" s="15" t="str">
        <f>"11-PHFU, Line "&amp;'11-PHFU'!A46&amp;""</f>
        <v>11-PHFU, Line 10</v>
      </c>
      <c r="K133" s="48">
        <f>-'11-PHFU'!E46</f>
        <v>-9724</v>
      </c>
    </row>
    <row r="134" spans="1:11" x14ac:dyDescent="0.2">
      <c r="A134" s="115">
        <f t="shared" si="1"/>
        <v>75</v>
      </c>
      <c r="B134" s="827" t="s">
        <v>2221</v>
      </c>
      <c r="C134" s="971"/>
      <c r="D134" s="14"/>
      <c r="E134" s="14"/>
      <c r="F134" s="14"/>
      <c r="G134" s="14"/>
      <c r="H134" s="118"/>
      <c r="I134" s="15" t="str">
        <f>"23-RegAssets, Line "&amp;'23-RegAssets'!A19&amp;""</f>
        <v>23-RegAssets, Line 16</v>
      </c>
      <c r="K134" s="48">
        <f>'23-RegAssets'!E19</f>
        <v>0</v>
      </c>
    </row>
    <row r="135" spans="1:11" x14ac:dyDescent="0.2">
      <c r="A135" s="115">
        <f t="shared" si="1"/>
        <v>76</v>
      </c>
      <c r="B135" s="15" t="s">
        <v>300</v>
      </c>
      <c r="C135" s="14"/>
      <c r="D135" s="14"/>
      <c r="E135" s="14"/>
      <c r="F135" s="14"/>
      <c r="G135" s="14"/>
      <c r="H135" s="118"/>
      <c r="I135" s="14" t="str">
        <f>"15-IncentiveAdder, Line "&amp;'15-IncentiveAdder'!A44&amp;""</f>
        <v>15-IncentiveAdder, Line 14</v>
      </c>
      <c r="K135" s="93">
        <f>'15-IncentiveAdder'!G44</f>
        <v>17361413.306172896</v>
      </c>
    </row>
    <row r="136" spans="1:11" x14ac:dyDescent="0.2">
      <c r="A136" s="115">
        <f t="shared" si="1"/>
        <v>77</v>
      </c>
      <c r="B136" s="15" t="s">
        <v>1756</v>
      </c>
      <c r="C136" s="14"/>
      <c r="D136" s="14"/>
      <c r="E136" s="14"/>
      <c r="F136" s="14"/>
      <c r="G136" s="14"/>
      <c r="H136" s="118"/>
      <c r="I136" s="14" t="str">
        <f>"Sum of Lines "&amp;A124&amp;" to "&amp;A135&amp;""</f>
        <v>Sum of Lines 65 to 76</v>
      </c>
      <c r="K136" s="7">
        <f>SUM(K124:K135)</f>
        <v>575578648.58129895</v>
      </c>
    </row>
    <row r="137" spans="1:11" x14ac:dyDescent="0.2">
      <c r="A137" s="115"/>
      <c r="B137" s="15"/>
      <c r="C137" s="14"/>
      <c r="D137" s="14"/>
      <c r="E137" s="14"/>
      <c r="F137" s="14"/>
      <c r="G137" s="14"/>
      <c r="H137" s="118"/>
      <c r="I137" s="14"/>
      <c r="K137" s="7"/>
    </row>
    <row r="138" spans="1:11" x14ac:dyDescent="0.2">
      <c r="A138" s="115">
        <f>A136+1</f>
        <v>78</v>
      </c>
      <c r="B138" s="15" t="s">
        <v>325</v>
      </c>
      <c r="C138" s="14"/>
      <c r="D138" s="14"/>
      <c r="E138" s="14"/>
      <c r="F138" s="14"/>
      <c r="G138" s="14"/>
      <c r="H138" s="14"/>
      <c r="I138" s="14" t="str">
        <f>"L "&amp;A136&amp;" * FF Factor (28-FFU, L "&amp;'28-FFU'!A22&amp;")"</f>
        <v>L 77 * FF Factor (28-FFU, L 5)</v>
      </c>
      <c r="J138" s="14"/>
      <c r="K138" s="7">
        <f>'28-FFU'!D22*K136</f>
        <v>5260098.1536547756</v>
      </c>
    </row>
    <row r="139" spans="1:11" x14ac:dyDescent="0.2">
      <c r="A139" s="115">
        <f t="shared" si="1"/>
        <v>79</v>
      </c>
      <c r="B139" s="15" t="s">
        <v>324</v>
      </c>
      <c r="C139" s="14"/>
      <c r="D139" s="14"/>
      <c r="E139" s="14"/>
      <c r="F139" s="14"/>
      <c r="G139" s="14"/>
      <c r="H139" s="14"/>
      <c r="I139" s="14" t="str">
        <f>"L "&amp;A136&amp;" * U Factor (28-FFU, L "&amp;'28-FFU'!A22&amp;")"</f>
        <v>L 77 * U Factor (28-FFU, L 5)</v>
      </c>
      <c r="J139" s="14"/>
      <c r="K139" s="7">
        <f>'28-FFU'!E22*K136</f>
        <v>1384727.1127568891</v>
      </c>
    </row>
    <row r="140" spans="1:11" x14ac:dyDescent="0.2">
      <c r="A140" s="115"/>
      <c r="B140" s="12"/>
      <c r="K140" s="7"/>
    </row>
    <row r="141" spans="1:11" x14ac:dyDescent="0.2">
      <c r="A141" s="115">
        <f>A139+1</f>
        <v>80</v>
      </c>
      <c r="B141" s="12" t="s">
        <v>107</v>
      </c>
      <c r="I141" t="str">
        <f>"Line "&amp;A136&amp;" + Line "&amp;A138&amp;"+ Line "&amp;A139&amp;""</f>
        <v>Line 77 + Line 78+ Line 79</v>
      </c>
      <c r="K141" s="7">
        <f>K136+K138+K139</f>
        <v>582223473.84771061</v>
      </c>
    </row>
    <row r="143" spans="1:11" x14ac:dyDescent="0.2">
      <c r="A143" s="10" t="s">
        <v>301</v>
      </c>
      <c r="B143" s="11"/>
      <c r="C143" s="11"/>
      <c r="D143" s="11"/>
      <c r="E143" s="11"/>
      <c r="F143" s="11"/>
      <c r="G143" s="11"/>
      <c r="H143" s="9"/>
      <c r="I143" s="9"/>
      <c r="J143" s="9"/>
      <c r="K143" s="9"/>
    </row>
    <row r="145" spans="1:11" x14ac:dyDescent="0.2">
      <c r="B145" s="78" t="s">
        <v>2108</v>
      </c>
    </row>
    <row r="146" spans="1:11" x14ac:dyDescent="0.2">
      <c r="A146" s="115">
        <f>A141+1</f>
        <v>81</v>
      </c>
      <c r="B146" t="s">
        <v>107</v>
      </c>
      <c r="I146" t="str">
        <f>"Line "&amp;A141&amp;""</f>
        <v>Line 80</v>
      </c>
      <c r="K146" s="7">
        <f>K141</f>
        <v>582223473.84771061</v>
      </c>
    </row>
    <row r="147" spans="1:11" x14ac:dyDescent="0.2">
      <c r="A147" s="115">
        <f>A146+1</f>
        <v>82</v>
      </c>
      <c r="B147" t="s">
        <v>358</v>
      </c>
      <c r="I147" s="15" t="str">
        <f>"2-IFPTRR, Line "&amp;'2-IFPTRR'!A91&amp;""</f>
        <v>2-IFPTRR, Line 82</v>
      </c>
      <c r="K147" s="7">
        <f>'2-IFPTRR'!D91</f>
        <v>204646354.26217359</v>
      </c>
    </row>
    <row r="148" spans="1:11" x14ac:dyDescent="0.2">
      <c r="A148" s="115">
        <f>A147+1</f>
        <v>83</v>
      </c>
      <c r="B148" s="12" t="s">
        <v>29</v>
      </c>
      <c r="H148" s="12" t="s">
        <v>1313</v>
      </c>
      <c r="I148" s="15" t="str">
        <f>"3-TrueUpAdjust, Line "&amp;'3-TrueUpAdjust'!A72&amp;""</f>
        <v>3-TrueUpAdjust, Line 59</v>
      </c>
      <c r="K148" s="105">
        <f>IF(E149="Yes",0,'3-TrueUpAdjust'!E72)</f>
        <v>2414936.6805291306</v>
      </c>
    </row>
    <row r="149" spans="1:11" x14ac:dyDescent="0.2">
      <c r="A149" s="115">
        <f t="shared" ref="A149:A150" si="2">A148+1</f>
        <v>84</v>
      </c>
      <c r="B149" s="12"/>
      <c r="D149" s="96" t="s">
        <v>1464</v>
      </c>
      <c r="E149" s="644" t="s">
        <v>257</v>
      </c>
      <c r="F149" s="12" t="s">
        <v>1465</v>
      </c>
      <c r="I149" s="15"/>
      <c r="K149" s="105"/>
    </row>
    <row r="150" spans="1:11" x14ac:dyDescent="0.2">
      <c r="A150" s="115">
        <f t="shared" si="2"/>
        <v>85</v>
      </c>
      <c r="B150" s="628" t="s">
        <v>2551</v>
      </c>
      <c r="C150" s="14"/>
      <c r="H150" s="12" t="s">
        <v>1339</v>
      </c>
      <c r="I150" s="14"/>
      <c r="K150" s="124">
        <v>0</v>
      </c>
    </row>
    <row r="151" spans="1:11" x14ac:dyDescent="0.2">
      <c r="A151" s="115"/>
      <c r="I151" s="14"/>
      <c r="K151" s="7"/>
    </row>
    <row r="152" spans="1:11" x14ac:dyDescent="0.2">
      <c r="A152" s="115">
        <f>A150+1</f>
        <v>86</v>
      </c>
      <c r="B152" s="626" t="s">
        <v>2106</v>
      </c>
      <c r="H152" s="12" t="s">
        <v>302</v>
      </c>
      <c r="I152" s="14" t="str">
        <f>"L "&amp;A146&amp;" + L "&amp;A147&amp;" + L "&amp;A148&amp;" + L "&amp;A150&amp;""</f>
        <v>L 81 + L 82 + L 83 + L 85</v>
      </c>
      <c r="K152" s="7">
        <f>K146+K147+K148+K150</f>
        <v>789284764.79041338</v>
      </c>
    </row>
    <row r="153" spans="1:11" x14ac:dyDescent="0.2">
      <c r="A153" s="115"/>
      <c r="I153" s="14"/>
      <c r="K153" s="7"/>
    </row>
    <row r="154" spans="1:11" x14ac:dyDescent="0.2">
      <c r="A154" s="115"/>
      <c r="B154" s="78" t="s">
        <v>2107</v>
      </c>
      <c r="I154" s="14"/>
      <c r="K154" s="7"/>
    </row>
    <row r="155" spans="1:11" x14ac:dyDescent="0.2">
      <c r="A155" s="115">
        <f>A152+1</f>
        <v>87</v>
      </c>
      <c r="B155" t="s">
        <v>1679</v>
      </c>
      <c r="I155" s="14" t="str">
        <f>"Line "&amp;A152&amp;""</f>
        <v>Line 86</v>
      </c>
      <c r="K155" s="7">
        <f>K152</f>
        <v>789284764.79041338</v>
      </c>
    </row>
    <row r="156" spans="1:11" x14ac:dyDescent="0.2">
      <c r="A156" s="115">
        <f>A155+1</f>
        <v>88</v>
      </c>
      <c r="B156" t="s">
        <v>1678</v>
      </c>
      <c r="I156" s="15" t="str">
        <f>"25-WholesaleDifference, Line "&amp;'25-WholesaleDifference'!A92&amp;""</f>
        <v>25-WholesaleDifference, Line 44</v>
      </c>
      <c r="K156" s="93">
        <f>'25-WholesaleDifference'!H92</f>
        <v>-5881459.9114768896</v>
      </c>
    </row>
    <row r="157" spans="1:11" x14ac:dyDescent="0.2">
      <c r="A157" s="115">
        <f>A156+1</f>
        <v>89</v>
      </c>
      <c r="B157" t="s">
        <v>2107</v>
      </c>
      <c r="I157" t="str">
        <f>"Line "&amp;A155&amp;" + Line "&amp;A156&amp;""</f>
        <v>Line 87 + Line 88</v>
      </c>
      <c r="K157" s="7">
        <f>K155+K156</f>
        <v>783403304.87893653</v>
      </c>
    </row>
    <row r="158" spans="1:11" x14ac:dyDescent="0.2">
      <c r="A158" s="14"/>
      <c r="H158" s="12"/>
    </row>
    <row r="160" spans="1:11" x14ac:dyDescent="0.2">
      <c r="B160" s="53" t="s">
        <v>265</v>
      </c>
    </row>
    <row r="161" spans="2:11" x14ac:dyDescent="0.2">
      <c r="B161" s="628" t="s">
        <v>3218</v>
      </c>
      <c r="C161" s="14"/>
      <c r="D161" s="14"/>
      <c r="E161" s="14"/>
      <c r="F161" s="14"/>
      <c r="G161" s="14"/>
      <c r="H161" s="14"/>
      <c r="I161" s="14"/>
      <c r="J161" s="14"/>
      <c r="K161" s="14"/>
    </row>
    <row r="162" spans="2:11" x14ac:dyDescent="0.2">
      <c r="B162" s="628" t="s">
        <v>2140</v>
      </c>
      <c r="C162" s="14"/>
      <c r="D162" s="14"/>
      <c r="E162" s="14"/>
      <c r="F162" s="14"/>
      <c r="G162" s="14"/>
      <c r="H162" s="14"/>
      <c r="I162" s="14"/>
      <c r="J162" s="14"/>
      <c r="K162" s="14"/>
    </row>
    <row r="163" spans="2:11" x14ac:dyDescent="0.2">
      <c r="B163" s="628" t="s">
        <v>2438</v>
      </c>
      <c r="C163" s="14"/>
      <c r="D163" s="14"/>
      <c r="E163" s="14"/>
      <c r="F163" s="14"/>
      <c r="G163" s="14"/>
      <c r="H163" s="14"/>
      <c r="I163" s="14"/>
      <c r="J163" s="14"/>
      <c r="K163" s="14"/>
    </row>
    <row r="164" spans="2:11" x14ac:dyDescent="0.2">
      <c r="B164" s="628"/>
      <c r="C164" s="14" t="s">
        <v>2437</v>
      </c>
      <c r="D164" s="14"/>
      <c r="E164" s="14"/>
      <c r="F164" s="99"/>
      <c r="G164" s="99"/>
      <c r="H164" s="99"/>
      <c r="I164" s="14"/>
      <c r="J164" s="14"/>
      <c r="K164" s="14"/>
    </row>
    <row r="165" spans="2:11" x14ac:dyDescent="0.2">
      <c r="B165" s="626" t="s">
        <v>2451</v>
      </c>
      <c r="C165" s="14"/>
      <c r="D165" s="14"/>
      <c r="E165" s="14"/>
      <c r="F165" s="14"/>
      <c r="G165" s="14"/>
      <c r="H165" s="14"/>
      <c r="I165" s="14"/>
    </row>
    <row r="166" spans="2:11" x14ac:dyDescent="0.2">
      <c r="B166" s="12" t="s">
        <v>1740</v>
      </c>
    </row>
    <row r="167" spans="2:11" x14ac:dyDescent="0.2">
      <c r="B167" s="626" t="s">
        <v>2141</v>
      </c>
    </row>
  </sheetData>
  <phoneticPr fontId="11" type="noConversion"/>
  <pageMargins left="0.75" right="0.75" top="1" bottom="1" header="0.5" footer="0.5"/>
  <pageSetup scale="63" orientation="portrait" cellComments="asDisplayed" r:id="rId1"/>
  <headerFooter alignWithMargins="0">
    <oddHeader>&amp;CSchedule 1
Base TRR
&amp;"Arial,Bold"Exhibit G-2</oddHeader>
    <oddFooter>&amp;R&amp;A</oddFooter>
  </headerFooter>
  <rowBreaks count="2" manualBreakCount="2">
    <brk id="59" max="16383" man="1"/>
    <brk id="12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90" zoomScaleNormal="90" workbookViewId="0">
      <selection activeCell="B14" sqref="B14"/>
    </sheetView>
  </sheetViews>
  <sheetFormatPr defaultRowHeight="12.75" x14ac:dyDescent="0.2"/>
  <cols>
    <col min="1" max="1" width="4.7109375" customWidth="1"/>
    <col min="2" max="2" width="20.7109375" customWidth="1"/>
    <col min="3" max="4" width="16.7109375" customWidth="1"/>
    <col min="5" max="5" width="24.7109375" customWidth="1"/>
    <col min="6" max="6" width="9.140625" customWidth="1"/>
    <col min="10" max="10" width="18.5703125" customWidth="1"/>
    <col min="11" max="11" width="20.85546875" customWidth="1"/>
  </cols>
  <sheetData>
    <row r="1" spans="1:6" x14ac:dyDescent="0.2">
      <c r="A1" s="1" t="s">
        <v>1205</v>
      </c>
    </row>
    <row r="2" spans="1:6" x14ac:dyDescent="0.2">
      <c r="A2" s="1"/>
    </row>
    <row r="3" spans="1:6" x14ac:dyDescent="0.2">
      <c r="B3" s="12" t="s">
        <v>463</v>
      </c>
    </row>
    <row r="4" spans="1:6" x14ac:dyDescent="0.2">
      <c r="A4" s="1"/>
      <c r="B4" s="13" t="s">
        <v>381</v>
      </c>
    </row>
    <row r="5" spans="1:6" x14ac:dyDescent="0.2">
      <c r="A5" s="1"/>
      <c r="B5" s="13" t="s">
        <v>382</v>
      </c>
    </row>
    <row r="7" spans="1:6" x14ac:dyDescent="0.2">
      <c r="B7" s="1" t="s">
        <v>1106</v>
      </c>
    </row>
    <row r="8" spans="1:6" x14ac:dyDescent="0.2">
      <c r="E8" s="16"/>
    </row>
    <row r="9" spans="1:6" x14ac:dyDescent="0.2">
      <c r="A9" s="53" t="s">
        <v>369</v>
      </c>
      <c r="B9" s="72" t="s">
        <v>1204</v>
      </c>
    </row>
    <row r="10" spans="1:6" x14ac:dyDescent="0.2">
      <c r="A10" s="2">
        <v>1</v>
      </c>
    </row>
    <row r="11" spans="1:6" x14ac:dyDescent="0.2">
      <c r="A11" s="2">
        <f>A10+1</f>
        <v>2</v>
      </c>
      <c r="B11" s="396" t="s">
        <v>1746</v>
      </c>
      <c r="C11" s="14"/>
      <c r="D11" s="14"/>
      <c r="E11" s="14"/>
      <c r="F11" s="14"/>
    </row>
    <row r="12" spans="1:6" x14ac:dyDescent="0.2">
      <c r="A12" s="2">
        <f t="shared" ref="A12:A87" si="0">A11+1</f>
        <v>3</v>
      </c>
      <c r="B12" s="396" t="s">
        <v>1155</v>
      </c>
      <c r="C12" s="14"/>
      <c r="D12" s="14"/>
      <c r="E12" s="14"/>
      <c r="F12" s="14"/>
    </row>
    <row r="13" spans="1:6" x14ac:dyDescent="0.2">
      <c r="A13" s="2">
        <f t="shared" si="0"/>
        <v>4</v>
      </c>
      <c r="B13" s="396"/>
      <c r="C13" s="14"/>
      <c r="D13" s="14"/>
      <c r="E13" s="14"/>
      <c r="F13" s="14"/>
    </row>
    <row r="14" spans="1:6" x14ac:dyDescent="0.2">
      <c r="A14" s="2">
        <f t="shared" si="0"/>
        <v>5</v>
      </c>
      <c r="B14" s="1030" t="s">
        <v>3219</v>
      </c>
      <c r="C14" s="14"/>
      <c r="D14" s="14"/>
      <c r="E14" s="14"/>
      <c r="F14" s="14"/>
    </row>
    <row r="15" spans="1:6" x14ac:dyDescent="0.2">
      <c r="A15" s="2">
        <f t="shared" si="0"/>
        <v>6</v>
      </c>
      <c r="B15" s="397"/>
      <c r="C15" s="14"/>
      <c r="D15" s="14"/>
      <c r="E15" s="14"/>
      <c r="F15" s="14"/>
    </row>
    <row r="16" spans="1:6" x14ac:dyDescent="0.2">
      <c r="A16" s="2">
        <f t="shared" si="0"/>
        <v>7</v>
      </c>
      <c r="B16" s="396" t="s">
        <v>408</v>
      </c>
      <c r="C16" s="14"/>
      <c r="D16" s="14"/>
      <c r="E16" s="14"/>
      <c r="F16" s="394"/>
    </row>
    <row r="17" spans="1:6" x14ac:dyDescent="0.2">
      <c r="A17" s="2">
        <f t="shared" si="0"/>
        <v>8</v>
      </c>
      <c r="B17" s="398" t="s">
        <v>1151</v>
      </c>
      <c r="C17" s="14"/>
      <c r="D17" s="14"/>
      <c r="E17" s="14"/>
      <c r="F17" s="69"/>
    </row>
    <row r="18" spans="1:6" x14ac:dyDescent="0.2">
      <c r="A18" s="2">
        <f t="shared" si="0"/>
        <v>9</v>
      </c>
      <c r="B18" s="398" t="s">
        <v>1152</v>
      </c>
      <c r="C18" s="14"/>
      <c r="D18" s="14"/>
      <c r="E18" s="14"/>
      <c r="F18" s="69"/>
    </row>
    <row r="19" spans="1:6" x14ac:dyDescent="0.2">
      <c r="A19" s="2">
        <f t="shared" si="0"/>
        <v>10</v>
      </c>
      <c r="B19" s="398" t="s">
        <v>251</v>
      </c>
      <c r="C19" s="14"/>
      <c r="D19" s="14"/>
      <c r="E19" s="381"/>
      <c r="F19" s="65"/>
    </row>
    <row r="20" spans="1:6" x14ac:dyDescent="0.2">
      <c r="A20" s="2">
        <f t="shared" si="0"/>
        <v>11</v>
      </c>
      <c r="B20" s="45"/>
      <c r="C20" s="14"/>
      <c r="D20" s="381"/>
      <c r="E20" s="129" t="s">
        <v>233</v>
      </c>
      <c r="F20" s="14"/>
    </row>
    <row r="21" spans="1:6" x14ac:dyDescent="0.2">
      <c r="A21" s="2">
        <f t="shared" si="0"/>
        <v>12</v>
      </c>
      <c r="C21" s="381" t="s">
        <v>1219</v>
      </c>
      <c r="D21" s="395">
        <f>'1-BaseTRR'!K88</f>
        <v>2.5225076179537377E-2</v>
      </c>
      <c r="E21" s="47" t="str">
        <f>"1-BaseTRR, Line "&amp;'1-BaseTRR'!A88&amp;""</f>
        <v>1-BaseTRR, Line 50</v>
      </c>
      <c r="F21" s="14"/>
    </row>
    <row r="22" spans="1:6" x14ac:dyDescent="0.2">
      <c r="A22" s="2">
        <f t="shared" si="0"/>
        <v>13</v>
      </c>
      <c r="C22" s="381" t="s">
        <v>1220</v>
      </c>
      <c r="D22" s="395">
        <f>'1-BaseTRR'!K93</f>
        <v>5.1357846808345091E-2</v>
      </c>
      <c r="E22" s="47" t="str">
        <f>"1-BaseTRR, Line "&amp;'1-BaseTRR'!A93&amp;""</f>
        <v>1-BaseTRR, Line 54</v>
      </c>
      <c r="F22" s="14"/>
    </row>
    <row r="23" spans="1:6" x14ac:dyDescent="0.2">
      <c r="A23" s="2">
        <f t="shared" si="0"/>
        <v>14</v>
      </c>
      <c r="C23" s="381" t="s">
        <v>1154</v>
      </c>
      <c r="D23" s="395">
        <f>'1-BaseTRR'!K102</f>
        <v>0.40886310376909896</v>
      </c>
      <c r="E23" s="47" t="str">
        <f>"1-BaseTRR, Line "&amp;'1-BaseTRR'!A102&amp;""</f>
        <v>1-BaseTRR, Line 58</v>
      </c>
      <c r="F23" s="14"/>
    </row>
    <row r="24" spans="1:6" x14ac:dyDescent="0.2">
      <c r="A24" s="2">
        <f t="shared" si="0"/>
        <v>15</v>
      </c>
      <c r="B24" s="15"/>
      <c r="C24" s="14"/>
      <c r="D24" s="395"/>
      <c r="E24" s="47"/>
      <c r="F24" s="14"/>
    </row>
    <row r="25" spans="1:6" x14ac:dyDescent="0.2">
      <c r="A25" s="2">
        <f t="shared" si="0"/>
        <v>16</v>
      </c>
      <c r="C25" s="381" t="s">
        <v>1153</v>
      </c>
      <c r="D25" s="395">
        <f>D21 + (D22*(1/(1-D23)))</f>
        <v>0.11210486178555115</v>
      </c>
      <c r="E25" s="47" t="str">
        <f>"Line "&amp;A21&amp;" + (Line "&amp;A22&amp;" * (1/(1 - Line "&amp;A23&amp;")))"</f>
        <v>Line 12 + (Line 13 * (1/(1 - Line 14)))</v>
      </c>
      <c r="F25" s="14"/>
    </row>
    <row r="26" spans="1:6" x14ac:dyDescent="0.2">
      <c r="A26" s="2">
        <f t="shared" si="0"/>
        <v>17</v>
      </c>
      <c r="B26" s="15"/>
      <c r="C26" s="14"/>
      <c r="D26" s="381"/>
      <c r="E26" s="47"/>
      <c r="F26" s="14"/>
    </row>
    <row r="27" spans="1:6" x14ac:dyDescent="0.2">
      <c r="A27" s="2">
        <f t="shared" si="0"/>
        <v>18</v>
      </c>
      <c r="B27" s="72" t="s">
        <v>1104</v>
      </c>
      <c r="C27" s="14"/>
      <c r="D27" s="381"/>
      <c r="E27" s="47"/>
      <c r="F27" s="14"/>
    </row>
    <row r="28" spans="1:6" x14ac:dyDescent="0.2">
      <c r="A28" s="2">
        <f t="shared" si="0"/>
        <v>19</v>
      </c>
      <c r="B28" s="15"/>
      <c r="C28" s="14"/>
      <c r="D28" s="381"/>
      <c r="E28" s="47"/>
      <c r="F28" s="14"/>
    </row>
    <row r="29" spans="1:6" x14ac:dyDescent="0.2">
      <c r="A29" s="2">
        <f t="shared" si="0"/>
        <v>20</v>
      </c>
      <c r="B29" s="396" t="s">
        <v>1221</v>
      </c>
      <c r="C29" s="14"/>
      <c r="D29" s="381"/>
      <c r="E29" s="47"/>
      <c r="F29" s="14"/>
    </row>
    <row r="30" spans="1:6" x14ac:dyDescent="0.2">
      <c r="A30" s="2">
        <f t="shared" si="0"/>
        <v>21</v>
      </c>
      <c r="B30" s="396" t="s">
        <v>1222</v>
      </c>
      <c r="C30" s="14"/>
      <c r="D30" s="381"/>
      <c r="E30" s="47"/>
      <c r="F30" s="14"/>
    </row>
    <row r="31" spans="1:6" x14ac:dyDescent="0.2">
      <c r="A31" s="2">
        <f t="shared" si="0"/>
        <v>22</v>
      </c>
      <c r="C31" s="14"/>
      <c r="D31" s="381"/>
      <c r="E31" s="47"/>
      <c r="F31" s="14"/>
    </row>
    <row r="32" spans="1:6" x14ac:dyDescent="0.2">
      <c r="A32" s="2">
        <f t="shared" si="0"/>
        <v>23</v>
      </c>
      <c r="B32" s="398" t="s">
        <v>1156</v>
      </c>
      <c r="C32" s="14"/>
      <c r="D32" s="381"/>
      <c r="E32" s="47"/>
      <c r="F32" s="14"/>
    </row>
    <row r="33" spans="1:11" x14ac:dyDescent="0.2">
      <c r="A33" s="2">
        <f t="shared" si="0"/>
        <v>24</v>
      </c>
      <c r="E33" s="14"/>
      <c r="F33" s="14"/>
    </row>
    <row r="34" spans="1:11" x14ac:dyDescent="0.2">
      <c r="A34" s="2">
        <f t="shared" si="0"/>
        <v>25</v>
      </c>
      <c r="B34" s="72" t="s">
        <v>1203</v>
      </c>
      <c r="E34" s="14"/>
      <c r="F34" s="14"/>
    </row>
    <row r="35" spans="1:11" x14ac:dyDescent="0.2">
      <c r="A35" s="2">
        <f t="shared" si="0"/>
        <v>26</v>
      </c>
      <c r="B35" s="12"/>
      <c r="E35" s="129" t="s">
        <v>233</v>
      </c>
      <c r="F35" s="14"/>
    </row>
    <row r="36" spans="1:11" x14ac:dyDescent="0.2">
      <c r="A36" s="2">
        <f t="shared" si="0"/>
        <v>27</v>
      </c>
      <c r="C36" s="96" t="s">
        <v>1162</v>
      </c>
      <c r="D36" s="105">
        <f>'6-PlantInService'!M23</f>
        <v>3302962474.7680044</v>
      </c>
      <c r="E36" s="47" t="str">
        <f>"6-PlantInService, Line "&amp;'6-PlantInService'!A23&amp;""</f>
        <v>6-PlantInService, Line 13</v>
      </c>
      <c r="F36" s="14"/>
    </row>
    <row r="37" spans="1:11" x14ac:dyDescent="0.2">
      <c r="A37" s="2">
        <f t="shared" si="0"/>
        <v>28</v>
      </c>
      <c r="C37" s="96" t="s">
        <v>1163</v>
      </c>
      <c r="D37" s="105">
        <f>'6-PlantInService'!F35</f>
        <v>6634834</v>
      </c>
      <c r="E37" s="47" t="str">
        <f>"6-PlantInService, Line "&amp;'6-PlantInService'!A35&amp;""</f>
        <v>6-PlantInService, Line 16</v>
      </c>
      <c r="F37" s="14"/>
    </row>
    <row r="38" spans="1:11" x14ac:dyDescent="0.2">
      <c r="A38" s="2">
        <f t="shared" si="0"/>
        <v>29</v>
      </c>
      <c r="C38" s="96" t="s">
        <v>1201</v>
      </c>
      <c r="D38" s="105">
        <f>'8-AccDep'!N24</f>
        <v>1018886632.5608662</v>
      </c>
      <c r="E38" s="47" t="str">
        <f>"8-AccDep, Line "&amp;'8-AccDep'!A24&amp;""</f>
        <v>8-AccDep, Line 13</v>
      </c>
      <c r="F38" s="14"/>
    </row>
    <row r="39" spans="1:11" x14ac:dyDescent="0.2">
      <c r="A39" s="2">
        <f t="shared" si="0"/>
        <v>30</v>
      </c>
      <c r="C39" s="96" t="s">
        <v>1202</v>
      </c>
      <c r="D39" s="93">
        <f>'8-AccDep'!G34</f>
        <v>1088416.3520202676</v>
      </c>
      <c r="E39" s="47" t="str">
        <f>"8-AccDep, Line "&amp;'8-AccDep'!A34&amp;""</f>
        <v>8-AccDep, Line 16</v>
      </c>
      <c r="F39" s="14"/>
    </row>
    <row r="40" spans="1:11" x14ac:dyDescent="0.2">
      <c r="A40" s="2">
        <f t="shared" si="0"/>
        <v>31</v>
      </c>
      <c r="C40" s="96" t="s">
        <v>1105</v>
      </c>
      <c r="D40" s="7">
        <f>(D36+D37)-(D38+D39)</f>
        <v>2289622259.8551178</v>
      </c>
      <c r="E40" s="47" t="str">
        <f>"(L"&amp;A36&amp;" + L"&amp;A37&amp;") - (L"&amp;A38&amp;" + L"&amp;A39&amp;")"</f>
        <v>(L27 + L28) - (L29 + L30)</v>
      </c>
      <c r="F40" s="14"/>
    </row>
    <row r="41" spans="1:11" x14ac:dyDescent="0.2">
      <c r="A41" s="2">
        <f t="shared" si="0"/>
        <v>32</v>
      </c>
      <c r="C41" s="96"/>
      <c r="D41" s="7"/>
      <c r="E41" s="47"/>
      <c r="F41" s="14"/>
    </row>
    <row r="42" spans="1:11" x14ac:dyDescent="0.2">
      <c r="A42" s="2">
        <f t="shared" si="0"/>
        <v>33</v>
      </c>
      <c r="B42" s="72" t="s">
        <v>1726</v>
      </c>
      <c r="F42" s="14"/>
    </row>
    <row r="43" spans="1:11" x14ac:dyDescent="0.2">
      <c r="A43" s="606">
        <f t="shared" si="0"/>
        <v>34</v>
      </c>
      <c r="B43" s="72"/>
      <c r="F43" s="14"/>
    </row>
    <row r="44" spans="1:11" x14ac:dyDescent="0.2">
      <c r="A44" s="606">
        <f t="shared" si="0"/>
        <v>35</v>
      </c>
      <c r="B44" s="72" t="s">
        <v>1727</v>
      </c>
      <c r="F44" s="14"/>
    </row>
    <row r="45" spans="1:11" x14ac:dyDescent="0.2">
      <c r="A45" s="606">
        <f t="shared" si="0"/>
        <v>36</v>
      </c>
      <c r="B45" s="57" t="s">
        <v>1728</v>
      </c>
      <c r="F45" s="14"/>
    </row>
    <row r="46" spans="1:11" x14ac:dyDescent="0.2">
      <c r="A46" s="606">
        <f t="shared" si="0"/>
        <v>37</v>
      </c>
      <c r="B46" s="72"/>
      <c r="C46" s="96" t="s">
        <v>1747</v>
      </c>
      <c r="D46" s="105">
        <f>'10-CWIP'!D25</f>
        <v>1277500411.2933507</v>
      </c>
      <c r="E46" s="47" t="str">
        <f>"10-CWIP, L "&amp;'10-CWIP'!A25&amp;" C1"</f>
        <v>10-CWIP, L 13 C1</v>
      </c>
      <c r="F46" s="14"/>
      <c r="G46" s="14"/>
      <c r="K46" s="7"/>
    </row>
    <row r="47" spans="1:11" x14ac:dyDescent="0.2">
      <c r="A47" s="606">
        <f t="shared" si="0"/>
        <v>38</v>
      </c>
      <c r="B47" s="72"/>
      <c r="C47" s="96" t="s">
        <v>396</v>
      </c>
      <c r="D47" s="130">
        <f>D25</f>
        <v>0.11210486178555115</v>
      </c>
      <c r="E47" s="47" t="str">
        <f>"Line "&amp;A25&amp;""</f>
        <v>Line 16</v>
      </c>
      <c r="F47" s="14"/>
      <c r="G47" s="14"/>
      <c r="K47" s="7"/>
    </row>
    <row r="48" spans="1:11" x14ac:dyDescent="0.2">
      <c r="A48" s="606">
        <f t="shared" si="0"/>
        <v>39</v>
      </c>
      <c r="B48" s="72"/>
      <c r="C48" s="96" t="s">
        <v>1721</v>
      </c>
      <c r="D48" s="105">
        <f>D46*D47</f>
        <v>143214007.03902584</v>
      </c>
      <c r="E48" s="47" t="str">
        <f>"Line "&amp;A46&amp;" * Line "&amp;A47&amp;""</f>
        <v>Line 37 * Line 38</v>
      </c>
      <c r="F48" s="14"/>
      <c r="G48" s="14"/>
      <c r="K48" s="7"/>
    </row>
    <row r="49" spans="1:11" x14ac:dyDescent="0.2">
      <c r="A49" s="606">
        <f t="shared" si="0"/>
        <v>40</v>
      </c>
      <c r="B49" s="72"/>
      <c r="C49" s="96"/>
      <c r="D49" s="105"/>
      <c r="E49" s="47"/>
      <c r="F49" s="14"/>
      <c r="G49" s="14"/>
      <c r="K49" s="7"/>
    </row>
    <row r="50" spans="1:11" x14ac:dyDescent="0.2">
      <c r="A50" s="606">
        <f t="shared" si="0"/>
        <v>41</v>
      </c>
      <c r="B50" s="57" t="s">
        <v>1729</v>
      </c>
      <c r="E50" s="14"/>
      <c r="F50" s="14"/>
      <c r="G50" s="14"/>
      <c r="K50" s="7"/>
    </row>
    <row r="51" spans="1:11" x14ac:dyDescent="0.2">
      <c r="A51" s="606">
        <f t="shared" si="0"/>
        <v>42</v>
      </c>
      <c r="B51" s="72"/>
      <c r="C51" s="96" t="s">
        <v>1735</v>
      </c>
      <c r="D51" s="105">
        <f>'15-IncentiveAdder'!G17</f>
        <v>8284.4088427792103</v>
      </c>
      <c r="E51" s="118" t="str">
        <f>"15-IncentiveAdder, Line "&amp;'15-IncentiveAdder'!A17&amp;""</f>
        <v>15-IncentiveAdder, Line 3</v>
      </c>
      <c r="F51" s="14"/>
      <c r="G51" s="14"/>
      <c r="K51" s="7"/>
    </row>
    <row r="52" spans="1:11" x14ac:dyDescent="0.2">
      <c r="A52" s="606">
        <f t="shared" si="0"/>
        <v>43</v>
      </c>
      <c r="B52" s="72"/>
      <c r="C52" s="96"/>
      <c r="E52" s="14"/>
      <c r="F52" s="14"/>
      <c r="G52" s="14"/>
      <c r="K52" s="7"/>
    </row>
    <row r="53" spans="1:11" x14ac:dyDescent="0.2">
      <c r="A53" s="606">
        <f t="shared" si="0"/>
        <v>44</v>
      </c>
      <c r="B53" s="72"/>
      <c r="C53" s="96" t="s">
        <v>1708</v>
      </c>
      <c r="D53" s="7">
        <f>'10-CWIP'!E25</f>
        <v>1059868753.2391434</v>
      </c>
      <c r="E53" s="47" t="str">
        <f>"10-CWIP, Line "&amp;'10-CWIP'!A25&amp;""</f>
        <v>10-CWIP, Line 13</v>
      </c>
      <c r="F53" s="15"/>
      <c r="G53" s="14"/>
      <c r="K53" s="7"/>
    </row>
    <row r="54" spans="1:11" x14ac:dyDescent="0.2">
      <c r="A54" s="606">
        <f t="shared" si="0"/>
        <v>45</v>
      </c>
      <c r="B54" s="72"/>
      <c r="C54" s="96" t="s">
        <v>1732</v>
      </c>
      <c r="D54" s="43">
        <f>'15-IncentiveAdder'!E26</f>
        <v>1.2500000000000001E-2</v>
      </c>
      <c r="E54" s="118" t="str">
        <f>"15-IncentiveAdder, Line "&amp;'15-IncentiveAdder'!A26&amp;""</f>
        <v>15-IncentiveAdder, Line 5</v>
      </c>
      <c r="F54" s="15"/>
      <c r="G54" s="14"/>
      <c r="K54" s="7"/>
    </row>
    <row r="55" spans="1:11" x14ac:dyDescent="0.2">
      <c r="A55" s="606">
        <f t="shared" si="0"/>
        <v>46</v>
      </c>
      <c r="B55" s="72"/>
      <c r="C55" s="96" t="s">
        <v>1731</v>
      </c>
      <c r="D55" s="7">
        <f>(D53/1000000)*($D$51*(D54/0.01))</f>
        <v>10975482.589399669</v>
      </c>
      <c r="E55" s="625" t="str">
        <f>"Formula on Line "&amp;A61&amp;""</f>
        <v>Formula on Line 52</v>
      </c>
      <c r="F55" s="14"/>
      <c r="G55" s="14"/>
      <c r="K55" s="7"/>
    </row>
    <row r="56" spans="1:11" x14ac:dyDescent="0.2">
      <c r="A56" s="606">
        <f t="shared" si="0"/>
        <v>47</v>
      </c>
      <c r="B56" s="72"/>
      <c r="C56" s="96"/>
      <c r="E56" s="65"/>
      <c r="F56" s="14"/>
      <c r="G56" s="14"/>
      <c r="K56" s="7"/>
    </row>
    <row r="57" spans="1:11" x14ac:dyDescent="0.2">
      <c r="A57" s="606">
        <f t="shared" si="0"/>
        <v>48</v>
      </c>
      <c r="C57" s="96" t="s">
        <v>1730</v>
      </c>
      <c r="D57" s="7">
        <f>'10-CWIP'!F25</f>
        <v>151361046.07106277</v>
      </c>
      <c r="E57" s="47" t="str">
        <f>"10-CWIP, Line "&amp;'10-CWIP'!A25&amp;""</f>
        <v>10-CWIP, Line 13</v>
      </c>
      <c r="F57" s="14"/>
      <c r="G57" s="14"/>
      <c r="K57" s="7"/>
    </row>
    <row r="58" spans="1:11" x14ac:dyDescent="0.2">
      <c r="A58" s="606">
        <f t="shared" si="0"/>
        <v>49</v>
      </c>
      <c r="C58" s="96" t="s">
        <v>1733</v>
      </c>
      <c r="D58" s="43">
        <f>'15-IncentiveAdder'!E27</f>
        <v>0.01</v>
      </c>
      <c r="E58" s="118" t="str">
        <f>"15-IncentiveAdder, Line "&amp;'15-IncentiveAdder'!A27&amp;""</f>
        <v>15-IncentiveAdder, Line 6</v>
      </c>
      <c r="F58" s="14"/>
      <c r="G58" s="14"/>
      <c r="K58" s="7"/>
    </row>
    <row r="59" spans="1:11" x14ac:dyDescent="0.2">
      <c r="A59" s="606">
        <f t="shared" si="0"/>
        <v>50</v>
      </c>
      <c r="C59" s="96" t="s">
        <v>1734</v>
      </c>
      <c r="D59" s="7">
        <f>(D57/1000000)*($D$51*(D58/0.01))</f>
        <v>1253936.788523424</v>
      </c>
      <c r="E59" s="47" t="str">
        <f>"Formula on Line "&amp;A61&amp;""</f>
        <v>Formula on Line 52</v>
      </c>
      <c r="F59" s="14"/>
      <c r="G59" s="14"/>
      <c r="K59" s="7"/>
    </row>
    <row r="60" spans="1:11" x14ac:dyDescent="0.2">
      <c r="A60" s="606">
        <f t="shared" si="0"/>
        <v>51</v>
      </c>
      <c r="C60" s="96"/>
      <c r="D60" s="7"/>
      <c r="E60" s="47"/>
      <c r="F60" s="14"/>
      <c r="G60" s="14"/>
      <c r="K60" s="7"/>
    </row>
    <row r="61" spans="1:11" x14ac:dyDescent="0.2">
      <c r="A61" s="606">
        <f t="shared" si="0"/>
        <v>52</v>
      </c>
      <c r="C61" s="52" t="s">
        <v>1710</v>
      </c>
      <c r="D61" s="7"/>
      <c r="E61" s="47"/>
      <c r="F61" s="14"/>
      <c r="G61" s="14"/>
      <c r="K61" s="7"/>
    </row>
    <row r="62" spans="1:11" x14ac:dyDescent="0.2">
      <c r="A62" s="606">
        <f t="shared" si="0"/>
        <v>53</v>
      </c>
      <c r="E62" s="14"/>
      <c r="F62" s="14"/>
      <c r="G62" s="14"/>
      <c r="K62" s="7"/>
    </row>
    <row r="63" spans="1:11" x14ac:dyDescent="0.2">
      <c r="A63" s="606">
        <f t="shared" si="0"/>
        <v>54</v>
      </c>
      <c r="C63" s="624" t="s">
        <v>1773</v>
      </c>
      <c r="D63" s="105">
        <f>D48+D55+D59</f>
        <v>155443426.41694894</v>
      </c>
      <c r="E63" s="47" t="str">
        <f>"Line "&amp;A48&amp;" + Line "&amp;A55&amp;" + Line "&amp;A59&amp;""</f>
        <v>Line 39 + Line 46 + Line 50</v>
      </c>
      <c r="F63" s="14"/>
      <c r="G63" s="14"/>
      <c r="K63" s="7"/>
    </row>
    <row r="64" spans="1:11" x14ac:dyDescent="0.2">
      <c r="A64" s="623">
        <f t="shared" si="0"/>
        <v>55</v>
      </c>
      <c r="C64" s="624" t="s">
        <v>1772</v>
      </c>
      <c r="D64" s="93">
        <f>('28-FFU'!D22+'28-FFU'!E22)*D63</f>
        <v>1794532.1806131089</v>
      </c>
      <c r="E64" s="625" t="str">
        <f>"(28-FFU, L"&amp;'28-FFU'!A22&amp;" FF Factor + U Factor) * L"&amp;A63&amp;""</f>
        <v>(28-FFU, L5 FF Factor + U Factor) * L54</v>
      </c>
      <c r="F64" s="14"/>
      <c r="G64" s="14"/>
      <c r="K64" s="7"/>
    </row>
    <row r="65" spans="1:11" x14ac:dyDescent="0.2">
      <c r="A65" s="623">
        <f t="shared" si="0"/>
        <v>56</v>
      </c>
      <c r="C65" s="624" t="s">
        <v>1774</v>
      </c>
      <c r="D65" s="105">
        <f>SUM(D63:D64)</f>
        <v>157237958.59756204</v>
      </c>
      <c r="E65" s="47" t="str">
        <f>"Line "&amp;A63&amp;" + Line "&amp;A64&amp;""</f>
        <v>Line 54 + Line 55</v>
      </c>
      <c r="F65" s="14"/>
      <c r="K65" s="7"/>
    </row>
    <row r="66" spans="1:11" x14ac:dyDescent="0.2">
      <c r="A66" s="623">
        <f t="shared" si="0"/>
        <v>57</v>
      </c>
      <c r="C66" s="96"/>
      <c r="D66" s="105"/>
      <c r="E66" s="47"/>
      <c r="F66" s="14"/>
      <c r="K66" s="7"/>
    </row>
    <row r="67" spans="1:11" x14ac:dyDescent="0.2">
      <c r="A67" s="623">
        <f t="shared" si="0"/>
        <v>58</v>
      </c>
      <c r="B67" s="72" t="s">
        <v>1736</v>
      </c>
      <c r="C67" s="96"/>
      <c r="D67" s="105"/>
      <c r="E67" s="47"/>
      <c r="F67" s="14"/>
      <c r="K67" s="7"/>
    </row>
    <row r="68" spans="1:11" x14ac:dyDescent="0.2">
      <c r="A68" s="623">
        <f t="shared" si="0"/>
        <v>59</v>
      </c>
      <c r="F68" s="14"/>
      <c r="K68" s="7"/>
    </row>
    <row r="69" spans="1:11" x14ac:dyDescent="0.2">
      <c r="A69" s="115">
        <f t="shared" si="0"/>
        <v>60</v>
      </c>
      <c r="B69" s="14"/>
      <c r="C69" s="1021" t="s">
        <v>1773</v>
      </c>
      <c r="D69" s="48">
        <f>D63</f>
        <v>155443426.41694894</v>
      </c>
      <c r="E69" s="47" t="str">
        <f>"Line "&amp;A63&amp;""</f>
        <v>Line 54</v>
      </c>
      <c r="F69" s="14"/>
      <c r="G69" s="14"/>
      <c r="K69" s="7"/>
    </row>
    <row r="70" spans="1:11" x14ac:dyDescent="0.2">
      <c r="A70" s="115">
        <f t="shared" si="0"/>
        <v>61</v>
      </c>
      <c r="B70" s="14"/>
      <c r="C70" s="1021" t="s">
        <v>2232</v>
      </c>
      <c r="D70" s="48">
        <f>'1-BaseTRR'!K136</f>
        <v>575578648.58129895</v>
      </c>
      <c r="E70" s="47" t="str">
        <f>"1-BaseTRR, Line "&amp;'1-BaseTRR'!A136&amp;""</f>
        <v>1-BaseTRR, Line 77</v>
      </c>
      <c r="F70" s="14"/>
      <c r="G70" s="14"/>
      <c r="K70" s="7"/>
    </row>
    <row r="71" spans="1:11" x14ac:dyDescent="0.2">
      <c r="A71" s="115">
        <f t="shared" si="0"/>
        <v>62</v>
      </c>
      <c r="B71" s="14"/>
      <c r="C71" s="381" t="s">
        <v>1748</v>
      </c>
      <c r="D71" s="48">
        <f>D70-D69</f>
        <v>420135222.16435003</v>
      </c>
      <c r="E71" s="47" t="str">
        <f>"Line "&amp;A70&amp;" - Line "&amp;A69&amp;""</f>
        <v>Line 61 - Line 60</v>
      </c>
      <c r="F71" s="14"/>
      <c r="G71" s="14"/>
      <c r="K71" s="7"/>
    </row>
    <row r="72" spans="1:11" x14ac:dyDescent="0.2">
      <c r="A72" s="115">
        <f t="shared" si="0"/>
        <v>63</v>
      </c>
      <c r="B72" s="14"/>
      <c r="C72" s="1022" t="s">
        <v>2470</v>
      </c>
      <c r="D72" s="65">
        <f>('1-BaseTRR'!K124+'1-BaseTRR'!K125)*0.75</f>
        <v>87402346.009719074</v>
      </c>
      <c r="E72" s="47" t="str">
        <f>"(1-BaseTRR, Line "&amp;'1-BaseTRR'!A124&amp;" + Line "&amp;'1-BaseTRR'!A125&amp;") * .75"</f>
        <v>(1-BaseTRR, Line 65 + Line 66) * .75</v>
      </c>
      <c r="F72" s="14"/>
      <c r="G72" s="14"/>
      <c r="K72" s="7"/>
    </row>
    <row r="73" spans="1:11" x14ac:dyDescent="0.2">
      <c r="A73" s="115">
        <f t="shared" si="0"/>
        <v>64</v>
      </c>
      <c r="B73" s="14"/>
      <c r="C73" s="381" t="s">
        <v>308</v>
      </c>
      <c r="D73" s="1020">
        <f xml:space="preserve"> (D71-D72)/D40</f>
        <v>0.14532217038092807</v>
      </c>
      <c r="E73" s="47" t="str">
        <f>"(Line "&amp;A71&amp;" - Line "&amp;A72&amp;") / Line "&amp;A40&amp;""</f>
        <v>(Line 62 - Line 63) / Line 31</v>
      </c>
      <c r="F73" s="14"/>
      <c r="G73" s="14"/>
      <c r="K73" s="7"/>
    </row>
    <row r="74" spans="1:11" x14ac:dyDescent="0.2">
      <c r="A74" s="115">
        <f t="shared" si="0"/>
        <v>65</v>
      </c>
      <c r="B74" s="14"/>
      <c r="C74" s="14"/>
      <c r="D74" s="65"/>
      <c r="E74" s="47"/>
      <c r="F74" s="14"/>
      <c r="G74" s="14"/>
    </row>
    <row r="75" spans="1:11" x14ac:dyDescent="0.2">
      <c r="A75" s="115">
        <f t="shared" si="0"/>
        <v>66</v>
      </c>
      <c r="B75" s="45" t="s">
        <v>394</v>
      </c>
      <c r="C75" s="14"/>
      <c r="D75" s="14"/>
      <c r="E75" s="14"/>
      <c r="F75" s="14"/>
      <c r="G75" s="14"/>
    </row>
    <row r="76" spans="1:11" x14ac:dyDescent="0.2">
      <c r="A76" s="115">
        <f t="shared" si="0"/>
        <v>67</v>
      </c>
      <c r="B76" s="14"/>
      <c r="C76" s="14"/>
      <c r="D76" s="14"/>
      <c r="E76" s="14"/>
      <c r="F76" s="14"/>
      <c r="G76" s="14"/>
    </row>
    <row r="77" spans="1:11" x14ac:dyDescent="0.2">
      <c r="A77" s="115">
        <f t="shared" si="0"/>
        <v>68</v>
      </c>
      <c r="B77" s="14"/>
      <c r="C77" s="14"/>
      <c r="D77" s="14"/>
      <c r="E77" s="129" t="s">
        <v>233</v>
      </c>
      <c r="F77" s="14"/>
      <c r="G77" s="14"/>
      <c r="I77" s="1"/>
    </row>
    <row r="78" spans="1:11" x14ac:dyDescent="0.2">
      <c r="A78" s="115">
        <f t="shared" si="0"/>
        <v>69</v>
      </c>
      <c r="B78" s="14"/>
      <c r="C78" s="381" t="s">
        <v>307</v>
      </c>
      <c r="D78" s="65">
        <f>'16-PlantAdditions'!N34</f>
        <v>1103411003.7108691</v>
      </c>
      <c r="E78" s="47" t="str">
        <f>"16-PlantAdditions, L "&amp;'16-PlantAdditions'!A34&amp;", C10"</f>
        <v>16-PlantAdditions, L 22, C10</v>
      </c>
      <c r="F78" s="14"/>
      <c r="G78" s="14"/>
      <c r="K78" s="7"/>
    </row>
    <row r="79" spans="1:11" x14ac:dyDescent="0.2">
      <c r="A79" s="115">
        <f t="shared" si="0"/>
        <v>70</v>
      </c>
      <c r="B79" s="14"/>
      <c r="C79" s="381" t="s">
        <v>308</v>
      </c>
      <c r="D79" s="1023">
        <f>D73</f>
        <v>0.14532217038092807</v>
      </c>
      <c r="E79" s="47" t="str">
        <f>"Line "&amp;A73&amp;""</f>
        <v>Line 64</v>
      </c>
      <c r="F79" s="14"/>
      <c r="G79" s="14"/>
      <c r="K79" s="966"/>
    </row>
    <row r="80" spans="1:11" x14ac:dyDescent="0.2">
      <c r="A80" s="115">
        <f t="shared" si="0"/>
        <v>71</v>
      </c>
      <c r="B80" s="14"/>
      <c r="C80" s="381" t="s">
        <v>395</v>
      </c>
      <c r="D80" s="65">
        <f>D78*D79</f>
        <v>160350081.88146177</v>
      </c>
      <c r="E80" s="47" t="str">
        <f>"Line "&amp;A78&amp;" * Line "&amp;A79&amp;""</f>
        <v>Line 69 * Line 70</v>
      </c>
      <c r="F80" s="14"/>
      <c r="G80" s="14"/>
      <c r="K80" s="7"/>
    </row>
    <row r="81" spans="1:11" x14ac:dyDescent="0.2">
      <c r="A81" s="115">
        <f t="shared" si="0"/>
        <v>72</v>
      </c>
      <c r="B81" s="14"/>
      <c r="C81" s="14"/>
      <c r="D81" s="14"/>
      <c r="E81" s="14"/>
      <c r="F81" s="14"/>
      <c r="G81" s="14"/>
      <c r="K81" s="7"/>
    </row>
    <row r="82" spans="1:11" x14ac:dyDescent="0.2">
      <c r="A82" s="115">
        <f t="shared" si="0"/>
        <v>73</v>
      </c>
      <c r="B82" s="14"/>
      <c r="C82" s="381" t="s">
        <v>398</v>
      </c>
      <c r="D82" s="65">
        <f>'10-CWIP'!K76</f>
        <v>374298446.48527646</v>
      </c>
      <c r="E82" s="47" t="str">
        <f>"10-CWIP, L "&amp;'10-CWIP'!A76&amp;", C8"</f>
        <v>10-CWIP, L 51, C8</v>
      </c>
      <c r="F82" s="14"/>
      <c r="G82" s="14"/>
      <c r="K82" s="7"/>
    </row>
    <row r="83" spans="1:11" x14ac:dyDescent="0.2">
      <c r="A83" s="115">
        <f t="shared" si="0"/>
        <v>74</v>
      </c>
      <c r="B83" s="14"/>
      <c r="C83" s="381" t="s">
        <v>396</v>
      </c>
      <c r="D83" s="1023">
        <f>D25</f>
        <v>0.11210486178555115</v>
      </c>
      <c r="E83" s="47" t="str">
        <f>"Line "&amp;A25&amp;""</f>
        <v>Line 16</v>
      </c>
      <c r="F83" s="14"/>
      <c r="G83" s="14"/>
      <c r="K83" s="966"/>
    </row>
    <row r="84" spans="1:11" x14ac:dyDescent="0.2">
      <c r="A84" s="115">
        <f t="shared" si="0"/>
        <v>75</v>
      </c>
      <c r="B84" s="14"/>
      <c r="C84" s="381" t="s">
        <v>397</v>
      </c>
      <c r="D84" s="65">
        <f>D82*D83</f>
        <v>41960675.609778434</v>
      </c>
      <c r="E84" s="47" t="str">
        <f>"Line "&amp;A82&amp;" * Line "&amp;A83&amp;""</f>
        <v>Line 73 * Line 74</v>
      </c>
      <c r="F84" s="14"/>
      <c r="G84" s="14"/>
      <c r="K84" s="7"/>
    </row>
    <row r="85" spans="1:11" x14ac:dyDescent="0.2">
      <c r="A85" s="115">
        <f t="shared" si="0"/>
        <v>76</v>
      </c>
      <c r="B85" s="14"/>
      <c r="C85" s="14"/>
      <c r="D85" s="14"/>
      <c r="E85" s="14"/>
      <c r="F85" s="14"/>
      <c r="G85" s="14"/>
      <c r="K85" s="7"/>
    </row>
    <row r="86" spans="1:11" x14ac:dyDescent="0.2">
      <c r="A86" s="115">
        <f t="shared" si="0"/>
        <v>77</v>
      </c>
      <c r="B86" s="14"/>
      <c r="C86" s="381" t="s">
        <v>1757</v>
      </c>
      <c r="D86" s="65">
        <f>D80+D84</f>
        <v>202310757.4912402</v>
      </c>
      <c r="E86" s="47" t="str">
        <f>"Line "&amp;A80&amp;" + Line "&amp;A84&amp;""</f>
        <v>Line 71 + Line 75</v>
      </c>
      <c r="F86" s="14"/>
      <c r="G86" s="14"/>
      <c r="K86" s="7"/>
    </row>
    <row r="87" spans="1:11" x14ac:dyDescent="0.2">
      <c r="A87" s="115">
        <f t="shared" si="0"/>
        <v>78</v>
      </c>
      <c r="B87" s="14"/>
      <c r="C87" s="14"/>
      <c r="D87" s="14"/>
      <c r="E87" s="14"/>
      <c r="F87" s="14"/>
      <c r="G87" s="14"/>
      <c r="K87" s="7"/>
    </row>
    <row r="88" spans="1:11" x14ac:dyDescent="0.2">
      <c r="A88" s="115">
        <f t="shared" ref="A88:A91" si="1">A87+1</f>
        <v>79</v>
      </c>
      <c r="B88" s="14"/>
      <c r="C88" s="381" t="s">
        <v>1758</v>
      </c>
      <c r="D88" s="65">
        <f>'28-FFU'!D22*D86</f>
        <v>1848877.5505609461</v>
      </c>
      <c r="E88" s="118" t="str">
        <f>"Line "&amp;A86&amp;" * FF (from 28-FFU, L "&amp;'28-FFU'!A22&amp;")"</f>
        <v>Line 77 * FF (from 28-FFU, L 5)</v>
      </c>
      <c r="F88" s="14"/>
      <c r="G88" s="14"/>
      <c r="K88" s="7"/>
    </row>
    <row r="89" spans="1:11" x14ac:dyDescent="0.2">
      <c r="A89" s="115">
        <f t="shared" si="1"/>
        <v>80</v>
      </c>
      <c r="B89" s="14"/>
      <c r="C89" s="81" t="s">
        <v>1759</v>
      </c>
      <c r="D89" s="65">
        <f>'28-FFU'!E22*D86</f>
        <v>486719.22037242568</v>
      </c>
      <c r="E89" s="118" t="str">
        <f>"Line "&amp;A86&amp;" * U (from 28-FFU, L "&amp;'28-FFU'!A22&amp;")"</f>
        <v>Line 77 * U (from 28-FFU, L 5)</v>
      </c>
      <c r="F89" s="14"/>
      <c r="G89" s="14"/>
      <c r="K89" s="7"/>
    </row>
    <row r="90" spans="1:11" x14ac:dyDescent="0.2">
      <c r="A90" s="115">
        <f t="shared" si="1"/>
        <v>81</v>
      </c>
      <c r="B90" s="14"/>
      <c r="C90" s="14"/>
      <c r="D90" s="65"/>
      <c r="E90" s="14"/>
      <c r="F90" s="14"/>
      <c r="G90" s="14"/>
      <c r="K90" s="7"/>
    </row>
    <row r="91" spans="1:11" x14ac:dyDescent="0.2">
      <c r="A91" s="115">
        <f t="shared" si="1"/>
        <v>82</v>
      </c>
      <c r="B91" s="14"/>
      <c r="C91" s="81" t="s">
        <v>399</v>
      </c>
      <c r="D91" s="65">
        <f>D86+D88+D89</f>
        <v>204646354.26217359</v>
      </c>
      <c r="E91" s="47" t="str">
        <f>"Line "&amp;A86&amp;" + Line "&amp;A88&amp;" + Line "&amp;A89&amp;""</f>
        <v>Line 77 + Line 79 + Line 80</v>
      </c>
      <c r="F91" s="14"/>
      <c r="G91" s="14"/>
      <c r="K91" s="7"/>
    </row>
  </sheetData>
  <phoneticPr fontId="11" type="noConversion"/>
  <pageMargins left="0.75" right="0.75" top="1" bottom="1" header="0.5" footer="0.5"/>
  <pageSetup scale="75" orientation="portrait" cellComments="asDisplayed" r:id="rId1"/>
  <headerFooter alignWithMargins="0">
    <oddHeader>&amp;CSchedule 2
Incremental Forecast Period TRR
&amp;"Arial,Bold"Exhibit G-2</oddHeader>
    <oddFooter>&amp;R&amp;A</oddFooter>
  </headerFooter>
  <rowBreaks count="1" manualBreakCount="1">
    <brk id="66"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8"/>
  <sheetViews>
    <sheetView zoomScale="85" zoomScaleNormal="85" workbookViewId="0">
      <selection sqref="A1:B1"/>
    </sheetView>
  </sheetViews>
  <sheetFormatPr defaultRowHeight="12.75" x14ac:dyDescent="0.2"/>
  <cols>
    <col min="1" max="1" width="4.7109375" customWidth="1"/>
    <col min="2" max="2" width="6.7109375" customWidth="1"/>
    <col min="3" max="8" width="14.7109375" customWidth="1"/>
    <col min="9" max="9" width="15.7109375" customWidth="1"/>
    <col min="10" max="12" width="14.7109375" customWidth="1"/>
  </cols>
  <sheetData>
    <row r="1" spans="1:12" x14ac:dyDescent="0.2">
      <c r="A1" s="1" t="s">
        <v>2180</v>
      </c>
      <c r="B1" s="238"/>
      <c r="C1" s="238"/>
      <c r="D1" s="238"/>
      <c r="E1" s="238"/>
      <c r="F1" s="238"/>
      <c r="G1" s="238"/>
      <c r="H1" s="238"/>
      <c r="I1" s="238"/>
      <c r="J1" s="238"/>
      <c r="K1" s="238"/>
      <c r="L1" s="238"/>
    </row>
    <row r="2" spans="1:12" x14ac:dyDescent="0.2">
      <c r="A2" s="238"/>
      <c r="B2" s="238"/>
      <c r="C2" s="238"/>
      <c r="D2" s="238"/>
      <c r="E2" s="238"/>
      <c r="F2" s="238"/>
      <c r="G2" s="238"/>
      <c r="H2" s="238"/>
      <c r="I2" s="238"/>
      <c r="J2" s="238"/>
      <c r="K2" s="238"/>
      <c r="L2" s="238"/>
    </row>
    <row r="3" spans="1:12" x14ac:dyDescent="0.2">
      <c r="A3" s="238"/>
      <c r="B3" s="1" t="s">
        <v>552</v>
      </c>
      <c r="C3" s="238"/>
      <c r="D3" s="238"/>
      <c r="E3" s="238"/>
      <c r="F3" s="238"/>
      <c r="G3" s="238"/>
      <c r="H3" s="238"/>
      <c r="I3" s="238"/>
      <c r="J3" s="238"/>
      <c r="K3" s="238"/>
      <c r="L3" s="238"/>
    </row>
    <row r="4" spans="1:12" x14ac:dyDescent="0.2">
      <c r="A4" s="238"/>
      <c r="B4" s="630" t="s">
        <v>1927</v>
      </c>
      <c r="C4" s="238"/>
      <c r="D4" s="238"/>
      <c r="E4" s="238"/>
      <c r="F4" s="238"/>
      <c r="G4" s="238"/>
      <c r="H4" s="238"/>
      <c r="I4" s="238"/>
      <c r="J4" s="238"/>
      <c r="K4" s="238"/>
      <c r="L4" s="238"/>
    </row>
    <row r="5" spans="1:12" x14ac:dyDescent="0.2">
      <c r="A5" s="238"/>
      <c r="B5" s="101" t="str">
        <f>"for each month (see Note #2).  If formula was not in effect in Prior Year, do not populate Column 2 or 3, Lines "&amp;A24&amp;" to "&amp;A35&amp;"."</f>
        <v>for each month (see Note #2).  If formula was not in effect in Prior Year, do not populate Column 2 or 3, Lines 11 to 22.</v>
      </c>
      <c r="C5" s="238"/>
      <c r="D5" s="238"/>
      <c r="E5" s="238"/>
      <c r="F5" s="238"/>
      <c r="G5" s="238"/>
      <c r="H5" s="238"/>
      <c r="I5" s="238"/>
      <c r="J5" s="238"/>
      <c r="K5" s="238"/>
      <c r="L5" s="238"/>
    </row>
    <row r="6" spans="1:12" x14ac:dyDescent="0.2">
      <c r="A6" s="238"/>
      <c r="B6" s="630" t="s">
        <v>1928</v>
      </c>
      <c r="C6" s="238"/>
      <c r="D6" s="238"/>
      <c r="E6" s="238"/>
      <c r="F6" s="238"/>
      <c r="G6" s="238"/>
      <c r="H6" s="238"/>
      <c r="I6" s="238"/>
      <c r="J6" s="238"/>
      <c r="K6" s="238"/>
      <c r="L6" s="238"/>
    </row>
    <row r="7" spans="1:12" x14ac:dyDescent="0.2">
      <c r="A7" s="238"/>
      <c r="B7" s="13" t="s">
        <v>1164</v>
      </c>
      <c r="C7" s="238"/>
      <c r="D7" s="238"/>
      <c r="E7" s="238"/>
      <c r="F7" s="238"/>
      <c r="G7" s="238"/>
      <c r="H7" s="238"/>
      <c r="I7" s="238"/>
      <c r="J7" s="238"/>
      <c r="K7" s="238"/>
      <c r="L7" s="238"/>
    </row>
    <row r="8" spans="1:12" x14ac:dyDescent="0.2">
      <c r="A8" s="238"/>
      <c r="B8" s="13" t="str">
        <f>"d) Continue interest calculation through the end of the previous Rate Effective Period (Line "&amp;A44&amp;")."</f>
        <v>d) Continue interest calculation through the end of the previous Rate Effective Period (Line 31).</v>
      </c>
      <c r="C8" s="238"/>
      <c r="D8" s="238"/>
      <c r="E8" s="238"/>
      <c r="F8" s="238"/>
      <c r="G8" s="238"/>
      <c r="H8" s="238"/>
      <c r="I8" s="238"/>
      <c r="J8" s="238"/>
      <c r="K8" s="238"/>
      <c r="L8" s="238"/>
    </row>
    <row r="9" spans="1:12" x14ac:dyDescent="0.2">
      <c r="A9" s="238"/>
      <c r="B9" s="13" t="str">
        <f>"e) Amortize this ending balance from (d) over the current Rate Effective Period so that the ending balance on Line "&amp;A64&amp;" is equal to $0."</f>
        <v>e) Amortize this ending balance from (d) over the current Rate Effective Period so that the ending balance on Line 51 is equal to $0.</v>
      </c>
      <c r="C9" s="238"/>
      <c r="D9" s="238"/>
      <c r="E9" s="238"/>
      <c r="F9" s="238"/>
      <c r="G9" s="238"/>
      <c r="H9" s="238"/>
      <c r="I9" s="238"/>
      <c r="J9" s="238"/>
      <c r="K9" s="238"/>
      <c r="L9" s="238"/>
    </row>
    <row r="10" spans="1:12" x14ac:dyDescent="0.2">
      <c r="A10" s="238"/>
      <c r="B10" s="238"/>
      <c r="C10" s="238"/>
      <c r="D10" s="238"/>
      <c r="E10" s="238"/>
      <c r="F10" s="238"/>
      <c r="G10" s="238"/>
      <c r="H10" s="238"/>
      <c r="I10" s="238"/>
      <c r="J10" s="238"/>
      <c r="K10" s="238"/>
      <c r="L10" s="238"/>
    </row>
    <row r="11" spans="1:12" x14ac:dyDescent="0.2">
      <c r="A11" s="2"/>
      <c r="B11" s="85" t="s">
        <v>1929</v>
      </c>
      <c r="C11" s="238"/>
      <c r="D11" s="239"/>
      <c r="E11" s="240"/>
      <c r="F11" s="238"/>
      <c r="G11" s="238"/>
      <c r="H11" s="238"/>
      <c r="I11" s="238"/>
      <c r="J11" s="238"/>
      <c r="K11" s="105"/>
      <c r="L11" s="238"/>
    </row>
    <row r="12" spans="1:12" x14ac:dyDescent="0.2">
      <c r="A12" s="2"/>
      <c r="B12" s="85" t="s">
        <v>571</v>
      </c>
      <c r="C12" s="238"/>
      <c r="D12" s="239"/>
      <c r="E12" s="240"/>
      <c r="F12" s="238"/>
      <c r="G12" s="238"/>
      <c r="H12" s="238"/>
      <c r="I12" s="238"/>
      <c r="J12" s="238"/>
      <c r="K12" s="238"/>
      <c r="L12" s="238"/>
    </row>
    <row r="13" spans="1:12" x14ac:dyDescent="0.2">
      <c r="A13" s="55" t="s">
        <v>359</v>
      </c>
      <c r="B13" s="238"/>
      <c r="C13" s="85"/>
      <c r="D13" s="239"/>
      <c r="E13" s="240"/>
      <c r="F13" s="3"/>
      <c r="G13" s="238"/>
      <c r="H13" s="238"/>
      <c r="I13" s="238"/>
      <c r="J13" s="238"/>
      <c r="K13" s="238"/>
      <c r="L13" s="238"/>
    </row>
    <row r="14" spans="1:12" x14ac:dyDescent="0.2">
      <c r="A14" s="2">
        <f>A7+1</f>
        <v>1</v>
      </c>
      <c r="B14" s="238"/>
      <c r="C14" s="238"/>
      <c r="D14" s="705" t="s">
        <v>1926</v>
      </c>
      <c r="E14" s="240">
        <f>'4-TUTRR'!E72</f>
        <v>529087941.72183549</v>
      </c>
      <c r="F14" s="706" t="s">
        <v>2328</v>
      </c>
      <c r="G14" s="248"/>
      <c r="H14" s="238" t="str">
        <f>"Line "&amp;'4-TUTRR'!A72&amp;""</f>
        <v>Line 45</v>
      </c>
      <c r="I14" s="238"/>
      <c r="J14" s="238"/>
      <c r="K14" s="238"/>
      <c r="L14" s="238"/>
    </row>
    <row r="15" spans="1:12" x14ac:dyDescent="0.2">
      <c r="A15" s="2">
        <f>A14+1</f>
        <v>2</v>
      </c>
      <c r="B15" s="85"/>
      <c r="C15" s="238"/>
      <c r="D15" s="238"/>
      <c r="E15" s="238"/>
      <c r="F15" s="238"/>
      <c r="G15" s="238"/>
      <c r="H15" s="240"/>
      <c r="I15" s="238"/>
      <c r="J15" s="238"/>
      <c r="K15" s="238"/>
      <c r="L15" s="238"/>
    </row>
    <row r="16" spans="1:12" x14ac:dyDescent="0.2">
      <c r="A16" s="2">
        <f t="shared" ref="A16:A78" si="0">A15+1</f>
        <v>3</v>
      </c>
      <c r="B16" s="238"/>
      <c r="C16" s="238"/>
      <c r="D16" s="86" t="s">
        <v>403</v>
      </c>
      <c r="E16" s="86" t="s">
        <v>387</v>
      </c>
      <c r="F16" s="86" t="s">
        <v>388</v>
      </c>
      <c r="G16" s="86" t="s">
        <v>389</v>
      </c>
      <c r="H16" s="86" t="s">
        <v>390</v>
      </c>
      <c r="I16" s="86" t="s">
        <v>391</v>
      </c>
      <c r="J16" s="86" t="s">
        <v>392</v>
      </c>
      <c r="K16" s="86" t="s">
        <v>606</v>
      </c>
      <c r="L16" s="86" t="s">
        <v>1055</v>
      </c>
    </row>
    <row r="17" spans="1:12" x14ac:dyDescent="0.2">
      <c r="A17" s="2">
        <f t="shared" si="0"/>
        <v>4</v>
      </c>
      <c r="B17" s="238"/>
      <c r="C17" s="239" t="s">
        <v>1056</v>
      </c>
      <c r="D17" s="86"/>
      <c r="E17" s="89" t="s">
        <v>244</v>
      </c>
      <c r="F17" s="89" t="s">
        <v>320</v>
      </c>
      <c r="G17" s="89" t="s">
        <v>1057</v>
      </c>
      <c r="H17" s="98" t="s">
        <v>595</v>
      </c>
      <c r="I17" s="89" t="s">
        <v>1058</v>
      </c>
      <c r="J17" s="89" t="s">
        <v>593</v>
      </c>
      <c r="K17" s="89" t="s">
        <v>594</v>
      </c>
      <c r="L17" s="98" t="s">
        <v>1059</v>
      </c>
    </row>
    <row r="18" spans="1:12" x14ac:dyDescent="0.2">
      <c r="A18" s="2">
        <f t="shared" si="0"/>
        <v>5</v>
      </c>
      <c r="B18" s="238"/>
      <c r="C18" s="238"/>
      <c r="D18" s="86"/>
      <c r="G18" s="86"/>
      <c r="I18" s="86"/>
      <c r="J18" s="2" t="s">
        <v>232</v>
      </c>
      <c r="K18" s="86"/>
      <c r="L18" s="86"/>
    </row>
    <row r="19" spans="1:12" ht="15" x14ac:dyDescent="0.25">
      <c r="A19" s="2">
        <f t="shared" si="0"/>
        <v>6</v>
      </c>
      <c r="B19" s="238"/>
      <c r="C19" s="238"/>
      <c r="D19" s="86"/>
      <c r="G19" s="251" t="s">
        <v>1165</v>
      </c>
      <c r="I19" s="238"/>
      <c r="J19" s="2" t="s">
        <v>30</v>
      </c>
      <c r="K19" s="238"/>
      <c r="L19" s="2" t="s">
        <v>232</v>
      </c>
    </row>
    <row r="20" spans="1:12" x14ac:dyDescent="0.2">
      <c r="A20" s="2">
        <f t="shared" si="0"/>
        <v>7</v>
      </c>
      <c r="B20" s="238"/>
      <c r="C20" s="238"/>
      <c r="D20" s="86"/>
      <c r="F20" s="2" t="s">
        <v>570</v>
      </c>
      <c r="G20" s="2" t="s">
        <v>1060</v>
      </c>
      <c r="H20" s="2" t="s">
        <v>19</v>
      </c>
      <c r="I20" s="238"/>
      <c r="J20" s="2" t="s">
        <v>31</v>
      </c>
      <c r="K20" s="238"/>
      <c r="L20" s="2" t="s">
        <v>30</v>
      </c>
    </row>
    <row r="21" spans="1:12" x14ac:dyDescent="0.2">
      <c r="A21" s="2">
        <f t="shared" si="0"/>
        <v>8</v>
      </c>
      <c r="B21" s="238"/>
      <c r="C21" s="238"/>
      <c r="D21" s="2"/>
      <c r="E21" s="2" t="s">
        <v>19</v>
      </c>
      <c r="F21" s="2" t="s">
        <v>591</v>
      </c>
      <c r="G21" s="2" t="s">
        <v>227</v>
      </c>
      <c r="H21" s="2" t="s">
        <v>30</v>
      </c>
      <c r="I21" s="2" t="s">
        <v>19</v>
      </c>
      <c r="J21" s="2" t="s">
        <v>22</v>
      </c>
      <c r="K21" s="241" t="s">
        <v>23</v>
      </c>
      <c r="L21" s="2" t="s">
        <v>31</v>
      </c>
    </row>
    <row r="22" spans="1:12" x14ac:dyDescent="0.2">
      <c r="A22" s="2">
        <f t="shared" si="0"/>
        <v>9</v>
      </c>
      <c r="B22" s="238"/>
      <c r="C22" s="238"/>
      <c r="D22" s="2"/>
      <c r="E22" s="2" t="s">
        <v>316</v>
      </c>
      <c r="F22" s="2" t="s">
        <v>346</v>
      </c>
      <c r="G22" s="2" t="s">
        <v>316</v>
      </c>
      <c r="H22" s="2" t="s">
        <v>31</v>
      </c>
      <c r="I22" s="2" t="s">
        <v>23</v>
      </c>
      <c r="J22" s="2" t="s">
        <v>1166</v>
      </c>
      <c r="K22" s="2" t="s">
        <v>1167</v>
      </c>
      <c r="L22" s="2" t="s">
        <v>22</v>
      </c>
    </row>
    <row r="23" spans="1:12" x14ac:dyDescent="0.2">
      <c r="A23" s="2">
        <f t="shared" si="0"/>
        <v>10</v>
      </c>
      <c r="B23" s="238"/>
      <c r="C23" s="25" t="s">
        <v>220</v>
      </c>
      <c r="D23" s="25" t="s">
        <v>221</v>
      </c>
      <c r="E23" s="3" t="s">
        <v>1062</v>
      </c>
      <c r="F23" s="3" t="s">
        <v>21</v>
      </c>
      <c r="G23" s="3" t="s">
        <v>185</v>
      </c>
      <c r="H23" s="3" t="s">
        <v>22</v>
      </c>
      <c r="I23" s="3" t="s">
        <v>13</v>
      </c>
      <c r="J23" s="3" t="s">
        <v>1168</v>
      </c>
      <c r="K23" s="3" t="s">
        <v>220</v>
      </c>
      <c r="L23" s="3" t="s">
        <v>1063</v>
      </c>
    </row>
    <row r="24" spans="1:12" x14ac:dyDescent="0.2">
      <c r="A24" s="2">
        <f t="shared" si="0"/>
        <v>11</v>
      </c>
      <c r="B24" s="238"/>
      <c r="C24" s="20" t="s">
        <v>209</v>
      </c>
      <c r="D24" s="893">
        <v>2011</v>
      </c>
      <c r="E24" s="240">
        <v>0</v>
      </c>
      <c r="F24" s="242">
        <f>C105</f>
        <v>0</v>
      </c>
      <c r="G24" s="383">
        <v>0</v>
      </c>
      <c r="H24" s="240">
        <f>E24-F24+G24</f>
        <v>0</v>
      </c>
      <c r="I24" s="244">
        <v>2.7000000000000001E-3</v>
      </c>
      <c r="J24" s="245">
        <f>H24</f>
        <v>0</v>
      </c>
      <c r="K24" s="245">
        <f>((J24)/2)*I24</f>
        <v>0</v>
      </c>
      <c r="L24" s="245">
        <f>J24+K24</f>
        <v>0</v>
      </c>
    </row>
    <row r="25" spans="1:12" x14ac:dyDescent="0.2">
      <c r="A25" s="2">
        <f t="shared" si="0"/>
        <v>12</v>
      </c>
      <c r="B25" s="238"/>
      <c r="C25" s="21" t="s">
        <v>210</v>
      </c>
      <c r="D25" s="893">
        <v>2011</v>
      </c>
      <c r="E25" s="240">
        <v>0</v>
      </c>
      <c r="F25" s="242">
        <f t="shared" ref="F25:F35" si="1">C106</f>
        <v>0</v>
      </c>
      <c r="G25" s="383">
        <v>0</v>
      </c>
      <c r="H25" s="240">
        <f t="shared" ref="H25:H34" si="2">E25-F25+G25</f>
        <v>0</v>
      </c>
      <c r="I25" s="244">
        <v>2.7000000000000001E-3</v>
      </c>
      <c r="J25" s="245">
        <f>L24+H25</f>
        <v>0</v>
      </c>
      <c r="K25" s="245">
        <f>((L24+J25)/2)*I25</f>
        <v>0</v>
      </c>
      <c r="L25" s="245">
        <f t="shared" ref="L25:L44" si="3">J25+K25</f>
        <v>0</v>
      </c>
    </row>
    <row r="26" spans="1:12" x14ac:dyDescent="0.2">
      <c r="A26" s="2">
        <f t="shared" si="0"/>
        <v>13</v>
      </c>
      <c r="B26" s="238"/>
      <c r="C26" s="21" t="s">
        <v>223</v>
      </c>
      <c r="D26" s="893">
        <v>2011</v>
      </c>
      <c r="E26" s="240">
        <v>0</v>
      </c>
      <c r="F26" s="242">
        <f t="shared" si="1"/>
        <v>0</v>
      </c>
      <c r="G26" s="383">
        <v>0</v>
      </c>
      <c r="H26" s="240">
        <f t="shared" si="2"/>
        <v>0</v>
      </c>
      <c r="I26" s="244">
        <v>2.7000000000000001E-3</v>
      </c>
      <c r="J26" s="245">
        <f t="shared" ref="J26:J44" si="4">L25+H26</f>
        <v>0</v>
      </c>
      <c r="K26" s="245">
        <f t="shared" ref="K26:K44" si="5">((L25+J26)/2)*I26</f>
        <v>0</v>
      </c>
      <c r="L26" s="245">
        <f t="shared" si="3"/>
        <v>0</v>
      </c>
    </row>
    <row r="27" spans="1:12" x14ac:dyDescent="0.2">
      <c r="A27" s="2">
        <f t="shared" si="0"/>
        <v>14</v>
      </c>
      <c r="B27" s="238"/>
      <c r="C27" s="20" t="s">
        <v>211</v>
      </c>
      <c r="D27" s="893">
        <v>2011</v>
      </c>
      <c r="E27" s="240">
        <v>0</v>
      </c>
      <c r="F27" s="242">
        <f t="shared" si="1"/>
        <v>0</v>
      </c>
      <c r="G27" s="383">
        <v>0</v>
      </c>
      <c r="H27" s="240">
        <f t="shared" si="2"/>
        <v>0</v>
      </c>
      <c r="I27" s="244">
        <v>2.7000000000000001E-3</v>
      </c>
      <c r="J27" s="245">
        <f t="shared" si="4"/>
        <v>0</v>
      </c>
      <c r="K27" s="245">
        <f t="shared" si="5"/>
        <v>0</v>
      </c>
      <c r="L27" s="245">
        <f t="shared" si="3"/>
        <v>0</v>
      </c>
    </row>
    <row r="28" spans="1:12" x14ac:dyDescent="0.2">
      <c r="A28" s="2">
        <f t="shared" si="0"/>
        <v>15</v>
      </c>
      <c r="B28" s="238"/>
      <c r="C28" s="21" t="s">
        <v>212</v>
      </c>
      <c r="D28" s="893">
        <v>2011</v>
      </c>
      <c r="E28" s="240">
        <v>0</v>
      </c>
      <c r="F28" s="242">
        <f t="shared" si="1"/>
        <v>0</v>
      </c>
      <c r="G28" s="383">
        <v>0</v>
      </c>
      <c r="H28" s="240">
        <f t="shared" si="2"/>
        <v>0</v>
      </c>
      <c r="I28" s="244">
        <v>2.7000000000000001E-3</v>
      </c>
      <c r="J28" s="245">
        <f t="shared" si="4"/>
        <v>0</v>
      </c>
      <c r="K28" s="245">
        <f t="shared" si="5"/>
        <v>0</v>
      </c>
      <c r="L28" s="245">
        <f t="shared" si="3"/>
        <v>0</v>
      </c>
    </row>
    <row r="29" spans="1:12" x14ac:dyDescent="0.2">
      <c r="A29" s="2">
        <f t="shared" si="0"/>
        <v>16</v>
      </c>
      <c r="B29" s="238"/>
      <c r="C29" s="21" t="s">
        <v>213</v>
      </c>
      <c r="D29" s="893">
        <v>2011</v>
      </c>
      <c r="E29" s="240">
        <v>0</v>
      </c>
      <c r="F29" s="242">
        <f t="shared" si="1"/>
        <v>0</v>
      </c>
      <c r="G29" s="383">
        <v>0</v>
      </c>
      <c r="H29" s="240">
        <f t="shared" si="2"/>
        <v>0</v>
      </c>
      <c r="I29" s="244">
        <v>2.7000000000000001E-3</v>
      </c>
      <c r="J29" s="245">
        <f t="shared" si="4"/>
        <v>0</v>
      </c>
      <c r="K29" s="245">
        <f t="shared" si="5"/>
        <v>0</v>
      </c>
      <c r="L29" s="245">
        <f t="shared" si="3"/>
        <v>0</v>
      </c>
    </row>
    <row r="30" spans="1:12" x14ac:dyDescent="0.2">
      <c r="A30" s="2">
        <f t="shared" si="0"/>
        <v>17</v>
      </c>
      <c r="B30" s="238"/>
      <c r="C30" s="20" t="s">
        <v>214</v>
      </c>
      <c r="D30" s="893">
        <v>2011</v>
      </c>
      <c r="E30" s="240">
        <v>0</v>
      </c>
      <c r="F30" s="242">
        <f t="shared" si="1"/>
        <v>0</v>
      </c>
      <c r="G30" s="383">
        <v>0</v>
      </c>
      <c r="H30" s="240">
        <f t="shared" si="2"/>
        <v>0</v>
      </c>
      <c r="I30" s="244">
        <v>2.7000000000000001E-3</v>
      </c>
      <c r="J30" s="245">
        <f t="shared" si="4"/>
        <v>0</v>
      </c>
      <c r="K30" s="245">
        <f t="shared" si="5"/>
        <v>0</v>
      </c>
      <c r="L30" s="245">
        <f t="shared" si="3"/>
        <v>0</v>
      </c>
    </row>
    <row r="31" spans="1:12" x14ac:dyDescent="0.2">
      <c r="A31" s="2">
        <f t="shared" si="0"/>
        <v>18</v>
      </c>
      <c r="B31" s="238"/>
      <c r="C31" s="21" t="s">
        <v>215</v>
      </c>
      <c r="D31" s="893">
        <v>2011</v>
      </c>
      <c r="E31" s="240">
        <v>0</v>
      </c>
      <c r="F31" s="242">
        <f t="shared" si="1"/>
        <v>0</v>
      </c>
      <c r="G31" s="383">
        <v>0</v>
      </c>
      <c r="H31" s="240">
        <f t="shared" si="2"/>
        <v>0</v>
      </c>
      <c r="I31" s="244">
        <v>2.7000000000000001E-3</v>
      </c>
      <c r="J31" s="245">
        <f t="shared" si="4"/>
        <v>0</v>
      </c>
      <c r="K31" s="245">
        <f t="shared" si="5"/>
        <v>0</v>
      </c>
      <c r="L31" s="245">
        <f t="shared" si="3"/>
        <v>0</v>
      </c>
    </row>
    <row r="32" spans="1:12" x14ac:dyDescent="0.2">
      <c r="A32" s="2">
        <f t="shared" si="0"/>
        <v>19</v>
      </c>
      <c r="B32" s="238"/>
      <c r="C32" s="21" t="s">
        <v>216</v>
      </c>
      <c r="D32" s="893">
        <v>2011</v>
      </c>
      <c r="E32" s="240">
        <v>0</v>
      </c>
      <c r="F32" s="242">
        <f t="shared" si="1"/>
        <v>0</v>
      </c>
      <c r="G32" s="383">
        <v>0</v>
      </c>
      <c r="H32" s="240">
        <f t="shared" si="2"/>
        <v>0</v>
      </c>
      <c r="I32" s="244">
        <v>2.7000000000000001E-3</v>
      </c>
      <c r="J32" s="245">
        <f t="shared" si="4"/>
        <v>0</v>
      </c>
      <c r="K32" s="245">
        <f t="shared" si="5"/>
        <v>0</v>
      </c>
      <c r="L32" s="245">
        <f t="shared" si="3"/>
        <v>0</v>
      </c>
    </row>
    <row r="33" spans="1:12" x14ac:dyDescent="0.2">
      <c r="A33" s="2">
        <f t="shared" si="0"/>
        <v>20</v>
      </c>
      <c r="B33" s="238"/>
      <c r="C33" s="20" t="s">
        <v>219</v>
      </c>
      <c r="D33" s="893">
        <v>2011</v>
      </c>
      <c r="E33" s="240">
        <v>0</v>
      </c>
      <c r="F33" s="242">
        <f t="shared" si="1"/>
        <v>0</v>
      </c>
      <c r="G33" s="383">
        <v>0</v>
      </c>
      <c r="H33" s="240">
        <f t="shared" si="2"/>
        <v>0</v>
      </c>
      <c r="I33" s="244">
        <v>2.7000000000000001E-3</v>
      </c>
      <c r="J33" s="245">
        <f t="shared" si="4"/>
        <v>0</v>
      </c>
      <c r="K33" s="245">
        <f t="shared" si="5"/>
        <v>0</v>
      </c>
      <c r="L33" s="245">
        <f t="shared" si="3"/>
        <v>0</v>
      </c>
    </row>
    <row r="34" spans="1:12" x14ac:dyDescent="0.2">
      <c r="A34" s="2">
        <f t="shared" si="0"/>
        <v>21</v>
      </c>
      <c r="B34" s="238"/>
      <c r="C34" s="20" t="s">
        <v>218</v>
      </c>
      <c r="D34" s="893">
        <v>2011</v>
      </c>
      <c r="E34" s="240">
        <v>0</v>
      </c>
      <c r="F34" s="242">
        <f t="shared" si="1"/>
        <v>0</v>
      </c>
      <c r="G34" s="383">
        <v>0</v>
      </c>
      <c r="H34" s="240">
        <f t="shared" si="2"/>
        <v>0</v>
      </c>
      <c r="I34" s="244">
        <v>2.7000000000000001E-3</v>
      </c>
      <c r="J34" s="245">
        <f t="shared" si="4"/>
        <v>0</v>
      </c>
      <c r="K34" s="245">
        <f t="shared" si="5"/>
        <v>0</v>
      </c>
      <c r="L34" s="245">
        <f t="shared" si="3"/>
        <v>0</v>
      </c>
    </row>
    <row r="35" spans="1:12" x14ac:dyDescent="0.2">
      <c r="A35" s="2">
        <f t="shared" si="0"/>
        <v>22</v>
      </c>
      <c r="B35" s="238"/>
      <c r="C35" s="21" t="s">
        <v>208</v>
      </c>
      <c r="D35" s="893">
        <v>2011</v>
      </c>
      <c r="E35" s="240">
        <v>0</v>
      </c>
      <c r="F35" s="48">
        <f t="shared" si="1"/>
        <v>0</v>
      </c>
      <c r="G35" s="383">
        <v>0</v>
      </c>
      <c r="H35" s="240">
        <f>E35-F35+G35</f>
        <v>0</v>
      </c>
      <c r="I35" s="244">
        <v>2.7000000000000001E-3</v>
      </c>
      <c r="J35" s="245">
        <f t="shared" si="4"/>
        <v>0</v>
      </c>
      <c r="K35" s="245">
        <f t="shared" si="5"/>
        <v>0</v>
      </c>
      <c r="L35" s="245">
        <f t="shared" si="3"/>
        <v>0</v>
      </c>
    </row>
    <row r="36" spans="1:12" x14ac:dyDescent="0.2">
      <c r="A36" s="2">
        <f t="shared" si="0"/>
        <v>23</v>
      </c>
      <c r="B36" s="238"/>
      <c r="C36" s="20" t="s">
        <v>209</v>
      </c>
      <c r="D36" s="893">
        <v>2012</v>
      </c>
      <c r="E36" s="246" t="s">
        <v>86</v>
      </c>
      <c r="F36" s="246" t="s">
        <v>86</v>
      </c>
      <c r="G36" s="399">
        <v>-7839769</v>
      </c>
      <c r="H36" s="240">
        <f>+G36</f>
        <v>-7839769</v>
      </c>
      <c r="I36" s="244">
        <v>2.7000000000000001E-3</v>
      </c>
      <c r="J36" s="245">
        <f t="shared" si="4"/>
        <v>-7839769</v>
      </c>
      <c r="K36" s="245">
        <f t="shared" si="5"/>
        <v>-10583.68815</v>
      </c>
      <c r="L36" s="245">
        <f t="shared" si="3"/>
        <v>-7850352.6881499998</v>
      </c>
    </row>
    <row r="37" spans="1:12" x14ac:dyDescent="0.2">
      <c r="A37" s="2">
        <f t="shared" si="0"/>
        <v>24</v>
      </c>
      <c r="B37" s="238"/>
      <c r="C37" s="21" t="s">
        <v>210</v>
      </c>
      <c r="D37" s="893">
        <v>2012</v>
      </c>
      <c r="E37" s="246" t="s">
        <v>86</v>
      </c>
      <c r="F37" s="246" t="s">
        <v>86</v>
      </c>
      <c r="G37" s="399">
        <v>0</v>
      </c>
      <c r="H37" s="240">
        <f t="shared" ref="H37:H44" si="6">+G37</f>
        <v>0</v>
      </c>
      <c r="I37" s="244">
        <v>2.7000000000000001E-3</v>
      </c>
      <c r="J37" s="245">
        <f t="shared" si="4"/>
        <v>-7850352.6881499998</v>
      </c>
      <c r="K37" s="245">
        <f t="shared" si="5"/>
        <v>-21195.952258005</v>
      </c>
      <c r="L37" s="245">
        <f t="shared" si="3"/>
        <v>-7871548.6404080046</v>
      </c>
    </row>
    <row r="38" spans="1:12" x14ac:dyDescent="0.2">
      <c r="A38" s="2">
        <f t="shared" si="0"/>
        <v>25</v>
      </c>
      <c r="B38" s="238"/>
      <c r="C38" s="21" t="s">
        <v>223</v>
      </c>
      <c r="D38" s="893">
        <v>2012</v>
      </c>
      <c r="E38" s="246" t="s">
        <v>86</v>
      </c>
      <c r="F38" s="246" t="s">
        <v>86</v>
      </c>
      <c r="G38" s="399">
        <v>0</v>
      </c>
      <c r="H38" s="240">
        <f t="shared" si="6"/>
        <v>0</v>
      </c>
      <c r="I38" s="244">
        <v>2.7000000000000001E-3</v>
      </c>
      <c r="J38" s="245">
        <f t="shared" si="4"/>
        <v>-7871548.6404080046</v>
      </c>
      <c r="K38" s="245">
        <f t="shared" si="5"/>
        <v>-21253.181329101615</v>
      </c>
      <c r="L38" s="245">
        <f t="shared" si="3"/>
        <v>-7892801.821737106</v>
      </c>
    </row>
    <row r="39" spans="1:12" x14ac:dyDescent="0.2">
      <c r="A39" s="2">
        <f t="shared" si="0"/>
        <v>26</v>
      </c>
      <c r="B39" s="238"/>
      <c r="C39" s="20" t="s">
        <v>211</v>
      </c>
      <c r="D39" s="893">
        <v>2012</v>
      </c>
      <c r="E39" s="246" t="s">
        <v>86</v>
      </c>
      <c r="F39" s="246" t="s">
        <v>86</v>
      </c>
      <c r="G39" s="399">
        <v>0</v>
      </c>
      <c r="H39" s="240">
        <f t="shared" si="6"/>
        <v>0</v>
      </c>
      <c r="I39" s="244">
        <v>2.7000000000000001E-3</v>
      </c>
      <c r="J39" s="245">
        <f t="shared" si="4"/>
        <v>-7892801.821737106</v>
      </c>
      <c r="K39" s="245">
        <f t="shared" si="5"/>
        <v>-21310.564918690186</v>
      </c>
      <c r="L39" s="245">
        <f t="shared" si="3"/>
        <v>-7914112.3866557963</v>
      </c>
    </row>
    <row r="40" spans="1:12" x14ac:dyDescent="0.2">
      <c r="A40" s="2">
        <f t="shared" si="0"/>
        <v>27</v>
      </c>
      <c r="B40" s="238"/>
      <c r="C40" s="21" t="s">
        <v>212</v>
      </c>
      <c r="D40" s="893">
        <v>2012</v>
      </c>
      <c r="E40" s="246" t="s">
        <v>86</v>
      </c>
      <c r="F40" s="246" t="s">
        <v>86</v>
      </c>
      <c r="G40" s="399">
        <v>10272408</v>
      </c>
      <c r="H40" s="240">
        <f t="shared" si="6"/>
        <v>10272408</v>
      </c>
      <c r="I40" s="244">
        <v>2.7000000000000001E-3</v>
      </c>
      <c r="J40" s="245">
        <f t="shared" si="4"/>
        <v>2358295.6133442037</v>
      </c>
      <c r="K40" s="245">
        <f t="shared" si="5"/>
        <v>-7500.3526439706502</v>
      </c>
      <c r="L40" s="245">
        <f t="shared" si="3"/>
        <v>2350795.2607002328</v>
      </c>
    </row>
    <row r="41" spans="1:12" x14ac:dyDescent="0.2">
      <c r="A41" s="2">
        <f t="shared" si="0"/>
        <v>28</v>
      </c>
      <c r="B41" s="238"/>
      <c r="C41" s="21" t="s">
        <v>213</v>
      </c>
      <c r="D41" s="893">
        <v>2012</v>
      </c>
      <c r="E41" s="246" t="s">
        <v>86</v>
      </c>
      <c r="F41" s="246" t="s">
        <v>86</v>
      </c>
      <c r="G41" s="399">
        <v>0</v>
      </c>
      <c r="H41" s="240">
        <f t="shared" si="6"/>
        <v>0</v>
      </c>
      <c r="I41" s="244">
        <v>2.7000000000000001E-3</v>
      </c>
      <c r="J41" s="245">
        <f t="shared" si="4"/>
        <v>2350795.2607002328</v>
      </c>
      <c r="K41" s="245">
        <f t="shared" si="5"/>
        <v>6347.1472038906286</v>
      </c>
      <c r="L41" s="245">
        <f t="shared" si="3"/>
        <v>2357142.4079041234</v>
      </c>
    </row>
    <row r="42" spans="1:12" x14ac:dyDescent="0.2">
      <c r="A42" s="2">
        <f t="shared" si="0"/>
        <v>29</v>
      </c>
      <c r="B42" s="238"/>
      <c r="C42" s="20" t="s">
        <v>214</v>
      </c>
      <c r="D42" s="893">
        <v>2012</v>
      </c>
      <c r="E42" s="246" t="s">
        <v>86</v>
      </c>
      <c r="F42" s="246" t="s">
        <v>86</v>
      </c>
      <c r="G42" s="399">
        <v>0</v>
      </c>
      <c r="H42" s="240">
        <f t="shared" si="6"/>
        <v>0</v>
      </c>
      <c r="I42" s="244">
        <v>2.7000000000000001E-3</v>
      </c>
      <c r="J42" s="245">
        <f t="shared" si="4"/>
        <v>2357142.4079041234</v>
      </c>
      <c r="K42" s="245">
        <f t="shared" si="5"/>
        <v>6364.2845013411334</v>
      </c>
      <c r="L42" s="245">
        <f t="shared" si="3"/>
        <v>2363506.6924054646</v>
      </c>
    </row>
    <row r="43" spans="1:12" x14ac:dyDescent="0.2">
      <c r="A43" s="2">
        <f t="shared" si="0"/>
        <v>30</v>
      </c>
      <c r="B43" s="238"/>
      <c r="C43" s="21" t="s">
        <v>215</v>
      </c>
      <c r="D43" s="893">
        <v>2012</v>
      </c>
      <c r="E43" s="246" t="s">
        <v>86</v>
      </c>
      <c r="F43" s="246" t="s">
        <v>86</v>
      </c>
      <c r="G43" s="399">
        <v>0</v>
      </c>
      <c r="H43" s="240">
        <f t="shared" si="6"/>
        <v>0</v>
      </c>
      <c r="I43" s="244">
        <v>2.7000000000000001E-3</v>
      </c>
      <c r="J43" s="245">
        <f t="shared" si="4"/>
        <v>2363506.6924054646</v>
      </c>
      <c r="K43" s="245">
        <f t="shared" si="5"/>
        <v>6381.4680694947547</v>
      </c>
      <c r="L43" s="245">
        <f t="shared" si="3"/>
        <v>2369888.1604749593</v>
      </c>
    </row>
    <row r="44" spans="1:12" x14ac:dyDescent="0.2">
      <c r="A44" s="2">
        <f t="shared" si="0"/>
        <v>31</v>
      </c>
      <c r="B44" s="238"/>
      <c r="C44" s="21" t="s">
        <v>216</v>
      </c>
      <c r="D44" s="893">
        <v>2012</v>
      </c>
      <c r="E44" s="246" t="s">
        <v>86</v>
      </c>
      <c r="F44" s="246" t="s">
        <v>86</v>
      </c>
      <c r="G44" s="399">
        <v>0</v>
      </c>
      <c r="H44" s="240">
        <f t="shared" si="6"/>
        <v>0</v>
      </c>
      <c r="I44" s="244">
        <v>2.7000000000000001E-3</v>
      </c>
      <c r="J44" s="245">
        <f t="shared" si="4"/>
        <v>2369888.1604749593</v>
      </c>
      <c r="K44" s="245">
        <f t="shared" si="5"/>
        <v>6398.6980332823905</v>
      </c>
      <c r="L44" s="245">
        <f t="shared" si="3"/>
        <v>2376286.8585082418</v>
      </c>
    </row>
    <row r="45" spans="1:12" x14ac:dyDescent="0.2">
      <c r="A45" s="2">
        <f t="shared" si="0"/>
        <v>32</v>
      </c>
      <c r="B45" s="238"/>
      <c r="C45" s="21"/>
      <c r="D45" s="24"/>
      <c r="E45" s="247"/>
      <c r="F45" s="247"/>
      <c r="G45" s="248"/>
      <c r="H45" s="242"/>
      <c r="I45" s="249"/>
      <c r="J45" s="245"/>
      <c r="K45" s="245"/>
      <c r="L45" s="245"/>
    </row>
    <row r="46" spans="1:12" x14ac:dyDescent="0.2">
      <c r="A46" s="2">
        <f t="shared" si="0"/>
        <v>33</v>
      </c>
      <c r="B46" s="22" t="s">
        <v>1064</v>
      </c>
      <c r="D46" s="24"/>
      <c r="E46" s="247"/>
      <c r="F46" s="247"/>
      <c r="G46" s="248"/>
      <c r="H46" s="242"/>
      <c r="I46" s="249"/>
      <c r="J46" s="245"/>
      <c r="K46" s="245"/>
      <c r="L46" s="245"/>
    </row>
    <row r="47" spans="1:12" x14ac:dyDescent="0.2">
      <c r="A47" s="2">
        <f t="shared" si="0"/>
        <v>34</v>
      </c>
      <c r="B47" s="22"/>
      <c r="D47" s="86" t="s">
        <v>403</v>
      </c>
      <c r="E47" s="86" t="s">
        <v>387</v>
      </c>
      <c r="F47" s="86" t="s">
        <v>388</v>
      </c>
      <c r="G47" s="86" t="s">
        <v>389</v>
      </c>
      <c r="H47" s="86" t="s">
        <v>390</v>
      </c>
      <c r="I47" s="86" t="s">
        <v>391</v>
      </c>
      <c r="J47" s="86" t="s">
        <v>392</v>
      </c>
      <c r="K47" s="86" t="s">
        <v>606</v>
      </c>
      <c r="L47" s="245"/>
    </row>
    <row r="48" spans="1:12" x14ac:dyDescent="0.2">
      <c r="A48" s="2">
        <f t="shared" si="0"/>
        <v>35</v>
      </c>
      <c r="B48" s="22"/>
      <c r="D48" s="86"/>
      <c r="E48" s="89" t="s">
        <v>1169</v>
      </c>
      <c r="F48" s="89" t="s">
        <v>1170</v>
      </c>
      <c r="G48" s="89" t="s">
        <v>1171</v>
      </c>
      <c r="H48" s="98" t="s">
        <v>1172</v>
      </c>
      <c r="I48" s="89" t="s">
        <v>1173</v>
      </c>
      <c r="J48" s="98" t="s">
        <v>1174</v>
      </c>
      <c r="K48" s="246" t="s">
        <v>1175</v>
      </c>
      <c r="L48" s="245"/>
    </row>
    <row r="49" spans="1:12" ht="15" x14ac:dyDescent="0.25">
      <c r="A49" s="2">
        <f t="shared" si="0"/>
        <v>36</v>
      </c>
      <c r="B49" s="22"/>
      <c r="D49" s="86"/>
      <c r="E49" s="89"/>
      <c r="F49" s="89"/>
      <c r="G49" s="251"/>
      <c r="H49" s="251" t="s">
        <v>220</v>
      </c>
      <c r="I49" s="89"/>
      <c r="J49" s="245"/>
      <c r="K49" s="251" t="s">
        <v>316</v>
      </c>
      <c r="L49" s="245"/>
    </row>
    <row r="50" spans="1:12" ht="15" x14ac:dyDescent="0.25">
      <c r="A50" s="2">
        <f t="shared" si="0"/>
        <v>37</v>
      </c>
      <c r="B50" s="238"/>
      <c r="C50" s="21"/>
      <c r="D50" s="24"/>
      <c r="E50" s="2" t="s">
        <v>19</v>
      </c>
      <c r="F50" s="250" t="s">
        <v>220</v>
      </c>
      <c r="G50" s="251"/>
      <c r="H50" s="250" t="s">
        <v>1066</v>
      </c>
      <c r="I50" s="241" t="s">
        <v>23</v>
      </c>
      <c r="J50" s="251" t="s">
        <v>220</v>
      </c>
      <c r="K50" s="251" t="s">
        <v>185</v>
      </c>
      <c r="L50" s="245"/>
    </row>
    <row r="51" spans="1:12" ht="15" x14ac:dyDescent="0.25">
      <c r="A51" s="2">
        <f t="shared" si="0"/>
        <v>38</v>
      </c>
      <c r="B51" s="238"/>
      <c r="D51" s="24"/>
      <c r="E51" s="2" t="s">
        <v>23</v>
      </c>
      <c r="F51" s="250" t="s">
        <v>1065</v>
      </c>
      <c r="G51" s="251"/>
      <c r="H51" s="250" t="s">
        <v>1067</v>
      </c>
      <c r="I51" s="2" t="s">
        <v>1167</v>
      </c>
      <c r="J51" s="250" t="s">
        <v>1066</v>
      </c>
      <c r="K51" s="251" t="s">
        <v>1176</v>
      </c>
      <c r="L51" s="245"/>
    </row>
    <row r="52" spans="1:12" ht="15" x14ac:dyDescent="0.25">
      <c r="A52" s="2">
        <f t="shared" si="0"/>
        <v>39</v>
      </c>
      <c r="B52" s="238"/>
      <c r="C52" s="21"/>
      <c r="D52" s="25" t="s">
        <v>221</v>
      </c>
      <c r="E52" s="3" t="s">
        <v>13</v>
      </c>
      <c r="F52" s="252" t="s">
        <v>1067</v>
      </c>
      <c r="G52" s="253" t="s">
        <v>1177</v>
      </c>
      <c r="H52" s="253" t="s">
        <v>1061</v>
      </c>
      <c r="I52" s="3" t="s">
        <v>220</v>
      </c>
      <c r="J52" s="252" t="s">
        <v>1067</v>
      </c>
      <c r="K52" s="253" t="s">
        <v>1178</v>
      </c>
      <c r="L52" s="245"/>
    </row>
    <row r="53" spans="1:12" x14ac:dyDescent="0.2">
      <c r="A53" s="2">
        <f t="shared" si="0"/>
        <v>40</v>
      </c>
      <c r="B53" s="238"/>
      <c r="C53" s="20" t="s">
        <v>219</v>
      </c>
      <c r="D53" s="893">
        <v>2012</v>
      </c>
      <c r="E53" s="249">
        <f>AVERAGE($I$33:$I$44)</f>
        <v>2.7000000000000006E-3</v>
      </c>
      <c r="F53" s="245">
        <f>L44</f>
        <v>2376286.8585082418</v>
      </c>
      <c r="G53" s="7">
        <f>$I$67/12</f>
        <v>-201244.72337742755</v>
      </c>
      <c r="H53" s="7">
        <f>F53+G53</f>
        <v>2175042.1351308143</v>
      </c>
      <c r="I53" s="7">
        <f>((F53+H53)/2)*E53</f>
        <v>6144.2941414127263</v>
      </c>
      <c r="J53" s="7">
        <f>H53+I53</f>
        <v>2181186.429272227</v>
      </c>
      <c r="K53" s="7">
        <f>-G53</f>
        <v>201244.72337742755</v>
      </c>
      <c r="L53" s="245"/>
    </row>
    <row r="54" spans="1:12" x14ac:dyDescent="0.2">
      <c r="A54" s="2">
        <f t="shared" si="0"/>
        <v>41</v>
      </c>
      <c r="B54" s="238"/>
      <c r="C54" s="20" t="s">
        <v>218</v>
      </c>
      <c r="D54" s="893">
        <v>2012</v>
      </c>
      <c r="E54" s="249">
        <f t="shared" ref="E54:E64" si="7">AVERAGE($I$33:$I$44)</f>
        <v>2.7000000000000006E-3</v>
      </c>
      <c r="F54" s="245">
        <f>J53</f>
        <v>2181186.429272227</v>
      </c>
      <c r="G54" s="7">
        <f t="shared" ref="G54:G64" si="8">$I$67/12</f>
        <v>-201244.72337742755</v>
      </c>
      <c r="H54" s="7">
        <f t="shared" ref="H54:H64" si="9">F54+G54</f>
        <v>1979941.7058947994</v>
      </c>
      <c r="I54" s="7">
        <f t="shared" ref="I54:I64" si="10">((F54+H54)/2)*E54</f>
        <v>5617.522982475487</v>
      </c>
      <c r="J54" s="7">
        <f t="shared" ref="J54:J64" si="11">H54+I54</f>
        <v>1985559.228877275</v>
      </c>
      <c r="K54" s="7">
        <f t="shared" ref="K54:K64" si="12">-G54</f>
        <v>201244.72337742755</v>
      </c>
      <c r="L54" s="245"/>
    </row>
    <row r="55" spans="1:12" x14ac:dyDescent="0.2">
      <c r="A55" s="2">
        <f t="shared" si="0"/>
        <v>42</v>
      </c>
      <c r="B55" s="238"/>
      <c r="C55" s="21" t="s">
        <v>208</v>
      </c>
      <c r="D55" s="893">
        <v>2012</v>
      </c>
      <c r="E55" s="249">
        <f t="shared" si="7"/>
        <v>2.7000000000000006E-3</v>
      </c>
      <c r="F55" s="245">
        <f t="shared" ref="F55:F64" si="13">J54</f>
        <v>1985559.228877275</v>
      </c>
      <c r="G55" s="7">
        <f t="shared" si="8"/>
        <v>-201244.72337742755</v>
      </c>
      <c r="H55" s="7">
        <f t="shared" si="9"/>
        <v>1784314.5054998475</v>
      </c>
      <c r="I55" s="7">
        <f t="shared" si="10"/>
        <v>5089.3295414091162</v>
      </c>
      <c r="J55" s="7">
        <f t="shared" si="11"/>
        <v>1789403.8350412566</v>
      </c>
      <c r="K55" s="7">
        <f t="shared" si="12"/>
        <v>201244.72337742755</v>
      </c>
      <c r="L55" s="245"/>
    </row>
    <row r="56" spans="1:12" x14ac:dyDescent="0.2">
      <c r="A56" s="2">
        <f t="shared" si="0"/>
        <v>43</v>
      </c>
      <c r="B56" s="238"/>
      <c r="C56" s="20" t="s">
        <v>209</v>
      </c>
      <c r="D56" s="154">
        <v>2013</v>
      </c>
      <c r="E56" s="249">
        <f t="shared" si="7"/>
        <v>2.7000000000000006E-3</v>
      </c>
      <c r="F56" s="245">
        <f t="shared" si="13"/>
        <v>1789403.8350412566</v>
      </c>
      <c r="G56" s="7">
        <f t="shared" si="8"/>
        <v>-201244.72337742755</v>
      </c>
      <c r="H56" s="7">
        <f t="shared" si="9"/>
        <v>1588159.1116638291</v>
      </c>
      <c r="I56" s="7">
        <f t="shared" si="10"/>
        <v>4559.7099780518665</v>
      </c>
      <c r="J56" s="7">
        <f t="shared" si="11"/>
        <v>1592718.821641881</v>
      </c>
      <c r="K56" s="7">
        <f t="shared" si="12"/>
        <v>201244.72337742755</v>
      </c>
      <c r="L56" s="245"/>
    </row>
    <row r="57" spans="1:12" x14ac:dyDescent="0.2">
      <c r="A57" s="2">
        <f t="shared" si="0"/>
        <v>44</v>
      </c>
      <c r="B57" s="238"/>
      <c r="C57" s="21" t="s">
        <v>210</v>
      </c>
      <c r="D57" s="154">
        <v>2013</v>
      </c>
      <c r="E57" s="249">
        <f t="shared" si="7"/>
        <v>2.7000000000000006E-3</v>
      </c>
      <c r="F57" s="245">
        <f t="shared" si="13"/>
        <v>1592718.821641881</v>
      </c>
      <c r="G57" s="7">
        <f t="shared" si="8"/>
        <v>-201244.72337742755</v>
      </c>
      <c r="H57" s="7">
        <f t="shared" si="9"/>
        <v>1391474.0982644535</v>
      </c>
      <c r="I57" s="7">
        <f t="shared" si="10"/>
        <v>4028.6604418735524</v>
      </c>
      <c r="J57" s="7">
        <f t="shared" si="11"/>
        <v>1395502.7587063271</v>
      </c>
      <c r="K57" s="7">
        <f t="shared" si="12"/>
        <v>201244.72337742755</v>
      </c>
      <c r="L57" s="245"/>
    </row>
    <row r="58" spans="1:12" x14ac:dyDescent="0.2">
      <c r="A58" s="2">
        <f t="shared" si="0"/>
        <v>45</v>
      </c>
      <c r="B58" s="238"/>
      <c r="C58" s="21" t="s">
        <v>223</v>
      </c>
      <c r="D58" s="154">
        <v>2013</v>
      </c>
      <c r="E58" s="249">
        <f t="shared" si="7"/>
        <v>2.7000000000000006E-3</v>
      </c>
      <c r="F58" s="245">
        <f t="shared" si="13"/>
        <v>1395502.7587063271</v>
      </c>
      <c r="G58" s="7">
        <f t="shared" si="8"/>
        <v>-201244.72337742755</v>
      </c>
      <c r="H58" s="7">
        <f t="shared" si="9"/>
        <v>1194258.0353288995</v>
      </c>
      <c r="I58" s="7">
        <f t="shared" si="10"/>
        <v>3496.1770719475567</v>
      </c>
      <c r="J58" s="7">
        <f t="shared" si="11"/>
        <v>1197754.2124008471</v>
      </c>
      <c r="K58" s="7">
        <f t="shared" si="12"/>
        <v>201244.72337742755</v>
      </c>
      <c r="L58" s="245"/>
    </row>
    <row r="59" spans="1:12" x14ac:dyDescent="0.2">
      <c r="A59" s="2">
        <f t="shared" si="0"/>
        <v>46</v>
      </c>
      <c r="B59" s="238"/>
      <c r="C59" s="20" t="s">
        <v>211</v>
      </c>
      <c r="D59" s="154">
        <v>2013</v>
      </c>
      <c r="E59" s="249">
        <f t="shared" si="7"/>
        <v>2.7000000000000006E-3</v>
      </c>
      <c r="F59" s="245">
        <f t="shared" si="13"/>
        <v>1197754.2124008471</v>
      </c>
      <c r="G59" s="7">
        <f t="shared" si="8"/>
        <v>-201244.72337742755</v>
      </c>
      <c r="H59" s="7">
        <f t="shared" si="9"/>
        <v>996509.48902341956</v>
      </c>
      <c r="I59" s="7">
        <f t="shared" si="10"/>
        <v>2962.2559969227605</v>
      </c>
      <c r="J59" s="7">
        <f t="shared" si="11"/>
        <v>999471.74502034229</v>
      </c>
      <c r="K59" s="7">
        <f t="shared" si="12"/>
        <v>201244.72337742755</v>
      </c>
      <c r="L59" s="245"/>
    </row>
    <row r="60" spans="1:12" x14ac:dyDescent="0.2">
      <c r="A60" s="2">
        <f t="shared" si="0"/>
        <v>47</v>
      </c>
      <c r="B60" s="238"/>
      <c r="C60" s="21" t="s">
        <v>212</v>
      </c>
      <c r="D60" s="154">
        <v>2013</v>
      </c>
      <c r="E60" s="249">
        <f t="shared" si="7"/>
        <v>2.7000000000000006E-3</v>
      </c>
      <c r="F60" s="245">
        <f t="shared" si="13"/>
        <v>999471.74502034229</v>
      </c>
      <c r="G60" s="7">
        <f t="shared" si="8"/>
        <v>-201244.72337742755</v>
      </c>
      <c r="H60" s="7">
        <f t="shared" si="9"/>
        <v>798227.02164291474</v>
      </c>
      <c r="I60" s="7">
        <f t="shared" si="10"/>
        <v>2426.8933349953977</v>
      </c>
      <c r="J60" s="7">
        <f t="shared" si="11"/>
        <v>800653.91497791011</v>
      </c>
      <c r="K60" s="7">
        <f t="shared" si="12"/>
        <v>201244.72337742755</v>
      </c>
      <c r="L60" s="245"/>
    </row>
    <row r="61" spans="1:12" x14ac:dyDescent="0.2">
      <c r="A61" s="2">
        <f t="shared" si="0"/>
        <v>48</v>
      </c>
      <c r="B61" s="238"/>
      <c r="C61" s="21" t="s">
        <v>213</v>
      </c>
      <c r="D61" s="154">
        <v>2013</v>
      </c>
      <c r="E61" s="249">
        <f t="shared" si="7"/>
        <v>2.7000000000000006E-3</v>
      </c>
      <c r="F61" s="245">
        <f t="shared" si="13"/>
        <v>800653.91497791011</v>
      </c>
      <c r="G61" s="7">
        <f t="shared" si="8"/>
        <v>-201244.72337742755</v>
      </c>
      <c r="H61" s="7">
        <f t="shared" si="9"/>
        <v>599409.19160048256</v>
      </c>
      <c r="I61" s="7">
        <f t="shared" si="10"/>
        <v>1890.0851938808305</v>
      </c>
      <c r="J61" s="7">
        <f t="shared" si="11"/>
        <v>601299.2767943634</v>
      </c>
      <c r="K61" s="7">
        <f t="shared" si="12"/>
        <v>201244.72337742755</v>
      </c>
      <c r="L61" s="245"/>
    </row>
    <row r="62" spans="1:12" x14ac:dyDescent="0.2">
      <c r="A62" s="2">
        <f t="shared" si="0"/>
        <v>49</v>
      </c>
      <c r="B62" s="238"/>
      <c r="C62" s="20" t="s">
        <v>214</v>
      </c>
      <c r="D62" s="154">
        <v>2013</v>
      </c>
      <c r="E62" s="249">
        <f t="shared" si="7"/>
        <v>2.7000000000000006E-3</v>
      </c>
      <c r="F62" s="245">
        <f t="shared" si="13"/>
        <v>601299.2767943634</v>
      </c>
      <c r="G62" s="7">
        <f t="shared" si="8"/>
        <v>-201244.72337742755</v>
      </c>
      <c r="H62" s="7">
        <f t="shared" si="9"/>
        <v>400054.55341693584</v>
      </c>
      <c r="I62" s="7">
        <f t="shared" si="10"/>
        <v>1351.8276707852542</v>
      </c>
      <c r="J62" s="7">
        <f t="shared" si="11"/>
        <v>401406.38108772109</v>
      </c>
      <c r="K62" s="7">
        <f t="shared" si="12"/>
        <v>201244.72337742755</v>
      </c>
      <c r="L62" s="245"/>
    </row>
    <row r="63" spans="1:12" x14ac:dyDescent="0.2">
      <c r="A63" s="2">
        <f t="shared" si="0"/>
        <v>50</v>
      </c>
      <c r="B63" s="238"/>
      <c r="C63" s="21" t="s">
        <v>215</v>
      </c>
      <c r="D63" s="154">
        <v>2013</v>
      </c>
      <c r="E63" s="249">
        <f t="shared" si="7"/>
        <v>2.7000000000000006E-3</v>
      </c>
      <c r="F63" s="245">
        <f t="shared" si="13"/>
        <v>401406.38108772109</v>
      </c>
      <c r="G63" s="7">
        <f t="shared" si="8"/>
        <v>-201244.72337742755</v>
      </c>
      <c r="H63" s="7">
        <f t="shared" si="9"/>
        <v>200161.65771029354</v>
      </c>
      <c r="I63" s="7">
        <f t="shared" si="10"/>
        <v>812.1168523773199</v>
      </c>
      <c r="J63" s="7">
        <f t="shared" si="11"/>
        <v>200973.77456267085</v>
      </c>
      <c r="K63" s="7">
        <f t="shared" si="12"/>
        <v>201244.72337742755</v>
      </c>
      <c r="L63" s="245"/>
    </row>
    <row r="64" spans="1:12" ht="12.75" customHeight="1" x14ac:dyDescent="0.25">
      <c r="A64" s="2">
        <f t="shared" si="0"/>
        <v>51</v>
      </c>
      <c r="B64" s="238"/>
      <c r="C64" s="21" t="s">
        <v>216</v>
      </c>
      <c r="D64" s="154">
        <v>2013</v>
      </c>
      <c r="E64" s="249">
        <f t="shared" si="7"/>
        <v>2.7000000000000006E-3</v>
      </c>
      <c r="F64" s="245">
        <f t="shared" si="13"/>
        <v>200973.77456267085</v>
      </c>
      <c r="G64" s="93">
        <f t="shared" si="8"/>
        <v>-201244.72337742755</v>
      </c>
      <c r="H64" s="7">
        <f t="shared" si="9"/>
        <v>-270.94881475670263</v>
      </c>
      <c r="I64" s="7">
        <f t="shared" si="10"/>
        <v>270.94881475968418</v>
      </c>
      <c r="J64" s="7">
        <f t="shared" si="11"/>
        <v>2.981551006087102E-9</v>
      </c>
      <c r="K64" s="254">
        <f t="shared" si="12"/>
        <v>201244.72337742755</v>
      </c>
      <c r="L64" s="245"/>
    </row>
    <row r="65" spans="1:12" x14ac:dyDescent="0.2">
      <c r="A65" s="2">
        <f t="shared" si="0"/>
        <v>52</v>
      </c>
      <c r="B65" s="238"/>
      <c r="C65" s="21"/>
      <c r="D65" s="24"/>
      <c r="E65" s="247"/>
      <c r="F65" s="247"/>
      <c r="G65" s="242">
        <f>SUM(G53:G64)</f>
        <v>-2414936.6805291306</v>
      </c>
      <c r="I65" s="249"/>
      <c r="J65" s="239" t="s">
        <v>1180</v>
      </c>
      <c r="K65" s="245">
        <f>SUM(K53:K64)</f>
        <v>2414936.6805291306</v>
      </c>
      <c r="L65" s="245"/>
    </row>
    <row r="66" spans="1:12" x14ac:dyDescent="0.2">
      <c r="A66" s="2">
        <f t="shared" si="0"/>
        <v>53</v>
      </c>
      <c r="B66" s="238"/>
      <c r="C66" s="21"/>
      <c r="D66" s="24"/>
      <c r="E66" s="247"/>
      <c r="F66" s="247"/>
      <c r="G66" s="248"/>
      <c r="H66" s="242"/>
      <c r="I66" s="249"/>
      <c r="J66" s="245"/>
      <c r="K66" s="245"/>
      <c r="L66" s="245"/>
    </row>
    <row r="67" spans="1:12" x14ac:dyDescent="0.2">
      <c r="A67" s="2">
        <f t="shared" si="0"/>
        <v>54</v>
      </c>
      <c r="B67" s="238"/>
      <c r="C67" s="21"/>
      <c r="D67" s="24"/>
      <c r="E67" s="247"/>
      <c r="F67" s="247"/>
      <c r="G67" s="248"/>
      <c r="H67" s="255" t="s">
        <v>1179</v>
      </c>
      <c r="I67" s="242">
        <v>-2414936.6805291306</v>
      </c>
      <c r="J67" s="245"/>
      <c r="K67" s="245"/>
      <c r="L67" s="245"/>
    </row>
    <row r="68" spans="1:12" x14ac:dyDescent="0.2">
      <c r="A68" s="2">
        <f t="shared" si="0"/>
        <v>55</v>
      </c>
      <c r="B68" s="238"/>
      <c r="C68" s="21"/>
      <c r="D68" s="24"/>
      <c r="E68" s="238"/>
      <c r="F68" s="256"/>
      <c r="G68" s="249"/>
      <c r="H68" s="400"/>
      <c r="I68" s="238"/>
      <c r="J68" s="238"/>
      <c r="K68" s="238"/>
      <c r="L68" s="238"/>
    </row>
    <row r="69" spans="1:12" x14ac:dyDescent="0.2">
      <c r="A69" s="2">
        <f t="shared" si="0"/>
        <v>56</v>
      </c>
      <c r="B69" s="1" t="s">
        <v>553</v>
      </c>
      <c r="C69" s="21"/>
      <c r="D69" s="24"/>
      <c r="E69" s="238"/>
      <c r="F69" s="256"/>
      <c r="G69" s="249"/>
      <c r="H69" s="256"/>
      <c r="I69" s="238"/>
      <c r="J69" s="238"/>
      <c r="K69" s="238"/>
      <c r="L69" s="238"/>
    </row>
    <row r="70" spans="1:12" x14ac:dyDescent="0.2">
      <c r="A70" s="2">
        <f t="shared" si="0"/>
        <v>57</v>
      </c>
      <c r="B70" s="1"/>
      <c r="C70" s="21"/>
      <c r="D70" s="24"/>
      <c r="E70" s="238"/>
      <c r="F70" s="712" t="s">
        <v>265</v>
      </c>
      <c r="G70" s="249"/>
      <c r="H70" s="256"/>
      <c r="I70" s="238"/>
      <c r="J70" s="238"/>
      <c r="K70" s="238"/>
      <c r="L70" s="238"/>
    </row>
    <row r="71" spans="1:12" x14ac:dyDescent="0.2">
      <c r="A71" s="115">
        <f>A70+1</f>
        <v>58</v>
      </c>
      <c r="B71" s="248"/>
      <c r="C71" s="21"/>
      <c r="D71" s="1024" t="s">
        <v>1180</v>
      </c>
      <c r="E71" s="595">
        <f>K65</f>
        <v>2414936.6805291306</v>
      </c>
      <c r="F71" s="47" t="s">
        <v>1181</v>
      </c>
      <c r="G71" s="249"/>
      <c r="H71" s="256"/>
      <c r="I71" s="238"/>
      <c r="J71" s="238"/>
      <c r="K71" s="238"/>
      <c r="L71" s="238"/>
    </row>
    <row r="72" spans="1:12" x14ac:dyDescent="0.2">
      <c r="A72" s="115">
        <f t="shared" si="0"/>
        <v>59</v>
      </c>
      <c r="B72" s="248"/>
      <c r="C72" s="21"/>
      <c r="D72" s="87" t="s">
        <v>32</v>
      </c>
      <c r="E72" s="242">
        <f>E71</f>
        <v>2414936.6805291306</v>
      </c>
      <c r="F72" s="153" t="str">
        <f>"Line "&amp;A71&amp;".  Positive amount is to be collected by SCE (included in Base TRR as a positive amount)."</f>
        <v>Line 58.  Positive amount is to be collected by SCE (included in Base TRR as a positive amount).</v>
      </c>
      <c r="G72" s="249"/>
      <c r="H72" s="256"/>
      <c r="I72" s="238"/>
      <c r="J72" s="238"/>
      <c r="K72" s="238"/>
      <c r="L72" s="238"/>
    </row>
    <row r="73" spans="1:12" x14ac:dyDescent="0.2">
      <c r="A73" s="115">
        <f t="shared" si="0"/>
        <v>60</v>
      </c>
      <c r="B73" s="248"/>
      <c r="C73" s="248"/>
      <c r="D73" s="248"/>
      <c r="E73" s="248"/>
      <c r="F73" s="1025" t="s">
        <v>1977</v>
      </c>
      <c r="G73" s="238"/>
      <c r="H73" s="238"/>
      <c r="I73" s="238"/>
      <c r="J73" s="238"/>
      <c r="K73" s="238"/>
      <c r="L73" s="238"/>
    </row>
    <row r="74" spans="1:12" x14ac:dyDescent="0.2">
      <c r="A74" s="115">
        <f t="shared" si="0"/>
        <v>61</v>
      </c>
      <c r="B74" s="45" t="s">
        <v>1068</v>
      </c>
      <c r="C74" s="248"/>
      <c r="D74" s="248"/>
      <c r="E74" s="248"/>
      <c r="F74" s="599"/>
      <c r="G74" s="238"/>
      <c r="H74" s="238"/>
      <c r="I74" s="238"/>
      <c r="J74" s="238"/>
      <c r="K74" s="238"/>
      <c r="L74" s="238"/>
    </row>
    <row r="75" spans="1:12" x14ac:dyDescent="0.2">
      <c r="A75" s="115">
        <f t="shared" si="0"/>
        <v>62</v>
      </c>
      <c r="B75" s="47" t="s">
        <v>418</v>
      </c>
      <c r="C75" s="248"/>
      <c r="D75" s="248"/>
      <c r="E75" s="248"/>
      <c r="F75" s="248"/>
      <c r="G75" s="238"/>
      <c r="H75" s="238"/>
      <c r="I75" s="238"/>
      <c r="J75" s="238"/>
      <c r="K75" s="238"/>
      <c r="L75" s="238"/>
    </row>
    <row r="76" spans="1:12" x14ac:dyDescent="0.2">
      <c r="A76" s="115">
        <f t="shared" si="0"/>
        <v>63</v>
      </c>
      <c r="B76" s="47" t="s">
        <v>419</v>
      </c>
      <c r="C76" s="248"/>
      <c r="D76" s="248"/>
      <c r="E76" s="248"/>
      <c r="F76" s="248"/>
      <c r="G76" s="238"/>
      <c r="H76" s="238"/>
      <c r="I76" s="238"/>
      <c r="J76" s="238"/>
      <c r="K76" s="238"/>
      <c r="L76" s="238"/>
    </row>
    <row r="77" spans="1:12" x14ac:dyDescent="0.2">
      <c r="A77" s="115">
        <f t="shared" si="0"/>
        <v>64</v>
      </c>
      <c r="B77" s="47" t="s">
        <v>420</v>
      </c>
      <c r="C77" s="248"/>
      <c r="D77" s="248"/>
      <c r="E77" s="248"/>
      <c r="F77" s="248"/>
      <c r="G77" s="238"/>
      <c r="H77" s="238"/>
      <c r="I77" s="238"/>
      <c r="J77" s="238"/>
      <c r="K77" s="238"/>
      <c r="L77" s="238"/>
    </row>
    <row r="78" spans="1:12" x14ac:dyDescent="0.2">
      <c r="A78" s="115">
        <f t="shared" si="0"/>
        <v>65</v>
      </c>
      <c r="B78" s="248"/>
      <c r="C78" s="248"/>
      <c r="D78" s="248"/>
      <c r="E78" s="248"/>
      <c r="F78" s="248"/>
      <c r="G78" s="238"/>
      <c r="H78" s="238"/>
      <c r="I78" s="238"/>
      <c r="J78" s="238"/>
      <c r="K78" s="238"/>
      <c r="L78" s="238"/>
    </row>
    <row r="79" spans="1:12" x14ac:dyDescent="0.2">
      <c r="A79" s="115">
        <f t="shared" ref="A79:A119" si="14">A78+1</f>
        <v>66</v>
      </c>
      <c r="B79" s="45" t="s">
        <v>1461</v>
      </c>
      <c r="C79" s="248"/>
      <c r="D79" s="248"/>
      <c r="E79" s="248"/>
      <c r="F79" s="248"/>
      <c r="G79" s="238"/>
      <c r="H79" s="238"/>
      <c r="I79" s="238"/>
      <c r="J79" s="238"/>
      <c r="K79" s="238"/>
      <c r="L79" s="238"/>
    </row>
    <row r="80" spans="1:12" x14ac:dyDescent="0.2">
      <c r="A80" s="115">
        <f t="shared" si="14"/>
        <v>67</v>
      </c>
      <c r="B80" s="248"/>
      <c r="C80" s="248"/>
      <c r="D80" s="588" t="s">
        <v>1307</v>
      </c>
      <c r="E80" s="248"/>
      <c r="F80" s="14"/>
      <c r="G80" s="238"/>
      <c r="H80" s="238"/>
      <c r="I80" s="238"/>
      <c r="J80" s="238"/>
      <c r="K80" s="238"/>
      <c r="L80" s="238"/>
    </row>
    <row r="81" spans="1:12" x14ac:dyDescent="0.2">
      <c r="A81" s="115">
        <f t="shared" si="14"/>
        <v>68</v>
      </c>
      <c r="B81" s="248"/>
      <c r="C81" s="29" t="s">
        <v>220</v>
      </c>
      <c r="D81" s="129" t="s">
        <v>1182</v>
      </c>
      <c r="E81" s="129" t="s">
        <v>271</v>
      </c>
      <c r="F81" s="14"/>
      <c r="G81" s="248"/>
      <c r="H81" s="248"/>
      <c r="I81" s="248"/>
      <c r="J81" s="248"/>
      <c r="K81" s="248"/>
      <c r="L81" s="248"/>
    </row>
    <row r="82" spans="1:12" x14ac:dyDescent="0.2">
      <c r="A82" s="115">
        <f t="shared" si="14"/>
        <v>69</v>
      </c>
      <c r="B82" s="248"/>
      <c r="C82" s="1026" t="s">
        <v>209</v>
      </c>
      <c r="D82" s="1020">
        <v>6.3763211440757639E-2</v>
      </c>
      <c r="E82" s="47" t="s">
        <v>1470</v>
      </c>
      <c r="F82" s="14"/>
      <c r="G82" s="248"/>
      <c r="H82" s="248"/>
      <c r="I82" s="248"/>
      <c r="J82" s="248"/>
      <c r="K82" s="248"/>
      <c r="L82" s="248"/>
    </row>
    <row r="83" spans="1:12" x14ac:dyDescent="0.2">
      <c r="A83" s="115">
        <f t="shared" si="14"/>
        <v>70</v>
      </c>
      <c r="B83" s="248"/>
      <c r="C83" s="21" t="s">
        <v>210</v>
      </c>
      <c r="D83" s="1020">
        <v>5.6553289888256801E-2</v>
      </c>
      <c r="E83" s="14"/>
      <c r="F83" s="14"/>
      <c r="G83" s="248"/>
      <c r="H83" s="248"/>
      <c r="I83" s="248"/>
      <c r="J83" s="248"/>
      <c r="K83" s="248"/>
      <c r="L83" s="248"/>
    </row>
    <row r="84" spans="1:12" x14ac:dyDescent="0.2">
      <c r="A84" s="115">
        <f t="shared" si="14"/>
        <v>71</v>
      </c>
      <c r="B84" s="248"/>
      <c r="C84" s="21" t="s">
        <v>223</v>
      </c>
      <c r="D84" s="1020">
        <v>7.1828142218240867E-2</v>
      </c>
      <c r="E84" s="47"/>
      <c r="F84" s="14"/>
      <c r="G84" s="248"/>
      <c r="H84" s="248"/>
      <c r="I84" s="248"/>
      <c r="J84" s="248"/>
      <c r="K84" s="248"/>
      <c r="L84" s="248"/>
    </row>
    <row r="85" spans="1:12" x14ac:dyDescent="0.2">
      <c r="A85" s="115">
        <f t="shared" si="14"/>
        <v>72</v>
      </c>
      <c r="B85" s="248"/>
      <c r="C85" s="1026" t="s">
        <v>211</v>
      </c>
      <c r="D85" s="1020">
        <v>8.2236801934806855E-2</v>
      </c>
      <c r="E85" s="1027"/>
      <c r="F85" s="14"/>
      <c r="G85" s="248"/>
      <c r="H85" s="248"/>
      <c r="I85" s="248"/>
      <c r="J85" s="248"/>
      <c r="K85" s="248"/>
      <c r="L85" s="248"/>
    </row>
    <row r="86" spans="1:12" x14ac:dyDescent="0.2">
      <c r="A86" s="115">
        <f t="shared" si="14"/>
        <v>73</v>
      </c>
      <c r="B86" s="248"/>
      <c r="C86" s="21" t="s">
        <v>212</v>
      </c>
      <c r="D86" s="1020">
        <v>8.01837425905748E-2</v>
      </c>
      <c r="E86" s="750"/>
      <c r="F86" s="14"/>
      <c r="G86" s="248"/>
      <c r="H86" s="248"/>
      <c r="I86" s="248"/>
      <c r="J86" s="248"/>
      <c r="K86" s="248"/>
      <c r="L86" s="248"/>
    </row>
    <row r="87" spans="1:12" x14ac:dyDescent="0.2">
      <c r="A87" s="115">
        <f t="shared" si="14"/>
        <v>74</v>
      </c>
      <c r="B87" s="248"/>
      <c r="C87" s="21" t="s">
        <v>213</v>
      </c>
      <c r="D87" s="1020">
        <v>8.9450501877561497E-2</v>
      </c>
      <c r="E87" s="750"/>
      <c r="F87" s="14"/>
      <c r="G87" s="248"/>
      <c r="H87" s="248"/>
      <c r="I87" s="248"/>
      <c r="J87" s="248"/>
      <c r="K87" s="248"/>
      <c r="L87" s="248"/>
    </row>
    <row r="88" spans="1:12" x14ac:dyDescent="0.2">
      <c r="A88" s="115">
        <f t="shared" si="14"/>
        <v>75</v>
      </c>
      <c r="B88" s="248"/>
      <c r="C88" s="1026" t="s">
        <v>214</v>
      </c>
      <c r="D88" s="1020">
        <v>9.8908415854749826E-2</v>
      </c>
      <c r="E88" s="750"/>
      <c r="F88" s="14"/>
      <c r="G88" s="248"/>
      <c r="H88" s="248"/>
      <c r="I88" s="248"/>
      <c r="J88" s="248"/>
      <c r="K88" s="248"/>
      <c r="L88" s="248"/>
    </row>
    <row r="89" spans="1:12" x14ac:dyDescent="0.2">
      <c r="A89" s="115">
        <f t="shared" si="14"/>
        <v>76</v>
      </c>
      <c r="B89" s="248"/>
      <c r="C89" s="21" t="s">
        <v>215</v>
      </c>
      <c r="D89" s="1020">
        <v>0.10141004323318151</v>
      </c>
      <c r="E89" s="750"/>
      <c r="F89" s="14"/>
      <c r="G89" s="248"/>
      <c r="H89" s="248"/>
      <c r="I89" s="248"/>
      <c r="J89" s="248"/>
      <c r="K89" s="248"/>
      <c r="L89" s="248"/>
    </row>
    <row r="90" spans="1:12" x14ac:dyDescent="0.2">
      <c r="A90" s="115">
        <f t="shared" si="14"/>
        <v>77</v>
      </c>
      <c r="B90" s="248"/>
      <c r="C90" s="21" t="s">
        <v>216</v>
      </c>
      <c r="D90" s="1020">
        <v>0.10217900008822713</v>
      </c>
      <c r="E90" s="750"/>
      <c r="F90" s="14"/>
      <c r="G90" s="248"/>
      <c r="H90" s="248"/>
      <c r="I90" s="248"/>
      <c r="J90" s="248"/>
      <c r="K90" s="248"/>
      <c r="L90" s="248"/>
    </row>
    <row r="91" spans="1:12" x14ac:dyDescent="0.2">
      <c r="A91" s="115">
        <f t="shared" si="14"/>
        <v>78</v>
      </c>
      <c r="B91" s="248"/>
      <c r="C91" s="1026" t="s">
        <v>219</v>
      </c>
      <c r="D91" s="1020">
        <v>9.1787269171678454E-2</v>
      </c>
      <c r="E91" s="750"/>
      <c r="F91" s="14"/>
      <c r="G91" s="248"/>
      <c r="H91" s="248"/>
      <c r="I91" s="248"/>
      <c r="J91" s="248"/>
      <c r="K91" s="248"/>
      <c r="L91" s="248"/>
    </row>
    <row r="92" spans="1:12" x14ac:dyDescent="0.2">
      <c r="A92" s="115">
        <f t="shared" si="14"/>
        <v>79</v>
      </c>
      <c r="B92" s="248"/>
      <c r="C92" s="1026" t="s">
        <v>218</v>
      </c>
      <c r="D92" s="1020">
        <v>7.5296938318149625E-2</v>
      </c>
      <c r="E92" s="750"/>
      <c r="F92" s="14"/>
      <c r="G92" s="238"/>
      <c r="H92" s="238"/>
      <c r="I92" s="238"/>
      <c r="J92" s="238"/>
      <c r="K92" s="238"/>
      <c r="L92" s="238"/>
    </row>
    <row r="93" spans="1:12" x14ac:dyDescent="0.2">
      <c r="A93" s="115">
        <f t="shared" si="14"/>
        <v>80</v>
      </c>
      <c r="B93" s="248"/>
      <c r="C93" s="21" t="s">
        <v>208</v>
      </c>
      <c r="D93" s="1028">
        <v>8.640264338381512E-2</v>
      </c>
      <c r="E93" s="50"/>
      <c r="F93" s="14"/>
      <c r="G93" s="238"/>
      <c r="H93" s="238"/>
      <c r="I93" s="238"/>
      <c r="J93" s="238"/>
      <c r="K93" s="238"/>
      <c r="L93" s="238"/>
    </row>
    <row r="94" spans="1:12" x14ac:dyDescent="0.2">
      <c r="A94" s="115">
        <f t="shared" si="14"/>
        <v>81</v>
      </c>
      <c r="B94" s="248"/>
      <c r="C94" s="34" t="s">
        <v>4</v>
      </c>
      <c r="D94" s="1029">
        <f>SUM(D82:D93)</f>
        <v>1.0000000000000002</v>
      </c>
      <c r="E94" s="248"/>
      <c r="F94" s="14"/>
      <c r="G94" s="238"/>
      <c r="H94" s="238"/>
      <c r="I94" s="238"/>
      <c r="J94" s="238"/>
      <c r="K94" s="238"/>
      <c r="L94" s="238"/>
    </row>
    <row r="95" spans="1:12" x14ac:dyDescent="0.2">
      <c r="A95" s="115">
        <f t="shared" si="14"/>
        <v>82</v>
      </c>
      <c r="B95" s="248"/>
      <c r="C95" s="248"/>
      <c r="D95" s="248"/>
      <c r="E95" s="248"/>
      <c r="F95" s="115"/>
      <c r="G95" s="238"/>
      <c r="H95" s="238"/>
      <c r="I95" s="238"/>
      <c r="J95" s="238"/>
      <c r="K95" s="238"/>
      <c r="L95" s="238"/>
    </row>
    <row r="96" spans="1:12" x14ac:dyDescent="0.2">
      <c r="A96" s="115">
        <f t="shared" si="14"/>
        <v>83</v>
      </c>
      <c r="B96" s="45" t="s">
        <v>1530</v>
      </c>
      <c r="C96" s="248"/>
      <c r="D96" s="248"/>
      <c r="E96" s="248"/>
      <c r="F96" s="115"/>
      <c r="G96" s="238"/>
      <c r="H96" s="238"/>
      <c r="I96" s="238"/>
      <c r="J96" s="238"/>
      <c r="K96" s="238"/>
      <c r="L96" s="238"/>
    </row>
    <row r="97" spans="1:12" x14ac:dyDescent="0.2">
      <c r="A97" s="115">
        <f t="shared" si="14"/>
        <v>84</v>
      </c>
      <c r="B97" s="248"/>
      <c r="C97" s="248"/>
      <c r="D97" s="248"/>
      <c r="E97" s="248"/>
      <c r="F97" s="115"/>
      <c r="G97" s="238"/>
      <c r="H97" s="238"/>
      <c r="I97" s="238"/>
      <c r="J97" s="238"/>
      <c r="K97" s="238"/>
      <c r="L97" s="238"/>
    </row>
    <row r="98" spans="1:12" x14ac:dyDescent="0.2">
      <c r="A98" s="115">
        <f t="shared" si="14"/>
        <v>85</v>
      </c>
      <c r="B98" s="238"/>
      <c r="C98" s="86" t="s">
        <v>403</v>
      </c>
      <c r="D98" s="86" t="s">
        <v>387</v>
      </c>
      <c r="E98" s="86" t="s">
        <v>388</v>
      </c>
      <c r="F98" s="86" t="s">
        <v>389</v>
      </c>
      <c r="G98" s="86" t="s">
        <v>390</v>
      </c>
      <c r="H98" s="86" t="s">
        <v>391</v>
      </c>
      <c r="I98" s="86" t="s">
        <v>392</v>
      </c>
      <c r="J98" s="238"/>
      <c r="K98" s="238"/>
      <c r="L98" s="238"/>
    </row>
    <row r="99" spans="1:12" x14ac:dyDescent="0.2">
      <c r="A99" s="115">
        <f t="shared" si="14"/>
        <v>86</v>
      </c>
      <c r="B99" s="238"/>
      <c r="C99" s="89" t="s">
        <v>1183</v>
      </c>
      <c r="D99" s="89" t="s">
        <v>1534</v>
      </c>
      <c r="E99" s="86"/>
      <c r="F99" s="86"/>
      <c r="G99" s="86"/>
      <c r="H99" s="86"/>
      <c r="I99" s="89" t="s">
        <v>597</v>
      </c>
      <c r="J99" s="238"/>
      <c r="K99" s="238"/>
      <c r="L99" s="238"/>
    </row>
    <row r="100" spans="1:12" x14ac:dyDescent="0.2">
      <c r="A100" s="115">
        <f t="shared" si="14"/>
        <v>87</v>
      </c>
      <c r="B100" s="238"/>
      <c r="C100" s="238"/>
      <c r="D100" s="238"/>
      <c r="E100" s="238"/>
      <c r="F100" s="2"/>
      <c r="G100" s="238"/>
      <c r="H100" s="238"/>
      <c r="I100" s="238"/>
      <c r="J100" s="238"/>
      <c r="K100" s="238"/>
      <c r="L100" s="238"/>
    </row>
    <row r="101" spans="1:12" x14ac:dyDescent="0.2">
      <c r="A101" s="115">
        <f t="shared" si="14"/>
        <v>88</v>
      </c>
      <c r="B101" s="238"/>
      <c r="C101" s="2" t="s">
        <v>570</v>
      </c>
      <c r="D101" s="238"/>
      <c r="E101" s="238"/>
      <c r="F101" s="2"/>
      <c r="G101" s="238"/>
      <c r="H101" s="238"/>
      <c r="I101" s="2" t="s">
        <v>19</v>
      </c>
      <c r="J101" s="238"/>
      <c r="K101" s="238"/>
      <c r="L101" s="238"/>
    </row>
    <row r="102" spans="1:12" x14ac:dyDescent="0.2">
      <c r="A102" s="115">
        <f t="shared" si="14"/>
        <v>89</v>
      </c>
      <c r="B102" s="241" t="s">
        <v>455</v>
      </c>
      <c r="C102" s="2" t="s">
        <v>591</v>
      </c>
      <c r="D102" s="238"/>
      <c r="E102" s="238"/>
      <c r="F102" s="86"/>
      <c r="G102" s="238"/>
      <c r="H102" s="238"/>
      <c r="I102" s="2" t="s">
        <v>224</v>
      </c>
      <c r="J102" s="238"/>
      <c r="K102" s="238"/>
      <c r="L102" s="238"/>
    </row>
    <row r="103" spans="1:12" x14ac:dyDescent="0.2">
      <c r="A103" s="115">
        <f t="shared" si="14"/>
        <v>90</v>
      </c>
      <c r="B103" s="241" t="s">
        <v>221</v>
      </c>
      <c r="C103" s="2" t="s">
        <v>346</v>
      </c>
      <c r="D103" s="2" t="s">
        <v>401</v>
      </c>
      <c r="E103" s="2"/>
      <c r="F103" s="2"/>
      <c r="G103" s="2" t="s">
        <v>589</v>
      </c>
      <c r="H103" s="2"/>
      <c r="I103" s="2" t="s">
        <v>20</v>
      </c>
      <c r="J103" s="238"/>
      <c r="K103" s="238"/>
      <c r="L103" s="238"/>
    </row>
    <row r="104" spans="1:12" x14ac:dyDescent="0.2">
      <c r="A104" s="115">
        <f t="shared" si="14"/>
        <v>91</v>
      </c>
      <c r="B104" s="3" t="s">
        <v>220</v>
      </c>
      <c r="C104" s="3" t="s">
        <v>21</v>
      </c>
      <c r="D104" s="3" t="s">
        <v>346</v>
      </c>
      <c r="E104" s="3" t="s">
        <v>345</v>
      </c>
      <c r="F104" s="3" t="s">
        <v>588</v>
      </c>
      <c r="G104" s="3" t="s">
        <v>590</v>
      </c>
      <c r="H104" s="3" t="s">
        <v>401</v>
      </c>
      <c r="I104" s="3" t="s">
        <v>87</v>
      </c>
      <c r="J104" s="238"/>
      <c r="K104" s="238"/>
      <c r="L104" s="238"/>
    </row>
    <row r="105" spans="1:12" x14ac:dyDescent="0.2">
      <c r="A105" s="115">
        <f t="shared" si="14"/>
        <v>92</v>
      </c>
      <c r="B105" s="260" t="s">
        <v>74</v>
      </c>
      <c r="C105" s="257">
        <v>0</v>
      </c>
      <c r="D105" s="257">
        <v>0</v>
      </c>
      <c r="E105" s="257">
        <v>0</v>
      </c>
      <c r="F105" s="257">
        <v>0</v>
      </c>
      <c r="G105" s="257">
        <v>0</v>
      </c>
      <c r="H105" s="257">
        <v>0</v>
      </c>
      <c r="I105" s="240">
        <f>SUM(C105:H105)</f>
        <v>0</v>
      </c>
      <c r="J105" s="238"/>
      <c r="K105" s="238"/>
      <c r="L105" s="238"/>
    </row>
    <row r="106" spans="1:12" x14ac:dyDescent="0.2">
      <c r="A106" s="115">
        <f t="shared" si="14"/>
        <v>93</v>
      </c>
      <c r="B106" s="260" t="s">
        <v>75</v>
      </c>
      <c r="C106" s="257">
        <v>0</v>
      </c>
      <c r="D106" s="257">
        <v>0</v>
      </c>
      <c r="E106" s="257">
        <v>0</v>
      </c>
      <c r="F106" s="257">
        <v>0</v>
      </c>
      <c r="G106" s="257">
        <v>0</v>
      </c>
      <c r="H106" s="257">
        <v>0</v>
      </c>
      <c r="I106" s="240">
        <f t="shared" ref="I106:I115" si="15">SUM(C106:H106)</f>
        <v>0</v>
      </c>
      <c r="J106" s="238"/>
      <c r="K106" s="238"/>
      <c r="L106" s="238"/>
    </row>
    <row r="107" spans="1:12" x14ac:dyDescent="0.2">
      <c r="A107" s="115">
        <f t="shared" si="14"/>
        <v>94</v>
      </c>
      <c r="B107" s="260" t="s">
        <v>76</v>
      </c>
      <c r="C107" s="257">
        <v>0</v>
      </c>
      <c r="D107" s="257">
        <v>0</v>
      </c>
      <c r="E107" s="257">
        <v>0</v>
      </c>
      <c r="F107" s="257">
        <v>0</v>
      </c>
      <c r="G107" s="257">
        <v>0</v>
      </c>
      <c r="H107" s="257">
        <v>0</v>
      </c>
      <c r="I107" s="240">
        <f t="shared" si="15"/>
        <v>0</v>
      </c>
      <c r="J107" s="238"/>
      <c r="K107" s="238"/>
      <c r="L107" s="238"/>
    </row>
    <row r="108" spans="1:12" x14ac:dyDescent="0.2">
      <c r="A108" s="115">
        <f t="shared" si="14"/>
        <v>95</v>
      </c>
      <c r="B108" s="260" t="s">
        <v>77</v>
      </c>
      <c r="C108" s="257">
        <v>0</v>
      </c>
      <c r="D108" s="257">
        <v>0</v>
      </c>
      <c r="E108" s="257">
        <v>0</v>
      </c>
      <c r="F108" s="257">
        <v>0</v>
      </c>
      <c r="G108" s="257">
        <v>0</v>
      </c>
      <c r="H108" s="257">
        <v>0</v>
      </c>
      <c r="I108" s="240">
        <f t="shared" si="15"/>
        <v>0</v>
      </c>
      <c r="J108" s="238"/>
      <c r="K108" s="238"/>
      <c r="L108" s="238"/>
    </row>
    <row r="109" spans="1:12" x14ac:dyDescent="0.2">
      <c r="A109" s="115">
        <f t="shared" si="14"/>
        <v>96</v>
      </c>
      <c r="B109" s="89" t="s">
        <v>212</v>
      </c>
      <c r="C109" s="257">
        <v>0</v>
      </c>
      <c r="D109" s="257">
        <v>0</v>
      </c>
      <c r="E109" s="257">
        <v>0</v>
      </c>
      <c r="F109" s="257">
        <v>0</v>
      </c>
      <c r="G109" s="257">
        <v>0</v>
      </c>
      <c r="H109" s="257">
        <v>0</v>
      </c>
      <c r="I109" s="240">
        <f t="shared" si="15"/>
        <v>0</v>
      </c>
      <c r="J109" s="238"/>
      <c r="K109" s="238"/>
      <c r="L109" s="238"/>
    </row>
    <row r="110" spans="1:12" x14ac:dyDescent="0.2">
      <c r="A110" s="115">
        <f t="shared" si="14"/>
        <v>97</v>
      </c>
      <c r="B110" s="260" t="s">
        <v>78</v>
      </c>
      <c r="C110" s="257">
        <v>0</v>
      </c>
      <c r="D110" s="257">
        <v>0</v>
      </c>
      <c r="E110" s="257">
        <v>0</v>
      </c>
      <c r="F110" s="257">
        <v>0</v>
      </c>
      <c r="G110" s="257">
        <v>0</v>
      </c>
      <c r="H110" s="257">
        <v>0</v>
      </c>
      <c r="I110" s="240">
        <f t="shared" si="15"/>
        <v>0</v>
      </c>
      <c r="J110" s="238"/>
      <c r="K110" s="238"/>
      <c r="L110" s="238"/>
    </row>
    <row r="111" spans="1:12" x14ac:dyDescent="0.2">
      <c r="A111" s="115">
        <f t="shared" si="14"/>
        <v>98</v>
      </c>
      <c r="B111" s="260" t="s">
        <v>79</v>
      </c>
      <c r="C111" s="257">
        <v>0</v>
      </c>
      <c r="D111" s="257">
        <v>0</v>
      </c>
      <c r="E111" s="257">
        <v>0</v>
      </c>
      <c r="F111" s="257">
        <v>0</v>
      </c>
      <c r="G111" s="257">
        <v>0</v>
      </c>
      <c r="H111" s="257">
        <v>0</v>
      </c>
      <c r="I111" s="240">
        <f t="shared" si="15"/>
        <v>0</v>
      </c>
      <c r="J111" s="238"/>
      <c r="K111" s="238"/>
      <c r="L111" s="238"/>
    </row>
    <row r="112" spans="1:12" x14ac:dyDescent="0.2">
      <c r="A112" s="115">
        <f t="shared" si="14"/>
        <v>99</v>
      </c>
      <c r="B112" s="260" t="s">
        <v>80</v>
      </c>
      <c r="C112" s="257">
        <v>0</v>
      </c>
      <c r="D112" s="257">
        <v>0</v>
      </c>
      <c r="E112" s="257">
        <v>0</v>
      </c>
      <c r="F112" s="257">
        <v>0</v>
      </c>
      <c r="G112" s="257">
        <v>0</v>
      </c>
      <c r="H112" s="257">
        <v>0</v>
      </c>
      <c r="I112" s="240">
        <f t="shared" si="15"/>
        <v>0</v>
      </c>
      <c r="J112" s="238"/>
      <c r="K112" s="238"/>
      <c r="L112" s="238"/>
    </row>
    <row r="113" spans="1:12" x14ac:dyDescent="0.2">
      <c r="A113" s="115">
        <f t="shared" si="14"/>
        <v>100</v>
      </c>
      <c r="B113" s="260" t="s">
        <v>81</v>
      </c>
      <c r="C113" s="257">
        <v>0</v>
      </c>
      <c r="D113" s="257">
        <v>0</v>
      </c>
      <c r="E113" s="257">
        <v>0</v>
      </c>
      <c r="F113" s="257">
        <v>0</v>
      </c>
      <c r="G113" s="257">
        <v>0</v>
      </c>
      <c r="H113" s="257">
        <v>0</v>
      </c>
      <c r="I113" s="240">
        <f t="shared" si="15"/>
        <v>0</v>
      </c>
      <c r="J113" s="238"/>
      <c r="K113" s="238"/>
      <c r="L113" s="238"/>
    </row>
    <row r="114" spans="1:12" x14ac:dyDescent="0.2">
      <c r="A114" s="115">
        <f t="shared" si="14"/>
        <v>101</v>
      </c>
      <c r="B114" s="260" t="s">
        <v>82</v>
      </c>
      <c r="C114" s="257">
        <v>0</v>
      </c>
      <c r="D114" s="257">
        <v>0</v>
      </c>
      <c r="E114" s="257">
        <v>0</v>
      </c>
      <c r="F114" s="257">
        <v>0</v>
      </c>
      <c r="G114" s="257">
        <v>0</v>
      </c>
      <c r="H114" s="257">
        <v>0</v>
      </c>
      <c r="I114" s="240">
        <f t="shared" si="15"/>
        <v>0</v>
      </c>
      <c r="J114" s="238"/>
      <c r="K114" s="238"/>
      <c r="L114" s="238"/>
    </row>
    <row r="115" spans="1:12" x14ac:dyDescent="0.2">
      <c r="A115" s="115">
        <f t="shared" si="14"/>
        <v>102</v>
      </c>
      <c r="B115" s="260" t="s">
        <v>83</v>
      </c>
      <c r="C115" s="257">
        <v>0</v>
      </c>
      <c r="D115" s="257">
        <v>0</v>
      </c>
      <c r="E115" s="257">
        <v>0</v>
      </c>
      <c r="F115" s="257">
        <v>0</v>
      </c>
      <c r="G115" s="257">
        <v>0</v>
      </c>
      <c r="H115" s="257">
        <v>0</v>
      </c>
      <c r="I115" s="240">
        <f t="shared" si="15"/>
        <v>0</v>
      </c>
      <c r="J115" s="238"/>
      <c r="K115" s="238"/>
      <c r="L115" s="238"/>
    </row>
    <row r="116" spans="1:12" x14ac:dyDescent="0.2">
      <c r="A116" s="115">
        <f t="shared" si="14"/>
        <v>103</v>
      </c>
      <c r="B116" s="260" t="s">
        <v>84</v>
      </c>
      <c r="C116" s="112">
        <v>0</v>
      </c>
      <c r="D116" s="112">
        <v>0</v>
      </c>
      <c r="E116" s="112">
        <v>0</v>
      </c>
      <c r="F116" s="112">
        <v>0</v>
      </c>
      <c r="G116" s="112">
        <v>0</v>
      </c>
      <c r="H116" s="112">
        <v>0</v>
      </c>
      <c r="I116" s="93">
        <f>SUM(C116:H116)</f>
        <v>0</v>
      </c>
      <c r="J116" s="238"/>
      <c r="K116" s="238"/>
      <c r="L116" s="238"/>
    </row>
    <row r="117" spans="1:12" x14ac:dyDescent="0.2">
      <c r="A117" s="115">
        <f t="shared" si="14"/>
        <v>104</v>
      </c>
      <c r="B117" s="89" t="s">
        <v>225</v>
      </c>
      <c r="C117" s="240">
        <f t="shared" ref="C117:I117" si="16">SUM(C105:C116)</f>
        <v>0</v>
      </c>
      <c r="D117" s="240">
        <f t="shared" si="16"/>
        <v>0</v>
      </c>
      <c r="E117" s="240">
        <f t="shared" si="16"/>
        <v>0</v>
      </c>
      <c r="F117" s="240">
        <f t="shared" si="16"/>
        <v>0</v>
      </c>
      <c r="G117" s="240">
        <f t="shared" si="16"/>
        <v>0</v>
      </c>
      <c r="H117" s="240">
        <f t="shared" si="16"/>
        <v>0</v>
      </c>
      <c r="I117" s="240">
        <f t="shared" si="16"/>
        <v>0</v>
      </c>
      <c r="J117" s="238"/>
      <c r="K117" s="238"/>
      <c r="L117" s="238"/>
    </row>
    <row r="118" spans="1:12" x14ac:dyDescent="0.2">
      <c r="A118" s="115">
        <f t="shared" si="14"/>
        <v>105</v>
      </c>
      <c r="B118" s="238"/>
      <c r="C118" s="238"/>
      <c r="D118" s="238"/>
      <c r="E118" s="238"/>
      <c r="F118" s="238"/>
      <c r="G118" s="238"/>
      <c r="H118" s="96"/>
      <c r="I118" s="238"/>
      <c r="J118" s="238"/>
      <c r="K118" s="238"/>
      <c r="L118" s="238"/>
    </row>
    <row r="119" spans="1:12" x14ac:dyDescent="0.2">
      <c r="A119" s="115">
        <f t="shared" si="14"/>
        <v>106</v>
      </c>
      <c r="B119" s="238"/>
      <c r="C119" s="238"/>
      <c r="D119" s="238"/>
      <c r="E119" s="238"/>
      <c r="F119" s="238"/>
      <c r="G119" s="238"/>
      <c r="H119" s="96" t="s">
        <v>592</v>
      </c>
      <c r="I119" s="243">
        <v>10031333560</v>
      </c>
      <c r="J119" s="238"/>
      <c r="K119" s="238"/>
      <c r="L119" s="238"/>
    </row>
    <row r="120" spans="1:12" x14ac:dyDescent="0.2">
      <c r="A120" s="238"/>
      <c r="B120" s="238"/>
      <c r="C120" s="238"/>
      <c r="D120" s="238"/>
      <c r="E120" s="238"/>
      <c r="F120" s="238"/>
      <c r="G120" s="238"/>
      <c r="H120" s="238"/>
      <c r="I120" s="238"/>
      <c r="J120" s="238"/>
      <c r="K120" s="238"/>
      <c r="L120" s="238"/>
    </row>
    <row r="121" spans="1:12" x14ac:dyDescent="0.2">
      <c r="A121" s="2"/>
      <c r="B121" s="1" t="s">
        <v>429</v>
      </c>
      <c r="C121" s="238"/>
      <c r="D121" s="238"/>
      <c r="E121" s="238"/>
      <c r="F121" s="238"/>
      <c r="G121" s="238"/>
      <c r="H121" s="238"/>
      <c r="I121" s="240"/>
      <c r="J121" s="238"/>
      <c r="K121" s="238"/>
      <c r="L121" s="238"/>
    </row>
    <row r="122" spans="1:12" x14ac:dyDescent="0.2">
      <c r="A122" s="2"/>
      <c r="B122" s="47" t="s">
        <v>1184</v>
      </c>
      <c r="C122" s="248"/>
      <c r="D122" s="248"/>
      <c r="E122" s="248"/>
      <c r="F122" s="248"/>
      <c r="G122" s="248"/>
      <c r="H122" s="248"/>
      <c r="I122" s="248"/>
      <c r="J122" s="248"/>
      <c r="K122" s="248"/>
      <c r="L122" s="238"/>
    </row>
    <row r="123" spans="1:12" x14ac:dyDescent="0.2">
      <c r="A123" s="2"/>
      <c r="B123" s="47" t="s">
        <v>1185</v>
      </c>
      <c r="C123" s="248"/>
      <c r="D123" s="248"/>
      <c r="E123" s="248"/>
      <c r="F123" s="248"/>
      <c r="G123" s="248"/>
      <c r="H123" s="248"/>
      <c r="I123" s="248"/>
      <c r="J123" s="248"/>
      <c r="K123" s="248"/>
      <c r="L123" s="238"/>
    </row>
    <row r="124" spans="1:12" x14ac:dyDescent="0.2">
      <c r="A124" s="2"/>
      <c r="B124" s="158" t="s">
        <v>1186</v>
      </c>
      <c r="C124" s="248"/>
      <c r="D124" s="248"/>
      <c r="E124" s="248"/>
      <c r="F124" s="248"/>
      <c r="G124" s="248"/>
      <c r="H124" s="248"/>
      <c r="I124" s="248"/>
      <c r="J124" s="248"/>
      <c r="K124" s="248"/>
      <c r="L124" s="238"/>
    </row>
    <row r="125" spans="1:12" x14ac:dyDescent="0.2">
      <c r="A125" s="2"/>
      <c r="B125" s="47" t="s">
        <v>1069</v>
      </c>
      <c r="C125" s="248"/>
      <c r="D125" s="248"/>
      <c r="E125" s="248"/>
      <c r="F125" s="248"/>
      <c r="G125" s="248"/>
      <c r="H125" s="248"/>
      <c r="I125" s="248"/>
      <c r="J125" s="248"/>
      <c r="K125" s="248"/>
      <c r="L125" s="238"/>
    </row>
    <row r="126" spans="1:12" x14ac:dyDescent="0.2">
      <c r="A126" s="2"/>
      <c r="B126" s="1030" t="s">
        <v>1978</v>
      </c>
      <c r="C126" s="248"/>
      <c r="D126" s="248"/>
      <c r="E126" s="248"/>
      <c r="F126" s="248"/>
      <c r="G126" s="248"/>
      <c r="H126" s="248"/>
      <c r="I126" s="248"/>
      <c r="J126" s="248"/>
      <c r="K126" s="248"/>
      <c r="L126" s="238"/>
    </row>
    <row r="127" spans="1:12" x14ac:dyDescent="0.2">
      <c r="A127" s="2"/>
      <c r="B127" s="47" t="s">
        <v>1187</v>
      </c>
      <c r="C127" s="248"/>
      <c r="D127" s="248"/>
      <c r="E127" s="248"/>
      <c r="F127" s="248"/>
      <c r="G127" s="248"/>
      <c r="H127" s="248"/>
      <c r="I127" s="248"/>
      <c r="J127" s="248"/>
      <c r="K127" s="248"/>
      <c r="L127" s="238"/>
    </row>
    <row r="128" spans="1:12" x14ac:dyDescent="0.2">
      <c r="A128" s="2"/>
      <c r="B128" s="1031" t="s">
        <v>1188</v>
      </c>
      <c r="C128" s="248"/>
      <c r="D128" s="248"/>
      <c r="E128" s="248"/>
      <c r="F128" s="248"/>
      <c r="G128" s="248"/>
      <c r="H128" s="248"/>
      <c r="I128" s="248"/>
      <c r="J128" s="248"/>
      <c r="K128" s="248"/>
      <c r="L128" s="238"/>
    </row>
    <row r="129" spans="1:12" x14ac:dyDescent="0.2">
      <c r="A129" s="811"/>
      <c r="B129" s="1032" t="str">
        <f>"This instruction requires that the amount on Line "&amp;A67&amp;" Column 6 be calculated so that any over or under collection at the beginning of the Rate Effective Period"</f>
        <v>This instruction requires that the amount on Line 54 Column 6 be calculated so that any over or under collection at the beginning of the Rate Effective Period</v>
      </c>
      <c r="C129" s="248"/>
      <c r="D129" s="248"/>
      <c r="E129" s="248"/>
      <c r="F129" s="248"/>
      <c r="G129" s="248"/>
      <c r="H129" s="248"/>
      <c r="I129" s="248"/>
      <c r="J129" s="248"/>
      <c r="K129" s="248"/>
    </row>
    <row r="130" spans="1:12" x14ac:dyDescent="0.2">
      <c r="A130" s="811"/>
      <c r="B130" s="1032" t="str">
        <f>"is completely amortized over the following 12 months, as reflected by the Line "&amp;A64&amp;", Column 7 amount being equal to zero.  It may be necessary to iterate for"</f>
        <v>is completely amortized over the following 12 months, as reflected by the Line 51, Column 7 amount being equal to zero.  It may be necessary to iterate for</v>
      </c>
      <c r="C130" s="248"/>
      <c r="D130" s="248"/>
      <c r="E130" s="248"/>
      <c r="F130" s="248"/>
      <c r="G130" s="248"/>
      <c r="H130" s="248"/>
      <c r="I130" s="248"/>
      <c r="J130" s="248"/>
      <c r="K130" s="248"/>
      <c r="L130" s="238"/>
    </row>
    <row r="131" spans="1:12" x14ac:dyDescent="0.2">
      <c r="A131" s="811"/>
      <c r="B131" s="1030" t="s">
        <v>2492</v>
      </c>
      <c r="C131" s="14"/>
      <c r="D131" s="248"/>
      <c r="E131" s="248"/>
      <c r="F131" s="248"/>
      <c r="G131" s="248"/>
      <c r="H131" s="248"/>
      <c r="I131" s="248"/>
      <c r="J131" s="248"/>
      <c r="K131" s="248"/>
      <c r="L131" s="238"/>
    </row>
    <row r="132" spans="1:12" x14ac:dyDescent="0.2">
      <c r="A132" s="2"/>
      <c r="B132" s="625" t="s">
        <v>2834</v>
      </c>
      <c r="C132" s="248"/>
      <c r="D132" s="248"/>
      <c r="E132" s="248"/>
      <c r="F132" s="248"/>
      <c r="G132" s="248"/>
      <c r="H132" s="248"/>
      <c r="I132" s="248"/>
      <c r="J132" s="248"/>
      <c r="K132" s="248"/>
      <c r="L132" s="238"/>
    </row>
    <row r="133" spans="1:12" x14ac:dyDescent="0.2">
      <c r="A133" s="2"/>
      <c r="B133" s="591" t="s">
        <v>2224</v>
      </c>
      <c r="C133" s="248"/>
      <c r="D133" s="248"/>
      <c r="E133" s="248"/>
      <c r="F133" s="248"/>
      <c r="G133" s="248"/>
      <c r="H133" s="248"/>
      <c r="I133" s="248"/>
      <c r="J133" s="248"/>
      <c r="K133" s="248"/>
      <c r="L133" s="238"/>
    </row>
    <row r="134" spans="1:12" x14ac:dyDescent="0.2">
      <c r="A134" s="2"/>
      <c r="B134" s="398" t="s">
        <v>554</v>
      </c>
      <c r="C134" s="248"/>
      <c r="D134" s="248"/>
      <c r="E134" s="248"/>
      <c r="F134" s="248"/>
      <c r="G134" s="248"/>
      <c r="H134" s="248"/>
      <c r="I134" s="248"/>
      <c r="J134" s="248"/>
      <c r="K134" s="248"/>
      <c r="L134" s="238"/>
    </row>
    <row r="135" spans="1:12" x14ac:dyDescent="0.2">
      <c r="A135" s="2"/>
      <c r="B135" s="1033" t="s">
        <v>1932</v>
      </c>
      <c r="C135" s="248"/>
      <c r="D135" s="248"/>
      <c r="E135" s="248"/>
      <c r="F135" s="248"/>
      <c r="G135" s="248"/>
      <c r="H135" s="248"/>
      <c r="I135" s="248"/>
      <c r="J135" s="248"/>
      <c r="K135" s="248"/>
      <c r="L135" s="238"/>
    </row>
    <row r="136" spans="1:12" x14ac:dyDescent="0.2">
      <c r="A136" s="2"/>
      <c r="B136" s="1034" t="s">
        <v>1189</v>
      </c>
      <c r="C136" s="248"/>
      <c r="D136" s="248"/>
      <c r="E136" s="248"/>
      <c r="F136" s="248"/>
      <c r="G136" s="248"/>
      <c r="H136" s="248"/>
      <c r="I136" s="248"/>
      <c r="J136" s="248"/>
      <c r="K136" s="248"/>
      <c r="L136" s="238"/>
    </row>
    <row r="137" spans="1:12" x14ac:dyDescent="0.2">
      <c r="A137" s="2"/>
      <c r="B137" s="1034" t="str">
        <f>"Entering on Line "&amp;A24&amp;" ensures these One Time Adjustments are recovered from or returned to customers."</f>
        <v>Entering on Line 11 ensures these One Time Adjustments are recovered from or returned to customers.</v>
      </c>
      <c r="C137" s="248"/>
      <c r="D137" s="248"/>
      <c r="E137" s="248"/>
      <c r="F137" s="248"/>
      <c r="G137" s="248"/>
      <c r="H137" s="248"/>
      <c r="I137" s="248"/>
      <c r="J137" s="248"/>
      <c r="K137" s="248"/>
      <c r="L137" s="238"/>
    </row>
    <row r="138" spans="1:12" x14ac:dyDescent="0.2">
      <c r="A138" s="2"/>
      <c r="B138" s="398" t="s">
        <v>1449</v>
      </c>
      <c r="C138" s="1035"/>
      <c r="D138" s="248"/>
      <c r="E138" s="248"/>
      <c r="F138" s="248"/>
      <c r="G138" s="248"/>
      <c r="H138" s="248"/>
      <c r="I138" s="248"/>
      <c r="J138" s="248"/>
      <c r="K138" s="248"/>
      <c r="L138" s="238"/>
    </row>
    <row r="139" spans="1:12" x14ac:dyDescent="0.2">
      <c r="A139" s="2"/>
      <c r="B139" s="625" t="s">
        <v>2835</v>
      </c>
      <c r="C139" s="248"/>
      <c r="D139" s="248"/>
      <c r="E139" s="248"/>
      <c r="F139" s="248"/>
      <c r="G139" s="248"/>
      <c r="H139" s="248"/>
      <c r="I139" s="248"/>
      <c r="J139" s="14"/>
      <c r="K139" s="248"/>
      <c r="L139" s="238"/>
    </row>
    <row r="140" spans="1:12" x14ac:dyDescent="0.2">
      <c r="A140" s="2"/>
      <c r="B140" s="625" t="s">
        <v>2836</v>
      </c>
      <c r="C140" s="248"/>
      <c r="D140" s="248"/>
      <c r="E140" s="248"/>
      <c r="F140" s="248"/>
      <c r="G140" s="248"/>
      <c r="H140" s="248"/>
      <c r="I140" s="248"/>
      <c r="J140" s="248"/>
      <c r="K140" s="248"/>
      <c r="L140" s="238"/>
    </row>
    <row r="141" spans="1:12" x14ac:dyDescent="0.2">
      <c r="A141" s="2"/>
      <c r="B141" s="625" t="s">
        <v>1933</v>
      </c>
      <c r="C141" s="248"/>
      <c r="D141" s="248"/>
      <c r="E141" s="248"/>
      <c r="F141" s="248"/>
      <c r="G141" s="248"/>
      <c r="H141" s="248"/>
      <c r="I141" s="248"/>
      <c r="J141" s="248"/>
      <c r="K141" s="248"/>
      <c r="L141" s="238"/>
    </row>
    <row r="142" spans="1:12" x14ac:dyDescent="0.2">
      <c r="A142" s="2"/>
      <c r="B142" s="396" t="s">
        <v>1190</v>
      </c>
      <c r="C142" s="248"/>
      <c r="D142" s="248"/>
      <c r="E142" s="248"/>
      <c r="F142" s="248"/>
      <c r="G142" s="248"/>
      <c r="H142" s="248"/>
      <c r="I142" s="248"/>
      <c r="J142" s="248"/>
      <c r="K142" s="248"/>
      <c r="L142" s="238"/>
    </row>
    <row r="143" spans="1:12" x14ac:dyDescent="0.2">
      <c r="A143" s="2"/>
      <c r="B143" s="1036" t="s">
        <v>265</v>
      </c>
      <c r="C143" s="248"/>
      <c r="D143" s="248"/>
      <c r="E143" s="248"/>
      <c r="F143" s="248"/>
      <c r="G143" s="248"/>
      <c r="H143" s="248"/>
      <c r="I143" s="248"/>
      <c r="J143" s="248"/>
      <c r="K143" s="248"/>
      <c r="L143" s="238"/>
    </row>
    <row r="144" spans="1:12" x14ac:dyDescent="0.2">
      <c r="A144" s="2"/>
      <c r="B144" s="625" t="s">
        <v>1930</v>
      </c>
      <c r="C144" s="248"/>
      <c r="D144" s="248"/>
      <c r="E144" s="248"/>
      <c r="F144" s="248"/>
      <c r="G144" s="248"/>
      <c r="H144" s="248"/>
      <c r="I144" s="248"/>
      <c r="J144" s="248"/>
      <c r="K144" s="248"/>
      <c r="L144" s="238"/>
    </row>
    <row r="145" spans="1:12" x14ac:dyDescent="0.2">
      <c r="A145" s="2"/>
      <c r="B145" s="707" t="s">
        <v>1931</v>
      </c>
      <c r="C145" s="248"/>
      <c r="D145" s="248"/>
      <c r="E145" s="248"/>
      <c r="F145" s="248"/>
      <c r="G145" s="248"/>
      <c r="H145" s="248"/>
      <c r="I145" s="248"/>
      <c r="J145" s="248"/>
      <c r="K145" s="248"/>
      <c r="L145" s="238"/>
    </row>
    <row r="146" spans="1:12" x14ac:dyDescent="0.2">
      <c r="A146" s="2"/>
      <c r="B146" s="158" t="str">
        <f>"a Partial Year True Up, use the Partial Year TRR Attribution Allocation Factors on Lines "&amp;A82&amp;" to "&amp;A93&amp;" for each month of Partial Year True Up  ."</f>
        <v>a Partial Year True Up, use the Partial Year TRR Attribution Allocation Factors on Lines 69 to 80 for each month of Partial Year True Up  .</v>
      </c>
      <c r="C146" s="248"/>
      <c r="D146" s="248"/>
      <c r="E146" s="248"/>
      <c r="F146" s="248"/>
      <c r="G146" s="248"/>
      <c r="H146" s="248"/>
      <c r="I146" s="248"/>
      <c r="J146" s="248"/>
      <c r="K146" s="248"/>
      <c r="L146" s="238"/>
    </row>
    <row r="147" spans="1:12" x14ac:dyDescent="0.2">
      <c r="A147" s="711"/>
      <c r="B147" s="158" t="str">
        <f>"Only enter in the Prior Year, Lines "&amp;A24&amp;" to "&amp;A35&amp;", or portion of year formula was in effect in case of Partial Year True Up."</f>
        <v>Only enter in the Prior Year, Lines 11 to 22, or portion of year formula was in effect in case of Partial Year True Up.</v>
      </c>
      <c r="C147" s="248"/>
      <c r="D147" s="248"/>
      <c r="E147" s="248"/>
      <c r="F147" s="248"/>
      <c r="G147" s="248"/>
      <c r="H147" s="248"/>
      <c r="I147" s="248"/>
      <c r="J147" s="248"/>
      <c r="K147" s="248"/>
      <c r="L147" s="238"/>
    </row>
    <row r="148" spans="1:12" x14ac:dyDescent="0.2">
      <c r="A148" s="811"/>
      <c r="B148" s="828" t="s">
        <v>2456</v>
      </c>
      <c r="C148" s="248"/>
      <c r="D148" s="248"/>
      <c r="E148" s="248"/>
      <c r="F148" s="248"/>
      <c r="G148" s="248"/>
      <c r="H148" s="248"/>
      <c r="I148" s="248"/>
      <c r="J148" s="248"/>
      <c r="K148" s="248"/>
      <c r="L148" s="238"/>
    </row>
    <row r="149" spans="1:12" x14ac:dyDescent="0.2">
      <c r="A149" s="2"/>
      <c r="B149" s="155" t="s">
        <v>1191</v>
      </c>
      <c r="C149" s="248"/>
      <c r="D149" s="248"/>
      <c r="E149" s="248"/>
      <c r="F149" s="248"/>
      <c r="G149" s="248"/>
      <c r="H149" s="248"/>
      <c r="I149" s="248"/>
      <c r="J149" s="248"/>
      <c r="K149" s="248"/>
      <c r="L149" s="238"/>
    </row>
    <row r="150" spans="1:12" x14ac:dyDescent="0.2">
      <c r="A150" s="2"/>
      <c r="B150" s="158" t="str">
        <f>"as shown on Lines "&amp;A105&amp;" to"&amp;A116&amp;", Column 1."</f>
        <v>as shown on Lines 92 to103, Column 1.</v>
      </c>
      <c r="C150" s="248"/>
      <c r="D150" s="248"/>
      <c r="E150" s="248"/>
      <c r="F150" s="248"/>
      <c r="G150" s="248"/>
      <c r="H150" s="248"/>
      <c r="I150" s="248"/>
      <c r="J150" s="248"/>
      <c r="K150" s="248"/>
      <c r="L150" s="238"/>
    </row>
    <row r="151" spans="1:12" x14ac:dyDescent="0.2">
      <c r="A151" s="2"/>
      <c r="B151" s="155" t="s">
        <v>1192</v>
      </c>
      <c r="C151" s="248"/>
      <c r="D151" s="248"/>
      <c r="E151" s="248"/>
      <c r="F151" s="248"/>
      <c r="G151" s="248"/>
      <c r="H151" s="248"/>
      <c r="I151" s="248"/>
      <c r="J151" s="248"/>
      <c r="K151" s="248"/>
      <c r="L151" s="238"/>
    </row>
    <row r="152" spans="1:12" x14ac:dyDescent="0.2">
      <c r="A152" s="2"/>
      <c r="B152" s="158" t="s">
        <v>1193</v>
      </c>
      <c r="C152" s="248"/>
      <c r="D152" s="248"/>
      <c r="E152" s="248"/>
      <c r="F152" s="248"/>
      <c r="G152" s="248"/>
      <c r="H152" s="248"/>
      <c r="I152" s="248"/>
      <c r="J152" s="248"/>
      <c r="K152" s="248"/>
      <c r="L152" s="238"/>
    </row>
    <row r="153" spans="1:12" x14ac:dyDescent="0.2">
      <c r="A153" s="2"/>
      <c r="B153" s="158" t="s">
        <v>1194</v>
      </c>
      <c r="C153" s="248"/>
      <c r="D153" s="248"/>
      <c r="E153" s="248"/>
      <c r="F153" s="248"/>
      <c r="G153" s="248"/>
      <c r="H153" s="248"/>
      <c r="I153" s="248"/>
      <c r="J153" s="248"/>
      <c r="K153" s="248"/>
      <c r="L153" s="238"/>
    </row>
    <row r="154" spans="1:12" x14ac:dyDescent="0.2">
      <c r="A154" s="2"/>
      <c r="B154" s="828" t="s">
        <v>2223</v>
      </c>
      <c r="C154" s="248"/>
      <c r="D154" s="248"/>
      <c r="E154" s="248"/>
      <c r="F154" s="248"/>
      <c r="G154" s="248"/>
      <c r="H154" s="248"/>
      <c r="I154" s="248"/>
      <c r="J154" s="248"/>
      <c r="K154" s="248"/>
      <c r="L154" s="238"/>
    </row>
    <row r="155" spans="1:12" x14ac:dyDescent="0.2">
      <c r="A155" s="2"/>
      <c r="B155" s="707" t="s">
        <v>2079</v>
      </c>
      <c r="C155" s="248"/>
      <c r="D155" s="248"/>
      <c r="E155" s="248"/>
      <c r="F155" s="248"/>
      <c r="G155" s="248"/>
      <c r="H155" s="248"/>
      <c r="I155" s="248"/>
      <c r="J155" s="248"/>
      <c r="K155" s="248"/>
      <c r="L155" s="238"/>
    </row>
    <row r="156" spans="1:12" x14ac:dyDescent="0.2">
      <c r="A156" s="2"/>
      <c r="B156" s="47" t="s">
        <v>1195</v>
      </c>
      <c r="C156" s="248"/>
      <c r="D156" s="248"/>
      <c r="E156" s="248"/>
      <c r="F156" s="248"/>
      <c r="G156" s="248"/>
      <c r="H156" s="248"/>
      <c r="I156" s="248"/>
      <c r="J156" s="248"/>
      <c r="K156" s="248"/>
      <c r="L156" s="238"/>
    </row>
    <row r="157" spans="1:12" x14ac:dyDescent="0.2">
      <c r="A157" s="2"/>
      <c r="B157" s="396" t="s">
        <v>1196</v>
      </c>
      <c r="C157" s="248"/>
      <c r="D157" s="248"/>
      <c r="E157" s="248"/>
      <c r="F157" s="248"/>
      <c r="G157" s="248"/>
      <c r="H157" s="248"/>
      <c r="I157" s="248"/>
      <c r="J157" s="248"/>
      <c r="K157" s="248"/>
      <c r="L157" s="238"/>
    </row>
    <row r="158" spans="1:12" x14ac:dyDescent="0.2">
      <c r="A158" s="2"/>
      <c r="B158" s="47" t="s">
        <v>1197</v>
      </c>
      <c r="C158" s="248"/>
      <c r="D158" s="248"/>
      <c r="E158" s="248"/>
      <c r="F158" s="248"/>
      <c r="G158" s="248"/>
      <c r="H158" s="248"/>
      <c r="I158" s="248"/>
      <c r="J158" s="248"/>
      <c r="K158" s="248"/>
      <c r="L158" s="238"/>
    </row>
    <row r="159" spans="1:12" x14ac:dyDescent="0.2">
      <c r="A159" s="2"/>
      <c r="B159" s="1031" t="s">
        <v>1198</v>
      </c>
      <c r="C159" s="248"/>
      <c r="D159" s="248"/>
      <c r="E159" s="248"/>
      <c r="F159" s="248"/>
      <c r="G159" s="248"/>
      <c r="H159" s="248"/>
      <c r="I159" s="248"/>
      <c r="J159" s="248"/>
      <c r="K159" s="248"/>
      <c r="L159" s="238"/>
    </row>
    <row r="160" spans="1:12" x14ac:dyDescent="0.2">
      <c r="A160" s="2"/>
      <c r="B160" s="47" t="s">
        <v>1199</v>
      </c>
      <c r="C160" s="248"/>
      <c r="D160" s="248"/>
      <c r="E160" s="248"/>
      <c r="F160" s="248"/>
      <c r="G160" s="248"/>
      <c r="H160" s="248"/>
      <c r="I160" s="248"/>
      <c r="J160" s="248"/>
      <c r="K160" s="248"/>
      <c r="L160" s="238"/>
    </row>
    <row r="161" spans="1:12" x14ac:dyDescent="0.2">
      <c r="A161" s="2"/>
      <c r="B161" s="71" t="s">
        <v>1200</v>
      </c>
      <c r="C161" s="248"/>
      <c r="D161" s="248"/>
      <c r="E161" s="248"/>
      <c r="F161" s="248"/>
      <c r="G161" s="248"/>
      <c r="H161" s="248"/>
      <c r="I161" s="248"/>
      <c r="J161" s="248"/>
      <c r="K161" s="248"/>
      <c r="L161" s="238"/>
    </row>
    <row r="162" spans="1:12" x14ac:dyDescent="0.2">
      <c r="A162" s="2"/>
      <c r="B162" s="599" t="s">
        <v>1462</v>
      </c>
      <c r="C162" s="248"/>
      <c r="D162" s="248"/>
      <c r="E162" s="248"/>
      <c r="F162" s="248"/>
      <c r="G162" s="248"/>
      <c r="H162" s="248"/>
      <c r="I162" s="248"/>
      <c r="J162" s="248"/>
      <c r="K162" s="248"/>
      <c r="L162" s="238"/>
    </row>
    <row r="163" spans="1:12" x14ac:dyDescent="0.2">
      <c r="A163" s="238"/>
      <c r="B163" s="599" t="s">
        <v>1979</v>
      </c>
      <c r="C163" s="248"/>
      <c r="D163" s="248"/>
      <c r="E163" s="248"/>
      <c r="F163" s="248"/>
      <c r="G163" s="248"/>
      <c r="H163" s="248"/>
      <c r="I163" s="248"/>
      <c r="J163" s="248"/>
      <c r="K163" s="248"/>
      <c r="L163" s="238"/>
    </row>
    <row r="164" spans="1:12" x14ac:dyDescent="0.2">
      <c r="A164" s="238"/>
      <c r="B164" s="47" t="s">
        <v>1533</v>
      </c>
      <c r="C164" s="248"/>
      <c r="D164" s="248"/>
      <c r="E164" s="248"/>
      <c r="F164" s="248"/>
      <c r="G164" s="248"/>
      <c r="H164" s="248"/>
      <c r="I164" s="248"/>
      <c r="J164" s="248"/>
      <c r="K164" s="248"/>
      <c r="L164" s="238"/>
    </row>
    <row r="165" spans="1:12" x14ac:dyDescent="0.2">
      <c r="A165" s="238"/>
      <c r="B165" s="47" t="s">
        <v>1531</v>
      </c>
      <c r="C165" s="248"/>
      <c r="D165" s="248"/>
      <c r="E165" s="248"/>
      <c r="F165" s="248"/>
      <c r="G165" s="248"/>
      <c r="H165" s="248"/>
      <c r="I165" s="248"/>
      <c r="J165" s="248"/>
      <c r="K165" s="248"/>
      <c r="L165" s="238"/>
    </row>
    <row r="166" spans="1:12" x14ac:dyDescent="0.2">
      <c r="A166" s="238"/>
      <c r="B166" s="396" t="s">
        <v>596</v>
      </c>
      <c r="C166" s="248"/>
      <c r="D166" s="248"/>
      <c r="E166" s="248"/>
      <c r="F166" s="248"/>
      <c r="G166" s="248"/>
      <c r="H166" s="248"/>
      <c r="I166" s="248"/>
      <c r="J166" s="248"/>
      <c r="K166" s="248"/>
      <c r="L166" s="238"/>
    </row>
    <row r="167" spans="1:12" x14ac:dyDescent="0.2">
      <c r="A167" s="238"/>
      <c r="B167" s="1030" t="s">
        <v>2533</v>
      </c>
      <c r="C167" s="248"/>
      <c r="D167" s="248"/>
      <c r="E167" s="248"/>
      <c r="F167" s="248"/>
      <c r="G167" s="248"/>
      <c r="H167" s="248"/>
      <c r="I167" s="248"/>
      <c r="J167" s="248"/>
      <c r="K167" s="248"/>
      <c r="L167" s="238"/>
    </row>
    <row r="168" spans="1:12" x14ac:dyDescent="0.2">
      <c r="A168" s="238"/>
      <c r="B168" s="1030" t="s">
        <v>2534</v>
      </c>
      <c r="C168" s="248"/>
      <c r="D168" s="248"/>
      <c r="E168" s="248"/>
      <c r="F168" s="248"/>
      <c r="G168" s="248"/>
      <c r="H168" s="248"/>
      <c r="I168" s="248"/>
      <c r="J168" s="248"/>
      <c r="K168" s="248"/>
      <c r="L168" s="238"/>
    </row>
    <row r="169" spans="1:12" x14ac:dyDescent="0.2">
      <c r="A169" s="238"/>
      <c r="B169" s="47" t="s">
        <v>1532</v>
      </c>
      <c r="C169" s="248"/>
      <c r="D169" s="248"/>
      <c r="E169" s="248"/>
      <c r="F169" s="248"/>
      <c r="G169" s="248"/>
      <c r="H169" s="248"/>
      <c r="I169" s="248"/>
      <c r="J169" s="248"/>
      <c r="K169" s="248"/>
      <c r="L169" s="238"/>
    </row>
    <row r="170" spans="1:12" x14ac:dyDescent="0.2">
      <c r="A170" s="238"/>
      <c r="B170" s="1030" t="s">
        <v>2839</v>
      </c>
      <c r="C170" s="248"/>
      <c r="D170" s="248"/>
      <c r="E170" s="248"/>
      <c r="F170" s="248"/>
      <c r="G170" s="248"/>
      <c r="H170" s="248"/>
      <c r="I170" s="248"/>
      <c r="J170" s="248"/>
      <c r="K170" s="248"/>
      <c r="L170" s="238"/>
    </row>
    <row r="171" spans="1:12" x14ac:dyDescent="0.2">
      <c r="A171" s="238"/>
      <c r="B171" s="1030" t="s">
        <v>2838</v>
      </c>
      <c r="C171" s="248"/>
      <c r="D171" s="248"/>
      <c r="E171" s="248"/>
      <c r="F171" s="248"/>
      <c r="G171" s="248"/>
      <c r="H171" s="248"/>
      <c r="I171" s="248"/>
      <c r="J171" s="248"/>
      <c r="K171" s="248"/>
      <c r="L171" s="238"/>
    </row>
    <row r="172" spans="1:12" x14ac:dyDescent="0.2">
      <c r="A172" s="238"/>
      <c r="B172" s="1030" t="s">
        <v>2837</v>
      </c>
      <c r="C172" s="248"/>
      <c r="D172" s="248"/>
      <c r="E172" s="248"/>
      <c r="F172" s="248"/>
      <c r="G172" s="248"/>
      <c r="H172" s="248"/>
      <c r="I172" s="248"/>
      <c r="J172" s="248"/>
      <c r="K172" s="248"/>
      <c r="L172" s="238"/>
    </row>
    <row r="173" spans="1:12" x14ac:dyDescent="0.2">
      <c r="A173" s="238"/>
      <c r="B173" s="396" t="s">
        <v>1070</v>
      </c>
      <c r="C173" s="248"/>
      <c r="D173" s="248"/>
      <c r="E173" s="248"/>
      <c r="F173" s="248"/>
      <c r="G173" s="248"/>
      <c r="H173" s="248"/>
      <c r="I173" s="248"/>
      <c r="J173" s="248"/>
      <c r="K173" s="248"/>
      <c r="L173" s="238"/>
    </row>
    <row r="174" spans="1:12" x14ac:dyDescent="0.2">
      <c r="A174" s="238"/>
      <c r="C174" s="238"/>
      <c r="D174" s="238"/>
      <c r="E174" s="238"/>
      <c r="F174" s="238"/>
      <c r="G174" s="238"/>
      <c r="H174" s="238"/>
      <c r="I174" s="238"/>
      <c r="J174" s="238"/>
      <c r="K174" s="238"/>
      <c r="L174" s="238"/>
    </row>
    <row r="175" spans="1:12" x14ac:dyDescent="0.2">
      <c r="A175" s="238"/>
      <c r="B175" s="238"/>
      <c r="C175" s="238"/>
      <c r="D175" s="238"/>
      <c r="E175" s="238"/>
      <c r="F175" s="238"/>
      <c r="G175" s="238"/>
      <c r="H175" s="238"/>
      <c r="I175" s="238"/>
      <c r="J175" s="238"/>
      <c r="K175" s="238"/>
      <c r="L175" s="238"/>
    </row>
    <row r="176" spans="1:12" x14ac:dyDescent="0.2">
      <c r="A176" s="238"/>
      <c r="B176" s="238"/>
      <c r="C176" s="238"/>
      <c r="D176" s="238"/>
      <c r="E176" s="238"/>
      <c r="F176" s="238"/>
      <c r="G176" s="238"/>
      <c r="H176" s="238"/>
      <c r="I176" s="238"/>
      <c r="J176" s="238"/>
      <c r="K176" s="238"/>
      <c r="L176" s="238"/>
    </row>
    <row r="177" spans="1:12" x14ac:dyDescent="0.2">
      <c r="A177" s="238"/>
      <c r="B177" s="238"/>
      <c r="C177" s="238"/>
      <c r="D177" s="238"/>
      <c r="E177" s="238"/>
      <c r="F177" s="238"/>
      <c r="G177" s="238"/>
      <c r="H177" s="238"/>
      <c r="I177" s="238"/>
      <c r="J177" s="238"/>
      <c r="K177" s="238"/>
      <c r="L177" s="238"/>
    </row>
    <row r="178" spans="1:12" x14ac:dyDescent="0.2">
      <c r="A178" s="238"/>
      <c r="B178" s="238"/>
      <c r="C178" s="238"/>
      <c r="D178" s="238"/>
      <c r="E178" s="238"/>
      <c r="F178" s="238"/>
      <c r="G178" s="238"/>
      <c r="H178" s="238"/>
      <c r="I178" s="238"/>
      <c r="J178" s="238"/>
      <c r="K178" s="238"/>
      <c r="L178" s="238"/>
    </row>
    <row r="179" spans="1:12" x14ac:dyDescent="0.2">
      <c r="A179" s="238"/>
      <c r="B179" s="238"/>
      <c r="C179" s="238"/>
      <c r="D179" s="238"/>
      <c r="E179" s="238"/>
      <c r="F179" s="238"/>
      <c r="G179" s="238"/>
      <c r="H179" s="238"/>
      <c r="I179" s="238"/>
      <c r="J179" s="238"/>
      <c r="K179" s="238"/>
      <c r="L179" s="238"/>
    </row>
    <row r="180" spans="1:12" x14ac:dyDescent="0.2">
      <c r="A180" s="238"/>
      <c r="B180" s="238"/>
      <c r="C180" s="238"/>
      <c r="D180" s="238"/>
      <c r="E180" s="238"/>
      <c r="F180" s="238"/>
      <c r="G180" s="238"/>
      <c r="H180" s="238"/>
      <c r="I180" s="238"/>
      <c r="J180" s="238"/>
      <c r="K180" s="238"/>
      <c r="L180" s="238"/>
    </row>
    <row r="181" spans="1:12" x14ac:dyDescent="0.2">
      <c r="A181" s="238"/>
      <c r="B181" s="238"/>
      <c r="C181" s="238"/>
      <c r="D181" s="238"/>
      <c r="E181" s="238"/>
      <c r="F181" s="238"/>
      <c r="G181" s="238"/>
      <c r="H181" s="238"/>
      <c r="I181" s="238"/>
      <c r="J181" s="238"/>
      <c r="K181" s="238"/>
      <c r="L181" s="238"/>
    </row>
    <row r="182" spans="1:12" x14ac:dyDescent="0.2">
      <c r="A182" s="238"/>
      <c r="B182" s="238"/>
      <c r="C182" s="238"/>
      <c r="D182" s="238"/>
      <c r="E182" s="238"/>
      <c r="F182" s="238"/>
      <c r="G182" s="238"/>
      <c r="H182" s="238"/>
      <c r="I182" s="238"/>
      <c r="J182" s="238"/>
      <c r="K182" s="238"/>
      <c r="L182" s="238"/>
    </row>
    <row r="183" spans="1:12" x14ac:dyDescent="0.2">
      <c r="A183" s="238"/>
      <c r="B183" s="238"/>
      <c r="C183" s="238"/>
      <c r="D183" s="238"/>
      <c r="E183" s="238"/>
      <c r="F183" s="238"/>
      <c r="G183" s="238"/>
      <c r="H183" s="238"/>
      <c r="I183" s="238"/>
      <c r="J183" s="238"/>
      <c r="K183" s="238"/>
      <c r="L183" s="238"/>
    </row>
    <row r="184" spans="1:12" x14ac:dyDescent="0.2">
      <c r="A184" s="238"/>
      <c r="B184" s="238"/>
      <c r="C184" s="238"/>
      <c r="D184" s="238"/>
      <c r="E184" s="238"/>
      <c r="F184" s="238"/>
      <c r="G184" s="238"/>
      <c r="H184" s="238"/>
      <c r="I184" s="238"/>
      <c r="J184" s="238"/>
      <c r="K184" s="238"/>
      <c r="L184" s="238"/>
    </row>
    <row r="185" spans="1:12" x14ac:dyDescent="0.2">
      <c r="A185" s="238"/>
      <c r="B185" s="238"/>
      <c r="C185" s="238"/>
      <c r="D185" s="238"/>
      <c r="E185" s="238"/>
      <c r="F185" s="238"/>
      <c r="G185" s="238"/>
      <c r="H185" s="238"/>
      <c r="I185" s="238"/>
      <c r="J185" s="238"/>
      <c r="K185" s="238"/>
      <c r="L185" s="238"/>
    </row>
    <row r="186" spans="1:12" x14ac:dyDescent="0.2">
      <c r="A186" s="238"/>
      <c r="B186" s="238"/>
      <c r="C186" s="238"/>
      <c r="D186" s="238"/>
      <c r="E186" s="238"/>
      <c r="F186" s="238"/>
      <c r="G186" s="238"/>
      <c r="H186" s="238"/>
      <c r="I186" s="238"/>
      <c r="J186" s="238"/>
      <c r="K186" s="238"/>
      <c r="L186" s="238"/>
    </row>
    <row r="187" spans="1:12" x14ac:dyDescent="0.2">
      <c r="A187" s="238"/>
      <c r="B187" s="238"/>
      <c r="C187" s="238"/>
      <c r="D187" s="238"/>
      <c r="E187" s="238"/>
      <c r="F187" s="238"/>
      <c r="G187" s="238"/>
      <c r="H187" s="238"/>
      <c r="I187" s="238"/>
      <c r="J187" s="238"/>
      <c r="K187" s="238"/>
      <c r="L187" s="238"/>
    </row>
    <row r="188" spans="1:12" x14ac:dyDescent="0.2">
      <c r="A188" s="238"/>
      <c r="B188" s="238"/>
      <c r="C188" s="238"/>
      <c r="D188" s="238"/>
      <c r="E188" s="238"/>
      <c r="F188" s="238"/>
      <c r="G188" s="238"/>
      <c r="H188" s="238"/>
      <c r="I188" s="238"/>
      <c r="J188" s="238"/>
      <c r="K188" s="238"/>
      <c r="L188" s="238"/>
    </row>
    <row r="189" spans="1:12" x14ac:dyDescent="0.2">
      <c r="A189" s="238"/>
      <c r="B189" s="238"/>
      <c r="C189" s="238"/>
      <c r="D189" s="238"/>
      <c r="E189" s="238"/>
      <c r="F189" s="238"/>
      <c r="G189" s="238"/>
      <c r="H189" s="238"/>
      <c r="I189" s="238"/>
      <c r="J189" s="238"/>
      <c r="K189" s="238"/>
      <c r="L189" s="238"/>
    </row>
    <row r="190" spans="1:12" x14ac:dyDescent="0.2">
      <c r="A190" s="238"/>
      <c r="B190" s="238"/>
      <c r="C190" s="238"/>
      <c r="D190" s="238"/>
      <c r="E190" s="238"/>
      <c r="F190" s="238"/>
      <c r="G190" s="238"/>
      <c r="H190" s="238"/>
      <c r="I190" s="238"/>
      <c r="J190" s="238"/>
      <c r="K190" s="238"/>
      <c r="L190" s="238"/>
    </row>
    <row r="191" spans="1:12" x14ac:dyDescent="0.2">
      <c r="A191" s="238"/>
      <c r="B191" s="238"/>
      <c r="C191" s="238"/>
      <c r="D191" s="238"/>
      <c r="E191" s="238"/>
      <c r="F191" s="238"/>
      <c r="G191" s="238"/>
      <c r="H191" s="238"/>
      <c r="I191" s="238"/>
      <c r="J191" s="238"/>
      <c r="K191" s="238"/>
      <c r="L191" s="238"/>
    </row>
    <row r="192" spans="1:12" x14ac:dyDescent="0.2">
      <c r="A192" s="238"/>
      <c r="B192" s="238"/>
      <c r="C192" s="238"/>
      <c r="D192" s="238"/>
      <c r="E192" s="238"/>
      <c r="F192" s="238"/>
      <c r="G192" s="238"/>
      <c r="H192" s="238"/>
      <c r="I192" s="238"/>
      <c r="J192" s="238"/>
      <c r="K192" s="238"/>
      <c r="L192" s="238"/>
    </row>
    <row r="193" spans="1:12" x14ac:dyDescent="0.2">
      <c r="A193" s="238"/>
      <c r="B193" s="238"/>
      <c r="C193" s="238"/>
      <c r="D193" s="238"/>
      <c r="E193" s="238"/>
      <c r="F193" s="238"/>
      <c r="G193" s="238"/>
      <c r="H193" s="238"/>
      <c r="I193" s="238"/>
      <c r="J193" s="238"/>
      <c r="K193" s="238"/>
      <c r="L193" s="238"/>
    </row>
    <row r="194" spans="1:12" x14ac:dyDescent="0.2">
      <c r="A194" s="238"/>
      <c r="B194" s="238"/>
      <c r="C194" s="238"/>
      <c r="D194" s="238"/>
      <c r="E194" s="238"/>
      <c r="F194" s="238"/>
      <c r="G194" s="238"/>
      <c r="H194" s="238"/>
      <c r="I194" s="238"/>
      <c r="J194" s="238"/>
      <c r="K194" s="238"/>
      <c r="L194" s="238"/>
    </row>
    <row r="195" spans="1:12" x14ac:dyDescent="0.2">
      <c r="A195" s="238"/>
      <c r="B195" s="238"/>
      <c r="C195" s="238"/>
      <c r="D195" s="238"/>
      <c r="E195" s="238"/>
      <c r="F195" s="238"/>
      <c r="G195" s="238"/>
      <c r="H195" s="238"/>
      <c r="I195" s="238"/>
      <c r="J195" s="238"/>
      <c r="K195" s="238"/>
      <c r="L195" s="238"/>
    </row>
    <row r="196" spans="1:12" x14ac:dyDescent="0.2">
      <c r="A196" s="238"/>
      <c r="B196" s="238"/>
      <c r="C196" s="238"/>
      <c r="D196" s="238"/>
      <c r="E196" s="238"/>
      <c r="F196" s="238"/>
      <c r="G196" s="238"/>
      <c r="H196" s="238"/>
      <c r="I196" s="238"/>
      <c r="J196" s="238"/>
      <c r="K196" s="238"/>
      <c r="L196" s="238"/>
    </row>
    <row r="197" spans="1:12" x14ac:dyDescent="0.2">
      <c r="A197" s="238"/>
      <c r="B197" s="238"/>
      <c r="C197" s="238"/>
      <c r="D197" s="238"/>
      <c r="E197" s="238"/>
      <c r="F197" s="238"/>
      <c r="G197" s="238"/>
      <c r="H197" s="238"/>
      <c r="I197" s="238"/>
      <c r="J197" s="238"/>
      <c r="K197" s="238"/>
      <c r="L197" s="238"/>
    </row>
    <row r="198" spans="1:12" x14ac:dyDescent="0.2">
      <c r="A198" s="238"/>
      <c r="B198" s="238"/>
      <c r="C198" s="238"/>
      <c r="D198" s="238"/>
      <c r="E198" s="238"/>
      <c r="F198" s="238"/>
      <c r="G198" s="238"/>
      <c r="H198" s="238"/>
      <c r="I198" s="238"/>
      <c r="J198" s="238"/>
      <c r="K198" s="238"/>
      <c r="L198" s="238"/>
    </row>
  </sheetData>
  <pageMargins left="0.7" right="0.7" top="0.75" bottom="0.75" header="0.3" footer="0.3"/>
  <pageSetup scale="75" orientation="landscape" cellComments="asDisplayed" r:id="rId1"/>
  <headerFooter>
    <oddHeader>&amp;CSchedule 3
True Up Adjustment
&amp;"Arial,Bold"Exhibit G-2</oddHeader>
    <oddFooter>&amp;R3-TrueUpAdjust</oddFooter>
  </headerFooter>
  <rowBreaks count="3" manualBreakCount="3">
    <brk id="45" max="16383" man="1"/>
    <brk id="78" max="16383" man="1"/>
    <brk id="12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1"/>
  <sheetViews>
    <sheetView zoomScale="90" zoomScaleNormal="90" workbookViewId="0">
      <selection activeCell="A73" sqref="A73"/>
    </sheetView>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s>
  <sheetData>
    <row r="1" spans="1:10" x14ac:dyDescent="0.2">
      <c r="A1" s="1" t="s">
        <v>2179</v>
      </c>
    </row>
    <row r="2" spans="1:10" x14ac:dyDescent="0.2">
      <c r="H2" s="14"/>
    </row>
    <row r="3" spans="1:10" x14ac:dyDescent="0.2">
      <c r="A3" s="14"/>
      <c r="B3" s="1037" t="s">
        <v>1922</v>
      </c>
      <c r="C3" s="14"/>
      <c r="D3" s="14"/>
      <c r="E3" s="14"/>
      <c r="F3" s="14"/>
      <c r="G3" s="14"/>
      <c r="H3" s="14"/>
      <c r="I3" s="14"/>
      <c r="J3" s="14"/>
    </row>
    <row r="4" spans="1:10" x14ac:dyDescent="0.2">
      <c r="A4" s="14"/>
      <c r="B4" s="1037"/>
      <c r="C4" s="14"/>
      <c r="D4" s="14"/>
      <c r="E4" s="14"/>
      <c r="F4" s="115" t="s">
        <v>172</v>
      </c>
      <c r="G4" s="115"/>
      <c r="H4" s="115" t="s">
        <v>197</v>
      </c>
      <c r="I4" s="14"/>
      <c r="J4" s="14"/>
    </row>
    <row r="5" spans="1:10" x14ac:dyDescent="0.2">
      <c r="A5" s="784" t="s">
        <v>359</v>
      </c>
      <c r="B5" s="118"/>
      <c r="C5" s="1036" t="s">
        <v>170</v>
      </c>
      <c r="D5" s="14"/>
      <c r="E5" s="14"/>
      <c r="F5" s="129" t="s">
        <v>171</v>
      </c>
      <c r="G5" s="129" t="s">
        <v>196</v>
      </c>
      <c r="H5" s="129" t="s">
        <v>198</v>
      </c>
      <c r="I5" s="14"/>
      <c r="J5" s="129" t="s">
        <v>203</v>
      </c>
    </row>
    <row r="6" spans="1:10" x14ac:dyDescent="0.2">
      <c r="A6" s="115">
        <v>1</v>
      </c>
      <c r="B6" s="14"/>
      <c r="C6" s="114" t="s">
        <v>1157</v>
      </c>
      <c r="D6" s="14"/>
      <c r="E6" s="14"/>
      <c r="F6" s="14" t="s">
        <v>10</v>
      </c>
      <c r="G6" s="14"/>
      <c r="H6" s="114" t="str">
        <f>"6-PlantInService, Line "&amp;'6-PlantInService'!A42&amp;""</f>
        <v>6-PlantInService, Line 18</v>
      </c>
      <c r="I6" s="14"/>
      <c r="J6" s="65">
        <f>'6-PlantInService'!D42</f>
        <v>3268064269.64363</v>
      </c>
    </row>
    <row r="7" spans="1:10" x14ac:dyDescent="0.2">
      <c r="A7" s="115">
        <f>A6+1</f>
        <v>2</v>
      </c>
      <c r="B7" s="14"/>
      <c r="C7" s="114" t="s">
        <v>1455</v>
      </c>
      <c r="D7" s="14"/>
      <c r="E7" s="14"/>
      <c r="F7" s="14" t="s">
        <v>173</v>
      </c>
      <c r="G7" s="14"/>
      <c r="H7" s="114" t="str">
        <f>"6-PlantInService, Line "&amp;'6-PlantInService'!A58&amp;""</f>
        <v>6-PlantInService, Line 24</v>
      </c>
      <c r="I7" s="14"/>
      <c r="J7" s="65">
        <f>'6-PlantInService'!F58</f>
        <v>133537797.4711238</v>
      </c>
    </row>
    <row r="8" spans="1:10" x14ac:dyDescent="0.2">
      <c r="A8" s="115">
        <f>A7+1</f>
        <v>3</v>
      </c>
      <c r="B8" s="14"/>
      <c r="C8" s="114" t="s">
        <v>183</v>
      </c>
      <c r="D8" s="14"/>
      <c r="E8" s="14"/>
      <c r="F8" s="14" t="s">
        <v>173</v>
      </c>
      <c r="G8" s="14"/>
      <c r="H8" s="14" t="str">
        <f>"11-PHFU, Line "&amp;'11-PHFU'!A41&amp;""</f>
        <v>11-PHFU, Line 9</v>
      </c>
      <c r="I8" s="14"/>
      <c r="J8" s="65">
        <f>'11-PHFU'!D41</f>
        <v>4971077.5</v>
      </c>
    </row>
    <row r="9" spans="1:10" x14ac:dyDescent="0.2">
      <c r="A9" s="115">
        <f>A8+1</f>
        <v>4</v>
      </c>
      <c r="B9" s="14"/>
      <c r="C9" s="114" t="s">
        <v>352</v>
      </c>
      <c r="D9" s="14"/>
      <c r="E9" s="14"/>
      <c r="F9" s="14" t="s">
        <v>173</v>
      </c>
      <c r="G9" s="14"/>
      <c r="H9" s="15" t="str">
        <f>"12-AbandonedPlant Line "&amp;'12-AbandonedPlant'!A21&amp;""</f>
        <v>12-AbandonedPlant Line 4</v>
      </c>
      <c r="I9" s="14"/>
      <c r="J9" s="65">
        <f>'12-AbandonedPlant'!G21</f>
        <v>5514000</v>
      </c>
    </row>
    <row r="10" spans="1:10" x14ac:dyDescent="0.2">
      <c r="A10" s="115"/>
      <c r="B10" s="14"/>
      <c r="C10" s="114"/>
      <c r="D10" s="14"/>
      <c r="E10" s="14"/>
      <c r="F10" s="14"/>
      <c r="G10" s="14"/>
      <c r="H10" s="14"/>
      <c r="I10" s="14"/>
      <c r="J10" s="65"/>
    </row>
    <row r="11" spans="1:10" x14ac:dyDescent="0.2">
      <c r="A11" s="115"/>
      <c r="B11" s="14"/>
      <c r="C11" s="46" t="s">
        <v>314</v>
      </c>
      <c r="D11" s="14"/>
      <c r="E11" s="14"/>
      <c r="F11" s="14"/>
      <c r="G11" s="14"/>
      <c r="H11" s="14"/>
      <c r="I11" s="14"/>
      <c r="J11" s="65"/>
    </row>
    <row r="12" spans="1:10" x14ac:dyDescent="0.2">
      <c r="A12" s="115">
        <f>A9+1</f>
        <v>5</v>
      </c>
      <c r="B12" s="14"/>
      <c r="C12" s="47" t="s">
        <v>103</v>
      </c>
      <c r="D12" s="14"/>
      <c r="E12" s="14"/>
      <c r="F12" s="14" t="s">
        <v>10</v>
      </c>
      <c r="G12" s="14"/>
      <c r="H12" s="114" t="str">
        <f>"13-WorkCap, Line "&amp;'13-WorkCap'!A27&amp;""</f>
        <v>13-WorkCap, Line 17</v>
      </c>
      <c r="I12" s="14"/>
      <c r="J12" s="65">
        <f>'13-WorkCap'!F27</f>
        <v>12344903.380451612</v>
      </c>
    </row>
    <row r="13" spans="1:10" x14ac:dyDescent="0.2">
      <c r="A13" s="115">
        <f>A12+1</f>
        <v>6</v>
      </c>
      <c r="B13" s="14"/>
      <c r="C13" s="118" t="s">
        <v>104</v>
      </c>
      <c r="D13" s="14"/>
      <c r="E13" s="14"/>
      <c r="F13" s="14" t="s">
        <v>10</v>
      </c>
      <c r="G13" s="14"/>
      <c r="H13" s="114" t="str">
        <f>"13-WorkCap, Line "&amp;'13-WorkCap'!A51&amp;""</f>
        <v>13-WorkCap, Line 33</v>
      </c>
      <c r="I13" s="14"/>
      <c r="J13" s="65">
        <f>'13-WorkCap'!F51</f>
        <v>1965526.2994065713</v>
      </c>
    </row>
    <row r="14" spans="1:10" x14ac:dyDescent="0.2">
      <c r="A14" s="115">
        <f>A13+1</f>
        <v>7</v>
      </c>
      <c r="B14" s="14"/>
      <c r="C14" s="47" t="s">
        <v>200</v>
      </c>
      <c r="D14" s="14"/>
      <c r="E14" s="14"/>
      <c r="F14" s="628" t="s">
        <v>2870</v>
      </c>
      <c r="G14" s="14"/>
      <c r="H14" s="14" t="str">
        <f>"1-Base TRR Line "&amp;'1-BaseTRR'!A17&amp;""</f>
        <v>1-Base TRR Line 7</v>
      </c>
      <c r="I14" s="14"/>
      <c r="J14" s="106">
        <f>'1-BaseTRR'!K17</f>
        <v>7283528.8341432568</v>
      </c>
    </row>
    <row r="15" spans="1:10" x14ac:dyDescent="0.2">
      <c r="A15" s="115">
        <f>A14+1</f>
        <v>8</v>
      </c>
      <c r="B15" s="14"/>
      <c r="C15" s="47" t="s">
        <v>102</v>
      </c>
      <c r="D15" s="14"/>
      <c r="E15" s="14"/>
      <c r="F15" s="14"/>
      <c r="G15" s="14"/>
      <c r="H15" s="14" t="str">
        <f>"Line "&amp;A12&amp;" + Line "&amp;A13&amp;" + Line "&amp;A14&amp;""</f>
        <v>Line 5 + Line 6 + Line 7</v>
      </c>
      <c r="I15" s="14"/>
      <c r="J15" s="65">
        <f>SUM(J12:J14)</f>
        <v>21593958.51400144</v>
      </c>
    </row>
    <row r="16" spans="1:10" x14ac:dyDescent="0.2">
      <c r="A16" s="115"/>
      <c r="B16" s="14"/>
      <c r="C16" s="47"/>
      <c r="D16" s="14"/>
      <c r="E16" s="14"/>
      <c r="F16" s="14"/>
      <c r="G16" s="14"/>
      <c r="H16" s="14"/>
      <c r="I16" s="14"/>
      <c r="J16" s="65"/>
    </row>
    <row r="17" spans="1:10" x14ac:dyDescent="0.2">
      <c r="A17" s="115"/>
      <c r="B17" s="14"/>
      <c r="C17" s="1018" t="s">
        <v>315</v>
      </c>
      <c r="D17" s="14"/>
      <c r="E17" s="14"/>
      <c r="F17" s="14"/>
      <c r="G17" s="14"/>
      <c r="H17" s="14"/>
      <c r="I17" s="14"/>
      <c r="J17" s="65"/>
    </row>
    <row r="18" spans="1:10" x14ac:dyDescent="0.2">
      <c r="A18" s="115">
        <f>A15+1</f>
        <v>9</v>
      </c>
      <c r="B18" s="14"/>
      <c r="C18" s="625" t="s">
        <v>2142</v>
      </c>
      <c r="D18" s="14"/>
      <c r="E18" s="14"/>
      <c r="F18" s="14" t="s">
        <v>10</v>
      </c>
      <c r="G18" s="14" t="s">
        <v>169</v>
      </c>
      <c r="H18" s="114" t="str">
        <f>"8-AccDep, Line "&amp;'8-AccDep'!A25&amp;", Col. 12"</f>
        <v>8-AccDep, Line 14, Col. 12</v>
      </c>
      <c r="I18" s="14"/>
      <c r="J18" s="65">
        <f>-'8-AccDep'!N25</f>
        <v>-1028961816.0832918</v>
      </c>
    </row>
    <row r="19" spans="1:10" x14ac:dyDescent="0.2">
      <c r="A19" s="115">
        <f>A18+1</f>
        <v>10</v>
      </c>
      <c r="B19" s="14"/>
      <c r="C19" s="625" t="s">
        <v>2143</v>
      </c>
      <c r="D19" s="14"/>
      <c r="E19" s="14"/>
      <c r="F19" s="14" t="s">
        <v>173</v>
      </c>
      <c r="G19" s="14" t="s">
        <v>169</v>
      </c>
      <c r="H19" s="114" t="str">
        <f>"8-AccDep, Line "&amp;'8-AccDep'!A35&amp;", Col. 5"</f>
        <v>8-AccDep, Line 17, Col. 5</v>
      </c>
      <c r="I19" s="14"/>
      <c r="J19" s="65">
        <f>-'8-AccDep'!G35</f>
        <v>-2679923.1287572002</v>
      </c>
    </row>
    <row r="20" spans="1:10" x14ac:dyDescent="0.2">
      <c r="A20" s="115">
        <f>A19+1</f>
        <v>11</v>
      </c>
      <c r="B20" s="14"/>
      <c r="C20" s="47" t="s">
        <v>347</v>
      </c>
      <c r="D20" s="22"/>
      <c r="E20" s="14"/>
      <c r="F20" s="14" t="s">
        <v>173</v>
      </c>
      <c r="G20" s="14" t="s">
        <v>169</v>
      </c>
      <c r="H20" s="114" t="str">
        <f>"8-AccDep, Line "&amp;'8-AccDep'!A53&amp;""</f>
        <v>8-AccDep, Line 23</v>
      </c>
      <c r="I20" s="14"/>
      <c r="J20" s="106">
        <f>-'8-AccDep'!F53</f>
        <v>-49142963.621541053</v>
      </c>
    </row>
    <row r="21" spans="1:10" x14ac:dyDescent="0.2">
      <c r="A21" s="115">
        <f>A20+1</f>
        <v>12</v>
      </c>
      <c r="B21" s="14"/>
      <c r="C21" s="1019" t="s">
        <v>190</v>
      </c>
      <c r="D21" s="22"/>
      <c r="E21" s="14"/>
      <c r="F21" s="14"/>
      <c r="G21" s="14"/>
      <c r="H21" s="14" t="str">
        <f>"Line "&amp;A18&amp;" + Line "&amp;A19&amp;" + Line "&amp;A20&amp;""</f>
        <v>Line 9 + Line 10 + Line 11</v>
      </c>
      <c r="I21" s="14"/>
      <c r="J21" s="65">
        <f>SUM(J18:J20)</f>
        <v>-1080784702.83359</v>
      </c>
    </row>
    <row r="22" spans="1:10" x14ac:dyDescent="0.2">
      <c r="A22" s="115"/>
      <c r="B22" s="14"/>
      <c r="C22" s="15"/>
      <c r="D22" s="14"/>
      <c r="E22" s="14"/>
      <c r="F22" s="14"/>
      <c r="G22" s="14"/>
      <c r="H22" s="14"/>
      <c r="I22" s="14"/>
      <c r="J22" s="65"/>
    </row>
    <row r="23" spans="1:10" x14ac:dyDescent="0.2">
      <c r="A23" s="115">
        <f>A21+1</f>
        <v>13</v>
      </c>
      <c r="B23" s="14"/>
      <c r="C23" s="1017" t="s">
        <v>191</v>
      </c>
      <c r="D23" s="14"/>
      <c r="E23" s="14"/>
      <c r="F23" s="14" t="s">
        <v>173</v>
      </c>
      <c r="G23" s="14"/>
      <c r="H23" s="114" t="str">
        <f>"9-ADIT, Line "&amp;'9-ADIT'!A24&amp;""</f>
        <v>9-ADIT, Line 15</v>
      </c>
      <c r="I23" s="14"/>
      <c r="J23" s="65">
        <f>'9-ADIT'!D24</f>
        <v>-429230083.16570175</v>
      </c>
    </row>
    <row r="24" spans="1:10" x14ac:dyDescent="0.2">
      <c r="A24" s="115">
        <f>A23+1</f>
        <v>14</v>
      </c>
      <c r="B24" s="14"/>
      <c r="C24" s="114" t="s">
        <v>275</v>
      </c>
      <c r="D24" s="14"/>
      <c r="E24" s="14"/>
      <c r="F24" s="14" t="s">
        <v>10</v>
      </c>
      <c r="G24" s="14"/>
      <c r="H24" s="114" t="str">
        <f>"14-IncentivePlant, L "&amp;'14-IncentivePlant'!A37&amp;", C2"</f>
        <v>14-IncentivePlant, L 12, C2</v>
      </c>
      <c r="I24" s="14"/>
      <c r="J24" s="65">
        <f>'14-IncentivePlant'!F37</f>
        <v>899913283.18693578</v>
      </c>
    </row>
    <row r="25" spans="1:10" x14ac:dyDescent="0.2">
      <c r="A25" s="115">
        <f>A24+1</f>
        <v>15</v>
      </c>
      <c r="B25" s="14"/>
      <c r="C25" s="1017" t="s">
        <v>64</v>
      </c>
      <c r="D25" s="14"/>
      <c r="E25" s="14"/>
      <c r="F25" s="14" t="s">
        <v>173</v>
      </c>
      <c r="G25" s="14" t="s">
        <v>169</v>
      </c>
      <c r="H25" s="114" t="str">
        <f>"22-NUCs, Line "&amp;'22-NUCs'!A17&amp;""</f>
        <v>22-NUCs, Line 9</v>
      </c>
      <c r="I25" s="14"/>
      <c r="J25" s="65">
        <f>-'22-NUCs'!E17</f>
        <v>-24908248.52</v>
      </c>
    </row>
    <row r="26" spans="1:10" x14ac:dyDescent="0.2">
      <c r="A26" s="115" t="s">
        <v>912</v>
      </c>
      <c r="B26" s="14"/>
      <c r="C26" s="698" t="s">
        <v>2708</v>
      </c>
      <c r="D26" s="14"/>
      <c r="E26" s="14"/>
      <c r="F26" s="14"/>
      <c r="G26" s="14"/>
      <c r="H26" s="15" t="str">
        <f>"34-UnfundedReserves, Line "&amp;'34-UnfundedReserves'!A10&amp;""</f>
        <v>34-UnfundedReserves, Line 7</v>
      </c>
      <c r="I26" s="14"/>
      <c r="J26" s="65">
        <f>'34-UnfundedReserves'!K10</f>
        <v>-9620800.9629024342</v>
      </c>
    </row>
    <row r="27" spans="1:10" x14ac:dyDescent="0.2">
      <c r="A27" s="115">
        <v>16</v>
      </c>
      <c r="B27" s="14"/>
      <c r="C27" s="1017" t="s">
        <v>407</v>
      </c>
      <c r="D27" s="14"/>
      <c r="E27" s="14"/>
      <c r="F27" s="14" t="s">
        <v>173</v>
      </c>
      <c r="G27" s="14"/>
      <c r="H27" s="114" t="str">
        <f>"23-RegAssets, Line "&amp;'23-RegAssets'!A18&amp;""</f>
        <v>23-RegAssets, Line 15</v>
      </c>
      <c r="I27" s="14"/>
      <c r="J27" s="65">
        <f>'23-RegAssets'!E18</f>
        <v>0</v>
      </c>
    </row>
    <row r="28" spans="1:10" x14ac:dyDescent="0.2">
      <c r="A28" s="115"/>
      <c r="B28" s="14"/>
      <c r="C28" s="1017"/>
      <c r="D28" s="14"/>
      <c r="E28" s="14"/>
      <c r="F28" s="14"/>
      <c r="G28" s="14"/>
      <c r="H28" s="14"/>
      <c r="I28" s="14"/>
      <c r="J28" s="14"/>
    </row>
    <row r="29" spans="1:10" x14ac:dyDescent="0.2">
      <c r="A29" s="115">
        <v>17</v>
      </c>
      <c r="B29" s="14"/>
      <c r="C29" s="14" t="s">
        <v>201</v>
      </c>
      <c r="D29" s="14"/>
      <c r="E29" s="14"/>
      <c r="F29" s="14"/>
      <c r="G29" s="14"/>
      <c r="H29" s="14" t="str">
        <f>"L"&amp;A6&amp;"+L"&amp;A7&amp;"+L"&amp;A8&amp;"+L"&amp;A9&amp;"+L"&amp;A15&amp;"+L"&amp;A21&amp;"+"</f>
        <v>L1+L2+L3+L4+L8+L12+</v>
      </c>
      <c r="I29" s="14"/>
      <c r="J29" s="65">
        <f>J6+ J7+J8+J9+J15+J21+J23+J24+J25+J26+J27</f>
        <v>2789050550.8334966</v>
      </c>
    </row>
    <row r="30" spans="1:10" x14ac:dyDescent="0.2">
      <c r="A30" s="115"/>
      <c r="B30" s="14"/>
      <c r="C30" s="14"/>
      <c r="D30" s="14"/>
      <c r="E30" s="14"/>
      <c r="F30" s="14"/>
      <c r="G30" s="14"/>
      <c r="H30" s="14" t="str">
        <f>"L"&amp;A23&amp;"+L"&amp;A24&amp;"+L"&amp;A25&amp;"+L"&amp;A26&amp;"+L"&amp;A27&amp;""</f>
        <v>L13+L14+L15+L15a+L16</v>
      </c>
      <c r="I30" s="14"/>
      <c r="J30" s="65"/>
    </row>
    <row r="31" spans="1:10" x14ac:dyDescent="0.2">
      <c r="A31" s="115"/>
      <c r="B31" s="14"/>
      <c r="C31" s="45" t="s">
        <v>96</v>
      </c>
      <c r="D31" s="14"/>
      <c r="E31" s="14"/>
      <c r="F31" s="14"/>
      <c r="G31" s="14"/>
      <c r="H31" s="14"/>
      <c r="I31" s="14"/>
      <c r="J31" s="65"/>
    </row>
    <row r="32" spans="1:10" x14ac:dyDescent="0.2">
      <c r="A32" s="784" t="s">
        <v>359</v>
      </c>
      <c r="B32" s="14"/>
      <c r="C32" s="45"/>
      <c r="D32" s="14"/>
      <c r="E32" s="14"/>
      <c r="F32" s="14"/>
      <c r="G32" s="14"/>
      <c r="H32" s="14"/>
      <c r="I32" s="14"/>
      <c r="J32" s="65"/>
    </row>
    <row r="33" spans="1:10" x14ac:dyDescent="0.2">
      <c r="A33" s="115">
        <f>A29+1</f>
        <v>18</v>
      </c>
      <c r="B33" s="14"/>
      <c r="C33" s="14" t="s">
        <v>62</v>
      </c>
      <c r="D33" s="14"/>
      <c r="E33" s="14"/>
      <c r="F33" s="14"/>
      <c r="G33" s="628" t="s">
        <v>2482</v>
      </c>
      <c r="H33" s="628" t="str">
        <f>"Instruction 1, Line "&amp;B97&amp;""</f>
        <v>Instruction 1, Line j</v>
      </c>
      <c r="I33" s="14"/>
      <c r="J33" s="467">
        <f>E97</f>
        <v>7.6582922987882468E-2</v>
      </c>
    </row>
    <row r="34" spans="1:10" x14ac:dyDescent="0.2">
      <c r="A34" s="115">
        <f>A33+1</f>
        <v>19</v>
      </c>
      <c r="B34" s="14"/>
      <c r="C34" s="15" t="s">
        <v>63</v>
      </c>
      <c r="D34" s="15"/>
      <c r="E34" s="15"/>
      <c r="F34" s="15"/>
      <c r="G34" s="15"/>
      <c r="H34" s="14" t="str">
        <f>"Line "&amp;A29&amp;" * Line "&amp;A33&amp;""</f>
        <v>Line 17 * Line 18</v>
      </c>
      <c r="I34" s="14"/>
      <c r="J34" s="48">
        <f>J29*J33</f>
        <v>213593643.54379284</v>
      </c>
    </row>
    <row r="35" spans="1:10" x14ac:dyDescent="0.2">
      <c r="A35" s="2"/>
      <c r="B35" s="16"/>
    </row>
    <row r="36" spans="1:10" x14ac:dyDescent="0.2">
      <c r="A36" s="115"/>
      <c r="B36" s="118"/>
      <c r="C36" s="45" t="s">
        <v>97</v>
      </c>
      <c r="D36" s="14"/>
      <c r="E36" s="14"/>
      <c r="F36" s="14"/>
      <c r="G36" s="14"/>
      <c r="H36" s="14"/>
      <c r="I36" s="14"/>
      <c r="J36" s="14"/>
    </row>
    <row r="37" spans="1:10" x14ac:dyDescent="0.2">
      <c r="A37" s="115"/>
      <c r="B37" s="118"/>
      <c r="C37" s="14"/>
      <c r="D37" s="14"/>
      <c r="E37" s="14"/>
      <c r="F37" s="14"/>
      <c r="G37" s="14"/>
      <c r="H37" s="14"/>
      <c r="I37" s="14"/>
      <c r="J37" s="14"/>
    </row>
    <row r="38" spans="1:10" x14ac:dyDescent="0.2">
      <c r="A38" s="115">
        <f>A34+1</f>
        <v>20</v>
      </c>
      <c r="B38" s="14"/>
      <c r="C38" s="628" t="s">
        <v>2871</v>
      </c>
      <c r="D38" s="14"/>
      <c r="E38" s="14"/>
      <c r="F38" s="14"/>
      <c r="G38" s="14"/>
      <c r="H38" s="14"/>
      <c r="I38" s="14"/>
      <c r="J38" s="65">
        <f>(((J29*J42) + J45) *(J43/(1-J43)))+(J44/(1-J43))</f>
        <v>103977020.17776352</v>
      </c>
    </row>
    <row r="39" spans="1:10" x14ac:dyDescent="0.2">
      <c r="A39" s="115"/>
      <c r="B39" s="14"/>
      <c r="C39" s="14"/>
      <c r="D39" s="14"/>
      <c r="E39" s="14"/>
      <c r="F39" s="14"/>
      <c r="G39" s="14"/>
      <c r="H39" s="14"/>
      <c r="I39" s="14"/>
      <c r="J39" s="15"/>
    </row>
    <row r="40" spans="1:10" x14ac:dyDescent="0.2">
      <c r="A40" s="115"/>
      <c r="B40" s="14"/>
      <c r="C40" s="14"/>
      <c r="D40" s="14" t="s">
        <v>249</v>
      </c>
      <c r="E40" s="14"/>
      <c r="F40" s="14"/>
      <c r="G40" s="14"/>
      <c r="H40" s="14"/>
      <c r="I40" s="14"/>
      <c r="J40" s="14"/>
    </row>
    <row r="41" spans="1:10" x14ac:dyDescent="0.2">
      <c r="A41" s="115">
        <f>A38+1</f>
        <v>21</v>
      </c>
      <c r="B41" s="14"/>
      <c r="C41" s="14"/>
      <c r="D41" s="118" t="s">
        <v>250</v>
      </c>
      <c r="E41" s="14"/>
      <c r="F41" s="14"/>
      <c r="G41" s="14"/>
      <c r="H41" s="14" t="str">
        <f>"Line "&amp;A29&amp;""</f>
        <v>Line 17</v>
      </c>
      <c r="I41" s="14"/>
      <c r="J41" s="65">
        <f>J29</f>
        <v>2789050550.8334966</v>
      </c>
    </row>
    <row r="42" spans="1:10" x14ac:dyDescent="0.2">
      <c r="A42" s="115">
        <f>A41+1</f>
        <v>22</v>
      </c>
      <c r="B42" s="14"/>
      <c r="C42" s="14"/>
      <c r="D42" s="625" t="s">
        <v>2242</v>
      </c>
      <c r="E42" s="14"/>
      <c r="F42" s="14"/>
      <c r="G42" s="628" t="s">
        <v>2203</v>
      </c>
      <c r="H42" s="628" t="str">
        <f>"Instruction 1, Line "&amp;B102&amp;""</f>
        <v>Instruction 1, Line k</v>
      </c>
      <c r="I42" s="14"/>
      <c r="J42" s="69">
        <f>E102</f>
        <v>5.1357846808345091E-2</v>
      </c>
    </row>
    <row r="43" spans="1:10" x14ac:dyDescent="0.2">
      <c r="A43" s="115">
        <f>A42+1</f>
        <v>23</v>
      </c>
      <c r="B43" s="14"/>
      <c r="C43" s="14"/>
      <c r="D43" s="118" t="s">
        <v>251</v>
      </c>
      <c r="E43" s="14"/>
      <c r="F43" s="14"/>
      <c r="G43" s="14"/>
      <c r="H43" s="14" t="str">
        <f>"1-Base TRR L "&amp;'1-BaseTRR'!A102&amp;""</f>
        <v>1-Base TRR L 58</v>
      </c>
      <c r="I43" s="14"/>
      <c r="J43" s="69">
        <f>'1-BaseTRR'!K102</f>
        <v>0.40886310376909896</v>
      </c>
    </row>
    <row r="44" spans="1:10" x14ac:dyDescent="0.2">
      <c r="A44" s="115">
        <f>A43+1</f>
        <v>24</v>
      </c>
      <c r="B44" s="14"/>
      <c r="C44" s="14"/>
      <c r="D44" s="118" t="s">
        <v>252</v>
      </c>
      <c r="E44" s="14"/>
      <c r="F44" s="14"/>
      <c r="G44" s="14"/>
      <c r="H44" s="14" t="str">
        <f>"1-Base TRR L "&amp;'1-BaseTRR'!A108&amp;""</f>
        <v>1-Base TRR L 62</v>
      </c>
      <c r="I44" s="14"/>
      <c r="J44" s="65">
        <f>'1-BaseTRR'!K108</f>
        <v>2086200</v>
      </c>
    </row>
    <row r="45" spans="1:10" x14ac:dyDescent="0.2">
      <c r="A45" s="115">
        <f>A44+1</f>
        <v>25</v>
      </c>
      <c r="B45" s="14"/>
      <c r="C45" s="14"/>
      <c r="D45" s="118" t="s">
        <v>2238</v>
      </c>
      <c r="E45" s="14"/>
      <c r="F45" s="14"/>
      <c r="G45" s="14"/>
      <c r="H45" s="14" t="str">
        <f>"1-Base TRR L "&amp;'1-BaseTRR'!A112&amp;""</f>
        <v>1-Base TRR L 64</v>
      </c>
      <c r="I45" s="14"/>
      <c r="J45" s="687">
        <f>'1-BaseTRR'!K119</f>
        <v>1988570</v>
      </c>
    </row>
    <row r="46" spans="1:10" x14ac:dyDescent="0.2">
      <c r="A46" s="115"/>
      <c r="B46" s="118"/>
      <c r="C46" s="14"/>
      <c r="D46" s="14"/>
      <c r="E46" s="14"/>
      <c r="F46" s="14"/>
      <c r="G46" s="14"/>
      <c r="H46" s="14"/>
      <c r="I46" s="14"/>
      <c r="J46" s="14"/>
    </row>
    <row r="47" spans="1:10" x14ac:dyDescent="0.2">
      <c r="A47" s="115"/>
      <c r="B47" s="118"/>
      <c r="C47" s="45" t="s">
        <v>1923</v>
      </c>
      <c r="D47" s="14"/>
      <c r="E47" s="14"/>
      <c r="F47" s="14"/>
      <c r="G47" s="14"/>
      <c r="H47" s="14"/>
      <c r="I47" s="14"/>
      <c r="J47" s="14"/>
    </row>
    <row r="48" spans="1:10" x14ac:dyDescent="0.2">
      <c r="A48" s="115">
        <f>A45+1</f>
        <v>26</v>
      </c>
      <c r="B48" s="118"/>
      <c r="C48" s="14" t="s">
        <v>113</v>
      </c>
      <c r="D48" s="14"/>
      <c r="E48" s="14"/>
      <c r="F48" s="14"/>
      <c r="G48" s="14"/>
      <c r="H48" s="14" t="str">
        <f>"1-Base TRR L "&amp;'1-BaseTRR'!A124&amp;""</f>
        <v>1-Base TRR L 65</v>
      </c>
      <c r="I48" s="14"/>
      <c r="J48" s="65">
        <f>'1-BaseTRR'!K124</f>
        <v>79741212.482255787</v>
      </c>
    </row>
    <row r="49" spans="1:10" x14ac:dyDescent="0.2">
      <c r="A49" s="115">
        <f t="shared" ref="A49:A59" si="0">A48+1</f>
        <v>27</v>
      </c>
      <c r="B49" s="118"/>
      <c r="C49" s="15" t="s">
        <v>299</v>
      </c>
      <c r="D49" s="14"/>
      <c r="E49" s="14"/>
      <c r="F49" s="14"/>
      <c r="G49" s="14"/>
      <c r="H49" s="14" t="str">
        <f>"1-Base TRR L "&amp;'1-BaseTRR'!A125&amp;""</f>
        <v>1-Base TRR L 66</v>
      </c>
      <c r="I49" s="14"/>
      <c r="J49" s="65">
        <f>'1-BaseTRR'!K125</f>
        <v>36795248.864036329</v>
      </c>
    </row>
    <row r="50" spans="1:10" x14ac:dyDescent="0.2">
      <c r="A50" s="115">
        <f t="shared" si="0"/>
        <v>28</v>
      </c>
      <c r="B50" s="118"/>
      <c r="C50" s="14" t="s">
        <v>65</v>
      </c>
      <c r="D50" s="14"/>
      <c r="E50" s="14"/>
      <c r="F50" s="14"/>
      <c r="G50" s="14"/>
      <c r="H50" s="14" t="str">
        <f>"1-Base TRR L "&amp;'1-BaseTRR'!A126&amp;""</f>
        <v>1-Base TRR L 67</v>
      </c>
      <c r="I50" s="14"/>
      <c r="J50" s="65">
        <f>'1-BaseTRR'!K126</f>
        <v>1275701.3</v>
      </c>
    </row>
    <row r="51" spans="1:10" x14ac:dyDescent="0.2">
      <c r="A51" s="115">
        <f t="shared" si="0"/>
        <v>29</v>
      </c>
      <c r="B51" s="118"/>
      <c r="C51" s="15" t="s">
        <v>285</v>
      </c>
      <c r="D51" s="14"/>
      <c r="E51" s="14"/>
      <c r="F51" s="14"/>
      <c r="G51" s="14"/>
      <c r="H51" s="14" t="str">
        <f>"1-Base TRR L "&amp;'1-BaseTRR'!A127&amp;""</f>
        <v>1-Base TRR L 68</v>
      </c>
      <c r="I51" s="14"/>
      <c r="J51" s="65">
        <f>'1-BaseTRR'!K127</f>
        <v>94491327.689588651</v>
      </c>
    </row>
    <row r="52" spans="1:10" x14ac:dyDescent="0.2">
      <c r="A52" s="115">
        <f t="shared" si="0"/>
        <v>30</v>
      </c>
      <c r="B52" s="118"/>
      <c r="C52" s="15" t="s">
        <v>331</v>
      </c>
      <c r="D52" s="14"/>
      <c r="E52" s="14"/>
      <c r="F52" s="14"/>
      <c r="G52" s="14"/>
      <c r="H52" s="14" t="str">
        <f>"1-Base TRR L "&amp;'1-BaseTRR'!A128&amp;""</f>
        <v>1-Base TRR L 69</v>
      </c>
      <c r="I52" s="14"/>
      <c r="J52" s="65">
        <f>'1-BaseTRR'!K128</f>
        <v>0</v>
      </c>
    </row>
    <row r="53" spans="1:10" x14ac:dyDescent="0.2">
      <c r="A53" s="115">
        <f t="shared" si="0"/>
        <v>31</v>
      </c>
      <c r="B53" s="118"/>
      <c r="C53" s="15" t="s">
        <v>89</v>
      </c>
      <c r="D53" s="14"/>
      <c r="E53" s="14"/>
      <c r="F53" s="14"/>
      <c r="G53" s="14"/>
      <c r="H53" s="14" t="str">
        <f>"1-Base TRR L "&amp;'1-BaseTRR'!A129&amp;""</f>
        <v>1-Base TRR L 70</v>
      </c>
      <c r="I53" s="14"/>
      <c r="J53" s="65">
        <f>'1-BaseTRR'!K129</f>
        <v>21935360.181251455</v>
      </c>
    </row>
    <row r="54" spans="1:10" x14ac:dyDescent="0.2">
      <c r="A54" s="115">
        <f t="shared" si="0"/>
        <v>32</v>
      </c>
      <c r="B54" s="118"/>
      <c r="C54" s="14" t="s">
        <v>11</v>
      </c>
      <c r="D54" s="14"/>
      <c r="E54" s="14"/>
      <c r="F54" s="14"/>
      <c r="G54" s="15"/>
      <c r="H54" s="14" t="str">
        <f>"1-Base TRR L "&amp;'1-BaseTRR'!A130&amp;""</f>
        <v>1-Base TRR L 71</v>
      </c>
      <c r="I54" s="14"/>
      <c r="J54" s="65">
        <f>'1-BaseTRR'!K130</f>
        <v>-42691158.31862767</v>
      </c>
    </row>
    <row r="55" spans="1:10" x14ac:dyDescent="0.2">
      <c r="A55" s="115">
        <f t="shared" si="0"/>
        <v>33</v>
      </c>
      <c r="B55" s="118"/>
      <c r="C55" s="14" t="s">
        <v>98</v>
      </c>
      <c r="D55" s="14"/>
      <c r="E55" s="14"/>
      <c r="F55" s="14"/>
      <c r="G55" s="14"/>
      <c r="H55" s="14" t="str">
        <f>"Line "&amp;A34&amp;""</f>
        <v>Line 19</v>
      </c>
      <c r="I55" s="14"/>
      <c r="J55" s="65">
        <f>J34</f>
        <v>213593643.54379284</v>
      </c>
    </row>
    <row r="56" spans="1:10" x14ac:dyDescent="0.2">
      <c r="A56" s="115">
        <f t="shared" si="0"/>
        <v>34</v>
      </c>
      <c r="B56" s="118"/>
      <c r="C56" s="14" t="s">
        <v>5</v>
      </c>
      <c r="D56" s="14"/>
      <c r="E56" s="14"/>
      <c r="F56" s="14"/>
      <c r="G56" s="14"/>
      <c r="H56" s="14" t="str">
        <f>"Line "&amp;A38&amp;""</f>
        <v>Line 20</v>
      </c>
      <c r="I56" s="14"/>
      <c r="J56" s="48">
        <f>J38</f>
        <v>103977020.17776352</v>
      </c>
    </row>
    <row r="57" spans="1:10" x14ac:dyDescent="0.2">
      <c r="A57" s="115">
        <f t="shared" si="0"/>
        <v>35</v>
      </c>
      <c r="B57" s="118"/>
      <c r="C57" s="15" t="s">
        <v>402</v>
      </c>
      <c r="D57" s="14"/>
      <c r="E57" s="14"/>
      <c r="F57" s="14"/>
      <c r="G57" s="14"/>
      <c r="H57" s="14" t="str">
        <f>"1-Base TRR L "&amp;'1-BaseTRR'!A133&amp;""</f>
        <v>1-Base TRR L 74</v>
      </c>
      <c r="I57" s="14"/>
      <c r="J57" s="48">
        <f>'1-BaseTRR'!K133</f>
        <v>-9724</v>
      </c>
    </row>
    <row r="58" spans="1:10" x14ac:dyDescent="0.2">
      <c r="A58" s="115">
        <f t="shared" si="0"/>
        <v>36</v>
      </c>
      <c r="B58" s="118"/>
      <c r="C58" s="827" t="s">
        <v>2221</v>
      </c>
      <c r="D58" s="971"/>
      <c r="E58" s="14"/>
      <c r="F58" s="14"/>
      <c r="G58" s="14"/>
      <c r="H58" s="14" t="str">
        <f>"1-Base TRR L "&amp;'1-BaseTRR'!A134&amp;""</f>
        <v>1-Base TRR L 75</v>
      </c>
      <c r="I58" s="14"/>
      <c r="J58" s="106">
        <f>'1-BaseTRR'!K134</f>
        <v>0</v>
      </c>
    </row>
    <row r="59" spans="1:10" x14ac:dyDescent="0.2">
      <c r="A59" s="115">
        <f t="shared" si="0"/>
        <v>37</v>
      </c>
      <c r="B59" s="118"/>
      <c r="C59" s="628" t="s">
        <v>1924</v>
      </c>
      <c r="D59" s="14"/>
      <c r="E59" s="14"/>
      <c r="F59" s="14"/>
      <c r="G59" s="14"/>
      <c r="H59" s="14" t="str">
        <f>"Sum Line "&amp;A48&amp;" to Line "&amp;A58&amp;""</f>
        <v>Sum Line 26 to Line 36</v>
      </c>
      <c r="I59" s="14"/>
      <c r="J59" s="65">
        <f>SUM(J48:J58)</f>
        <v>509108631.92006093</v>
      </c>
    </row>
    <row r="60" spans="1:10" x14ac:dyDescent="0.2">
      <c r="A60" s="115"/>
      <c r="B60" s="118"/>
      <c r="C60" s="14"/>
      <c r="D60" s="14"/>
      <c r="E60" s="14"/>
      <c r="F60" s="14"/>
      <c r="G60" s="14"/>
      <c r="H60" s="14"/>
      <c r="I60" s="14"/>
      <c r="J60" s="65"/>
    </row>
    <row r="61" spans="1:10" ht="12.75" customHeight="1" x14ac:dyDescent="0.2">
      <c r="A61" s="115">
        <f>A59+1</f>
        <v>38</v>
      </c>
      <c r="B61" s="118"/>
      <c r="C61" s="628" t="s">
        <v>1868</v>
      </c>
      <c r="D61" s="14"/>
      <c r="E61" s="14"/>
      <c r="F61" s="14"/>
      <c r="G61" s="14"/>
      <c r="H61" s="14" t="str">
        <f>"15-IncentiveAdder L "&amp;'15-IncentiveAdder'!A59&amp;""</f>
        <v>15-IncentiveAdder L 20</v>
      </c>
      <c r="I61" s="14"/>
      <c r="J61" s="65">
        <f>'15-IncentiveAdder'!G59</f>
        <v>13940912.036612304</v>
      </c>
    </row>
    <row r="62" spans="1:10" x14ac:dyDescent="0.2">
      <c r="A62" s="115"/>
      <c r="B62" s="118"/>
      <c r="C62" s="15"/>
      <c r="D62" s="14"/>
      <c r="E62" s="14"/>
      <c r="F62" s="14"/>
      <c r="G62" s="14"/>
      <c r="H62" s="14"/>
      <c r="I62" s="14"/>
      <c r="J62" s="65"/>
    </row>
    <row r="63" spans="1:10" x14ac:dyDescent="0.2">
      <c r="A63" s="115">
        <f>A61+1</f>
        <v>39</v>
      </c>
      <c r="B63" s="118"/>
      <c r="C63" s="628" t="s">
        <v>2881</v>
      </c>
      <c r="D63" s="14"/>
      <c r="E63" s="14"/>
      <c r="F63" s="14"/>
      <c r="G63" s="14"/>
      <c r="H63" s="14" t="str">
        <f>"Line "&amp;A59&amp;" + Line "&amp;A61&amp;""</f>
        <v>Line 37 + Line 38</v>
      </c>
      <c r="I63" s="14"/>
      <c r="J63" s="65">
        <f>J59+J61</f>
        <v>523049543.95667326</v>
      </c>
    </row>
    <row r="64" spans="1:10" x14ac:dyDescent="0.2">
      <c r="A64" s="115"/>
      <c r="B64" s="118"/>
      <c r="C64" s="15"/>
      <c r="D64" s="14"/>
      <c r="E64" s="14"/>
      <c r="F64" s="14"/>
      <c r="G64" s="14"/>
      <c r="H64" s="14"/>
      <c r="I64" s="14"/>
      <c r="J64" s="65"/>
    </row>
    <row r="65" spans="1:10" x14ac:dyDescent="0.2">
      <c r="A65" s="115"/>
      <c r="B65" s="426" t="s">
        <v>2234</v>
      </c>
      <c r="C65" s="15"/>
      <c r="D65" s="14"/>
      <c r="E65" s="14"/>
      <c r="F65" s="14"/>
      <c r="G65" s="14"/>
      <c r="H65" s="14"/>
      <c r="I65" s="14"/>
      <c r="J65" s="65"/>
    </row>
    <row r="66" spans="1:10" x14ac:dyDescent="0.2">
      <c r="A66" s="55" t="s">
        <v>359</v>
      </c>
      <c r="B66" s="67"/>
      <c r="G66" s="53" t="s">
        <v>1282</v>
      </c>
    </row>
    <row r="67" spans="1:10" x14ac:dyDescent="0.2">
      <c r="A67" s="115">
        <f>A63+1</f>
        <v>40</v>
      </c>
      <c r="B67" s="1017"/>
      <c r="C67" s="14"/>
      <c r="D67" s="1021" t="s">
        <v>1925</v>
      </c>
      <c r="E67" s="65">
        <f>J63</f>
        <v>523049543.95667326</v>
      </c>
      <c r="F67" s="14"/>
      <c r="G67" s="14" t="str">
        <f>"Line "&amp;A63&amp;""</f>
        <v>Line 39</v>
      </c>
      <c r="H67" s="14"/>
      <c r="I67" s="14"/>
      <c r="J67" s="14"/>
    </row>
    <row r="68" spans="1:10" x14ac:dyDescent="0.2">
      <c r="A68" s="115">
        <f>A67+1</f>
        <v>41</v>
      </c>
      <c r="B68" s="1017"/>
      <c r="C68" s="14"/>
      <c r="D68" s="381" t="s">
        <v>1281</v>
      </c>
      <c r="E68" s="1023">
        <f>'28-FFU'!D22</f>
        <v>9.1388000000000007E-3</v>
      </c>
      <c r="F68" s="14"/>
      <c r="G68" s="14" t="str">
        <f>"28-FFU, L "&amp;'28-FFU'!A22&amp;""</f>
        <v>28-FFU, L 5</v>
      </c>
      <c r="H68" s="14"/>
      <c r="I68" s="14"/>
      <c r="J68" s="14"/>
    </row>
    <row r="69" spans="1:10" x14ac:dyDescent="0.2">
      <c r="A69" s="115">
        <f>A68+1</f>
        <v>42</v>
      </c>
      <c r="B69" s="1017"/>
      <c r="C69" s="14"/>
      <c r="D69" s="81" t="s">
        <v>266</v>
      </c>
      <c r="E69" s="65">
        <f>E67*'28-FFU'!D22</f>
        <v>4780045.1723112464</v>
      </c>
      <c r="F69" s="14"/>
      <c r="G69" s="14" t="str">
        <f>"Line "&amp;A67&amp;" * Line "&amp;A68&amp;""</f>
        <v>Line 40 * Line 41</v>
      </c>
      <c r="H69" s="14"/>
      <c r="I69" s="14"/>
      <c r="J69" s="14"/>
    </row>
    <row r="70" spans="1:10" x14ac:dyDescent="0.2">
      <c r="A70" s="115">
        <f>A69+1</f>
        <v>43</v>
      </c>
      <c r="B70" s="1017"/>
      <c r="C70" s="14"/>
      <c r="D70" s="1021" t="s">
        <v>2235</v>
      </c>
      <c r="E70" s="1023">
        <f>'28-FFU'!E22</f>
        <v>2.4058E-3</v>
      </c>
      <c r="F70" s="14"/>
      <c r="G70" s="14" t="str">
        <f>"28-FFU, L "&amp;'28-FFU'!A22&amp;""</f>
        <v>28-FFU, L 5</v>
      </c>
      <c r="H70" s="14"/>
      <c r="I70" s="14"/>
      <c r="J70" s="14"/>
    </row>
    <row r="71" spans="1:10" x14ac:dyDescent="0.2">
      <c r="A71" s="115">
        <f>A70+1</f>
        <v>44</v>
      </c>
      <c r="B71" s="1017"/>
      <c r="C71" s="14"/>
      <c r="D71" s="1021" t="s">
        <v>1759</v>
      </c>
      <c r="E71" s="65">
        <f>E67*'28-FFU'!E22</f>
        <v>1258352.5928509645</v>
      </c>
      <c r="F71" s="14"/>
      <c r="G71" s="14" t="str">
        <f>"Line "&amp;A69&amp;" * Line "&amp;A70&amp;""</f>
        <v>Line 42 * Line 43</v>
      </c>
      <c r="H71" s="14"/>
      <c r="I71" s="14"/>
      <c r="J71" s="14"/>
    </row>
    <row r="72" spans="1:10" x14ac:dyDescent="0.2">
      <c r="A72" s="115">
        <f>A71+1</f>
        <v>45</v>
      </c>
      <c r="B72" s="1017"/>
      <c r="C72" s="14"/>
      <c r="D72" s="1021" t="s">
        <v>1926</v>
      </c>
      <c r="E72" s="65">
        <f>E67+E69+E71</f>
        <v>529087941.72183549</v>
      </c>
      <c r="F72" s="14"/>
      <c r="G72" s="14" t="str">
        <f>"L "&amp;A67&amp;" + L "&amp;A69&amp;" + L "&amp;A71&amp;""</f>
        <v>L 40 + L 42 + L 44</v>
      </c>
      <c r="H72" s="14"/>
      <c r="I72" s="14"/>
      <c r="J72" s="14"/>
    </row>
    <row r="73" spans="1:10" x14ac:dyDescent="0.2">
      <c r="A73" s="14"/>
      <c r="B73" s="1038" t="s">
        <v>429</v>
      </c>
      <c r="C73" s="14"/>
      <c r="D73" s="81"/>
      <c r="E73" s="65"/>
      <c r="F73" s="14"/>
      <c r="G73" s="14"/>
      <c r="H73" s="847"/>
      <c r="I73" s="14"/>
      <c r="J73" s="14"/>
    </row>
    <row r="74" spans="1:10" x14ac:dyDescent="0.2">
      <c r="A74" s="115"/>
      <c r="B74" s="628" t="s">
        <v>2204</v>
      </c>
      <c r="C74" s="426"/>
      <c r="D74" s="81"/>
      <c r="E74" s="65"/>
      <c r="F74" s="14"/>
      <c r="G74" s="14"/>
      <c r="H74" s="14"/>
      <c r="I74" s="14"/>
      <c r="J74" s="14"/>
    </row>
    <row r="75" spans="1:10" x14ac:dyDescent="0.2">
      <c r="A75" s="115"/>
      <c r="B75" s="628" t="s">
        <v>2205</v>
      </c>
      <c r="C75" s="426"/>
      <c r="D75" s="81"/>
      <c r="E75" s="65"/>
      <c r="F75" s="14"/>
      <c r="G75" s="14"/>
      <c r="H75" s="14"/>
      <c r="I75" s="14"/>
      <c r="J75" s="14"/>
    </row>
    <row r="76" spans="1:10" x14ac:dyDescent="0.2">
      <c r="A76" s="115"/>
      <c r="B76" s="698" t="s">
        <v>2206</v>
      </c>
      <c r="C76" s="15"/>
      <c r="D76" s="81"/>
      <c r="E76" s="65"/>
      <c r="F76" s="14"/>
      <c r="G76" s="14"/>
      <c r="H76" s="14"/>
      <c r="I76" s="14"/>
      <c r="J76" s="14"/>
    </row>
    <row r="77" spans="1:10" x14ac:dyDescent="0.2">
      <c r="A77" s="115"/>
      <c r="B77" s="698" t="s">
        <v>2274</v>
      </c>
      <c r="C77" s="14"/>
      <c r="D77" s="81"/>
      <c r="E77" s="65"/>
      <c r="F77" s="14"/>
      <c r="G77" s="14"/>
      <c r="H77" s="14"/>
      <c r="I77" s="14"/>
      <c r="J77" s="14"/>
    </row>
    <row r="78" spans="1:10" x14ac:dyDescent="0.2">
      <c r="A78" s="115"/>
      <c r="B78" s="14"/>
      <c r="C78" s="14"/>
      <c r="D78" s="14"/>
      <c r="E78" s="14"/>
      <c r="F78" s="14"/>
      <c r="G78" s="14"/>
      <c r="H78" s="14"/>
      <c r="I78" s="14"/>
      <c r="J78" s="14"/>
    </row>
    <row r="79" spans="1:10" x14ac:dyDescent="0.2">
      <c r="A79" s="115"/>
      <c r="B79" s="628" t="s">
        <v>2477</v>
      </c>
      <c r="C79" s="14"/>
      <c r="D79" s="14"/>
      <c r="E79" s="14"/>
      <c r="F79" s="14"/>
      <c r="G79" s="14"/>
      <c r="H79" s="14"/>
      <c r="I79" s="14"/>
      <c r="J79" s="14"/>
    </row>
    <row r="80" spans="1:10" x14ac:dyDescent="0.2">
      <c r="A80" s="115"/>
      <c r="B80" s="628"/>
      <c r="C80" s="628" t="s">
        <v>2483</v>
      </c>
      <c r="D80" s="14"/>
      <c r="E80" s="14"/>
      <c r="F80" s="14"/>
      <c r="G80" s="14"/>
      <c r="H80" s="14"/>
      <c r="I80" s="14"/>
      <c r="J80" s="14"/>
    </row>
    <row r="81" spans="1:12" x14ac:dyDescent="0.2">
      <c r="A81" s="115"/>
      <c r="B81" s="628"/>
      <c r="C81" s="14"/>
      <c r="D81" s="14"/>
      <c r="E81" s="14"/>
      <c r="F81" s="14"/>
      <c r="G81" s="14"/>
      <c r="H81" s="14"/>
      <c r="I81" s="14"/>
      <c r="J81" s="115" t="s">
        <v>2474</v>
      </c>
    </row>
    <row r="82" spans="1:12" x14ac:dyDescent="0.2">
      <c r="A82" s="115"/>
      <c r="B82" s="14"/>
      <c r="C82" s="14"/>
      <c r="D82" s="14"/>
      <c r="E82" s="129" t="s">
        <v>1750</v>
      </c>
      <c r="F82" s="1036" t="s">
        <v>1282</v>
      </c>
      <c r="G82" s="129" t="s">
        <v>267</v>
      </c>
      <c r="H82" s="129" t="s">
        <v>268</v>
      </c>
      <c r="I82" s="14"/>
      <c r="J82" s="129" t="s">
        <v>2473</v>
      </c>
    </row>
    <row r="83" spans="1:12" x14ac:dyDescent="0.2">
      <c r="B83" s="1040" t="s">
        <v>2185</v>
      </c>
      <c r="C83" s="628" t="s">
        <v>2472</v>
      </c>
      <c r="D83" s="14"/>
      <c r="E83" s="80">
        <f>'1-BaseTRR'!K85</f>
        <v>9.8000000000000004E-2</v>
      </c>
      <c r="F83" s="14" t="str">
        <f>"1-Base TRR L "&amp;'1-BaseTRR'!A85&amp;""</f>
        <v>1-Base TRR L 49</v>
      </c>
      <c r="G83" s="844" t="s">
        <v>2891</v>
      </c>
      <c r="H83" s="756" t="s">
        <v>2892</v>
      </c>
      <c r="I83" s="15"/>
      <c r="J83" s="120">
        <v>365</v>
      </c>
      <c r="K83" s="15"/>
      <c r="L83" s="15"/>
    </row>
    <row r="84" spans="1:12" x14ac:dyDescent="0.2">
      <c r="B84" s="1040" t="s">
        <v>2186</v>
      </c>
      <c r="C84" s="628" t="s">
        <v>2500</v>
      </c>
      <c r="D84" s="14"/>
      <c r="E84" s="1190">
        <v>9.8000000000000004E-2</v>
      </c>
      <c r="F84" s="1039" t="s">
        <v>2476</v>
      </c>
      <c r="G84" s="756" t="s">
        <v>2893</v>
      </c>
      <c r="H84" s="756" t="s">
        <v>2893</v>
      </c>
      <c r="I84" s="15"/>
      <c r="J84" s="120"/>
      <c r="K84" s="15"/>
      <c r="L84" s="15"/>
    </row>
    <row r="85" spans="1:12" x14ac:dyDescent="0.2">
      <c r="B85" s="1040" t="s">
        <v>2187</v>
      </c>
      <c r="C85" s="628"/>
      <c r="D85" s="14"/>
      <c r="E85" s="1041"/>
      <c r="F85" s="1039"/>
      <c r="G85" s="757"/>
      <c r="H85" s="757"/>
      <c r="I85" s="1021" t="s">
        <v>2770</v>
      </c>
      <c r="J85" s="15">
        <f>SUM(J83:J84)</f>
        <v>365</v>
      </c>
      <c r="K85" s="15"/>
      <c r="L85" s="15"/>
    </row>
    <row r="86" spans="1:12" x14ac:dyDescent="0.2">
      <c r="A86" s="14"/>
      <c r="B86" s="1040" t="s">
        <v>2188</v>
      </c>
      <c r="C86" s="628" t="s">
        <v>2485</v>
      </c>
      <c r="D86" s="14"/>
      <c r="E86" s="80">
        <f>((E83*J83) + (E84* J84)) / J85</f>
        <v>9.8000000000000004E-2</v>
      </c>
      <c r="F86" s="628" t="s">
        <v>2771</v>
      </c>
      <c r="G86" s="14"/>
      <c r="H86" s="15"/>
      <c r="I86" s="15"/>
      <c r="J86" s="15"/>
      <c r="K86" s="15"/>
      <c r="L86" s="15"/>
    </row>
    <row r="87" spans="1:12" x14ac:dyDescent="0.2">
      <c r="A87" s="115"/>
      <c r="B87" s="628"/>
      <c r="C87" s="14"/>
      <c r="D87" s="14"/>
      <c r="E87" s="14"/>
      <c r="F87" s="14"/>
      <c r="G87" s="14"/>
      <c r="H87" s="15"/>
      <c r="I87" s="15"/>
      <c r="J87" s="15"/>
      <c r="K87" s="15"/>
      <c r="L87" s="15"/>
    </row>
    <row r="88" spans="1:12" x14ac:dyDescent="0.2">
      <c r="A88" s="115"/>
      <c r="B88" s="628" t="s">
        <v>2475</v>
      </c>
      <c r="C88" s="14"/>
      <c r="D88" s="14"/>
      <c r="E88" s="14"/>
      <c r="F88" s="14"/>
      <c r="G88" s="14"/>
      <c r="H88" s="15"/>
      <c r="I88" s="15"/>
      <c r="J88" s="15"/>
      <c r="K88" s="15"/>
      <c r="L88" s="15"/>
    </row>
    <row r="89" spans="1:12" x14ac:dyDescent="0.2">
      <c r="A89" s="115"/>
      <c r="B89" s="628"/>
      <c r="C89" s="14"/>
      <c r="D89" s="14"/>
      <c r="E89" s="1036" t="s">
        <v>1282</v>
      </c>
      <c r="F89" s="14"/>
      <c r="G89" s="14"/>
      <c r="H89" s="15"/>
      <c r="I89" s="15"/>
      <c r="J89" s="15"/>
      <c r="K89" s="15"/>
      <c r="L89" s="15"/>
    </row>
    <row r="90" spans="1:12" x14ac:dyDescent="0.2">
      <c r="A90" s="14"/>
      <c r="B90" s="1040" t="s">
        <v>2189</v>
      </c>
      <c r="C90" s="628" t="s">
        <v>2502</v>
      </c>
      <c r="D90" s="14"/>
      <c r="E90" s="99" t="s">
        <v>3217</v>
      </c>
      <c r="F90" s="99"/>
      <c r="G90" s="99"/>
      <c r="H90" s="120"/>
      <c r="I90" s="120"/>
      <c r="J90" s="120"/>
      <c r="K90" s="15"/>
      <c r="L90" s="15"/>
    </row>
    <row r="91" spans="1:12" x14ac:dyDescent="0.2">
      <c r="B91" s="1040" t="s">
        <v>2190</v>
      </c>
      <c r="C91" s="628" t="s">
        <v>2501</v>
      </c>
      <c r="D91" s="14"/>
      <c r="E91" s="99" t="s">
        <v>3217</v>
      </c>
      <c r="F91" s="99"/>
      <c r="G91" s="99"/>
      <c r="H91" s="120"/>
      <c r="I91" s="120"/>
      <c r="J91" s="120"/>
      <c r="K91" s="15"/>
      <c r="L91" s="15"/>
    </row>
    <row r="92" spans="1:12" x14ac:dyDescent="0.2">
      <c r="B92" s="14"/>
      <c r="C92" s="628"/>
      <c r="D92" s="14"/>
      <c r="E92" s="757"/>
      <c r="F92" s="14"/>
      <c r="G92" s="14"/>
      <c r="H92" s="14"/>
      <c r="I92" s="15"/>
      <c r="J92" s="15"/>
      <c r="K92" s="15"/>
      <c r="L92" s="15"/>
    </row>
    <row r="93" spans="1:12" x14ac:dyDescent="0.2">
      <c r="B93" s="14"/>
      <c r="C93" s="14"/>
      <c r="D93" s="14"/>
      <c r="E93" s="129" t="s">
        <v>1750</v>
      </c>
      <c r="F93" s="1036" t="s">
        <v>1282</v>
      </c>
      <c r="G93" s="14"/>
      <c r="H93" s="15"/>
      <c r="I93" s="15"/>
      <c r="J93" s="14"/>
    </row>
    <row r="94" spans="1:12" x14ac:dyDescent="0.2">
      <c r="B94" s="1040" t="s">
        <v>2192</v>
      </c>
      <c r="C94" s="628" t="s">
        <v>2486</v>
      </c>
      <c r="D94" s="15"/>
      <c r="E94" s="69">
        <f>'1-BaseTRR'!K88</f>
        <v>2.5225076179537377E-2</v>
      </c>
      <c r="F94" s="14" t="str">
        <f>"1-Base TRR L "&amp;'1-BaseTRR'!A88&amp;""</f>
        <v>1-Base TRR L 50</v>
      </c>
      <c r="G94" s="14"/>
      <c r="H94" s="15"/>
      <c r="I94" s="15"/>
      <c r="J94" s="14"/>
    </row>
    <row r="95" spans="1:12" x14ac:dyDescent="0.2">
      <c r="B95" s="1040" t="s">
        <v>2478</v>
      </c>
      <c r="C95" s="628" t="s">
        <v>2487</v>
      </c>
      <c r="D95" s="14"/>
      <c r="E95" s="69">
        <f>'1-BaseTRR'!K89</f>
        <v>3.3650934501474276E-3</v>
      </c>
      <c r="F95" s="14" t="str">
        <f>"1-Base TRR L "&amp;'1-BaseTRR'!A89&amp;""</f>
        <v>1-Base TRR L 51</v>
      </c>
      <c r="G95" s="14"/>
      <c r="H95" s="15"/>
      <c r="I95" s="15"/>
      <c r="J95" s="14"/>
    </row>
    <row r="96" spans="1:12" x14ac:dyDescent="0.2">
      <c r="B96" s="1040" t="s">
        <v>2479</v>
      </c>
      <c r="C96" s="628" t="s">
        <v>2488</v>
      </c>
      <c r="D96" s="14"/>
      <c r="E96" s="50">
        <f>('1-BaseTRR'!K80) * E86</f>
        <v>4.7992753358197665E-2</v>
      </c>
      <c r="F96" s="14" t="str">
        <f>"1-Base TRR L "&amp;'1-BaseTRR'!A80&amp;" * Line d"</f>
        <v>1-Base TRR L 46 * Line d</v>
      </c>
      <c r="G96" s="15"/>
      <c r="H96" s="15"/>
      <c r="I96" s="14"/>
      <c r="J96" s="14"/>
    </row>
    <row r="97" spans="1:10" x14ac:dyDescent="0.2">
      <c r="A97" s="14"/>
      <c r="B97" s="1040" t="s">
        <v>2480</v>
      </c>
      <c r="C97" s="47" t="s">
        <v>62</v>
      </c>
      <c r="D97" s="14"/>
      <c r="E97" s="49">
        <f>SUM(E94:E96)</f>
        <v>7.6582922987882468E-2</v>
      </c>
      <c r="F97" s="65" t="str">
        <f>"Sum of Lines "&amp;B94&amp;" to "&amp;B96&amp;""</f>
        <v>Sum of Lines g to i</v>
      </c>
      <c r="G97" s="110"/>
      <c r="H97" s="14"/>
      <c r="I97" s="14"/>
      <c r="J97" s="1042"/>
    </row>
    <row r="98" spans="1:10" x14ac:dyDescent="0.2">
      <c r="A98" s="115"/>
      <c r="B98" s="14"/>
      <c r="C98" s="21"/>
      <c r="D98" s="24"/>
      <c r="E98" s="65"/>
      <c r="F98" s="65"/>
      <c r="G98" s="110"/>
      <c r="H98" s="65"/>
      <c r="I98" s="14"/>
      <c r="J98" s="1042"/>
    </row>
    <row r="99" spans="1:10" x14ac:dyDescent="0.2">
      <c r="A99" s="115"/>
      <c r="B99" s="628" t="s">
        <v>2481</v>
      </c>
      <c r="C99" s="14"/>
      <c r="D99" s="14"/>
      <c r="E99" s="14"/>
      <c r="F99" s="14"/>
      <c r="G99" s="14"/>
      <c r="H99" s="14"/>
      <c r="I99" s="14"/>
      <c r="J99" s="14"/>
    </row>
    <row r="100" spans="1:10" x14ac:dyDescent="0.2">
      <c r="A100" s="115"/>
      <c r="B100" s="14"/>
      <c r="C100" s="14"/>
      <c r="D100" s="14"/>
      <c r="E100" s="14"/>
      <c r="F100" s="14"/>
      <c r="G100" s="14"/>
      <c r="H100" s="14"/>
      <c r="I100" s="14"/>
      <c r="J100" s="14"/>
    </row>
    <row r="101" spans="1:10" x14ac:dyDescent="0.2">
      <c r="A101" s="115"/>
      <c r="B101" s="14"/>
      <c r="C101" s="14"/>
      <c r="D101" s="14"/>
      <c r="E101" s="129" t="s">
        <v>1750</v>
      </c>
      <c r="F101" s="1036" t="s">
        <v>1282</v>
      </c>
      <c r="G101" s="14"/>
      <c r="H101" s="14"/>
      <c r="I101" s="14"/>
      <c r="J101" s="14"/>
    </row>
    <row r="102" spans="1:10" x14ac:dyDescent="0.2">
      <c r="A102" s="14"/>
      <c r="B102" s="115" t="s">
        <v>2882</v>
      </c>
      <c r="C102" s="14"/>
      <c r="D102" s="14"/>
      <c r="E102" s="69">
        <f>E95+E96</f>
        <v>5.1357846808345091E-2</v>
      </c>
      <c r="F102" s="65" t="str">
        <f>"Sum of Lines "&amp;B95&amp;" to "&amp;B96&amp;""</f>
        <v>Sum of Lines h to i</v>
      </c>
      <c r="G102" s="14"/>
      <c r="H102" s="14"/>
      <c r="I102" s="14"/>
      <c r="J102" s="14"/>
    </row>
    <row r="103" spans="1:10" x14ac:dyDescent="0.2">
      <c r="A103" s="115"/>
      <c r="B103" s="14"/>
      <c r="C103" s="14"/>
      <c r="D103" s="14"/>
      <c r="E103" s="69"/>
      <c r="F103" s="65"/>
      <c r="G103" s="14"/>
      <c r="H103" s="14"/>
      <c r="I103" s="14"/>
      <c r="J103" s="14"/>
    </row>
    <row r="104" spans="1:10" x14ac:dyDescent="0.2">
      <c r="A104" s="115"/>
      <c r="B104" s="698" t="s">
        <v>2457</v>
      </c>
      <c r="C104" s="14"/>
      <c r="D104" s="14"/>
      <c r="E104" s="110"/>
      <c r="F104" s="110"/>
      <c r="G104" s="110"/>
      <c r="H104" s="65"/>
      <c r="I104" s="14"/>
      <c r="J104" s="14"/>
    </row>
    <row r="105" spans="1:10" x14ac:dyDescent="0.2">
      <c r="A105" s="115"/>
      <c r="B105" s="1039" t="s">
        <v>2466</v>
      </c>
      <c r="C105" s="14"/>
      <c r="D105" s="14"/>
      <c r="E105" s="14"/>
      <c r="F105" s="14"/>
      <c r="G105" s="14"/>
      <c r="H105" s="14"/>
      <c r="I105" s="14"/>
      <c r="J105" s="14"/>
    </row>
    <row r="106" spans="1:10" x14ac:dyDescent="0.2">
      <c r="A106" s="2"/>
      <c r="B106" s="1039" t="s">
        <v>2467</v>
      </c>
      <c r="C106" s="14"/>
      <c r="D106" s="115"/>
      <c r="E106" s="115"/>
      <c r="F106" s="115"/>
      <c r="G106" s="115"/>
      <c r="H106" s="115"/>
      <c r="I106" s="14"/>
      <c r="J106" s="14"/>
    </row>
    <row r="107" spans="1:10" x14ac:dyDescent="0.2">
      <c r="A107" s="2"/>
      <c r="B107" s="698" t="s">
        <v>2469</v>
      </c>
      <c r="C107" s="14"/>
      <c r="D107" s="115"/>
      <c r="E107" s="115"/>
      <c r="F107" s="115"/>
      <c r="G107" s="115"/>
      <c r="H107" s="115"/>
      <c r="I107" s="14"/>
      <c r="J107" s="14"/>
    </row>
    <row r="108" spans="1:10" x14ac:dyDescent="0.2">
      <c r="A108" s="2"/>
      <c r="B108" s="14" t="s">
        <v>2468</v>
      </c>
      <c r="C108" s="29"/>
      <c r="D108" s="29"/>
      <c r="E108" s="129"/>
      <c r="F108" s="129"/>
      <c r="G108" s="129"/>
      <c r="H108" s="129"/>
      <c r="I108" s="14"/>
      <c r="J108" s="14"/>
    </row>
    <row r="109" spans="1:10" x14ac:dyDescent="0.2">
      <c r="A109" s="2"/>
      <c r="B109" s="14"/>
      <c r="C109" s="14"/>
      <c r="D109" s="14"/>
    </row>
    <row r="110" spans="1:10" x14ac:dyDescent="0.2">
      <c r="A110" s="2"/>
    </row>
    <row r="111" spans="1:10" x14ac:dyDescent="0.2">
      <c r="A111" s="2"/>
    </row>
    <row r="112" spans="1:10" x14ac:dyDescent="0.2">
      <c r="A112" s="2"/>
      <c r="C112" s="21"/>
      <c r="E112" s="65"/>
      <c r="F112" s="65"/>
      <c r="H112" s="7"/>
      <c r="J112" s="84"/>
    </row>
    <row r="113" spans="1:10" x14ac:dyDescent="0.2">
      <c r="A113" s="2"/>
      <c r="C113" s="21"/>
      <c r="E113" s="65"/>
      <c r="F113" s="65"/>
      <c r="H113" s="7"/>
      <c r="J113" s="84"/>
    </row>
    <row r="114" spans="1:10" x14ac:dyDescent="0.2">
      <c r="A114" s="55"/>
      <c r="C114" s="21"/>
      <c r="E114" s="65"/>
      <c r="F114" s="65"/>
      <c r="H114" s="7"/>
      <c r="J114" s="84"/>
    </row>
    <row r="115" spans="1:10" x14ac:dyDescent="0.2">
      <c r="A115" s="2"/>
      <c r="D115" s="34"/>
      <c r="E115" s="65"/>
      <c r="F115" s="65"/>
      <c r="G115" s="12"/>
      <c r="H115" s="7"/>
      <c r="J115" s="84"/>
    </row>
    <row r="116" spans="1:10" x14ac:dyDescent="0.2">
      <c r="A116" s="2"/>
      <c r="C116" s="21"/>
      <c r="D116" s="96"/>
      <c r="E116" s="93"/>
      <c r="F116" s="7"/>
      <c r="G116" s="12"/>
      <c r="H116" s="7"/>
      <c r="J116" s="84"/>
    </row>
    <row r="117" spans="1:10" x14ac:dyDescent="0.2">
      <c r="A117" s="2"/>
      <c r="C117" s="21"/>
      <c r="D117" s="96"/>
      <c r="E117" s="7"/>
      <c r="F117" s="7"/>
      <c r="G117" s="12"/>
      <c r="H117" s="7"/>
      <c r="J117" s="84"/>
    </row>
    <row r="118" spans="1:10" x14ac:dyDescent="0.2">
      <c r="A118" s="2"/>
    </row>
    <row r="119" spans="1:10" x14ac:dyDescent="0.2">
      <c r="A119" s="2"/>
      <c r="B119" s="1"/>
    </row>
    <row r="120" spans="1:10" x14ac:dyDescent="0.2">
      <c r="A120" s="2"/>
    </row>
    <row r="121" spans="1:10" x14ac:dyDescent="0.2">
      <c r="A121" s="2"/>
    </row>
    <row r="122" spans="1:10" x14ac:dyDescent="0.2">
      <c r="A122" s="2"/>
      <c r="F122" s="2"/>
    </row>
    <row r="123" spans="1:10" x14ac:dyDescent="0.2">
      <c r="A123" s="2"/>
      <c r="F123" s="2"/>
    </row>
    <row r="124" spans="1:10" x14ac:dyDescent="0.2">
      <c r="A124" s="2"/>
      <c r="D124" s="2"/>
      <c r="E124" s="2"/>
      <c r="F124" s="2"/>
      <c r="H124" s="2"/>
    </row>
    <row r="125" spans="1:10" x14ac:dyDescent="0.2">
      <c r="A125" s="2"/>
      <c r="D125" s="2"/>
      <c r="E125" s="2"/>
      <c r="F125" s="2"/>
      <c r="G125" s="2"/>
      <c r="H125" s="4"/>
    </row>
    <row r="126" spans="1:10" x14ac:dyDescent="0.2">
      <c r="A126" s="55"/>
      <c r="C126" s="25"/>
      <c r="D126" s="25"/>
      <c r="E126" s="3"/>
      <c r="F126" s="86"/>
      <c r="G126" s="3"/>
      <c r="H126" s="4"/>
    </row>
    <row r="127" spans="1:10" x14ac:dyDescent="0.2">
      <c r="A127" s="2"/>
      <c r="C127" s="20"/>
      <c r="D127" s="24"/>
      <c r="E127" s="65"/>
      <c r="F127" s="65"/>
      <c r="G127" s="80"/>
      <c r="H127" s="7"/>
    </row>
    <row r="128" spans="1:10" x14ac:dyDescent="0.2">
      <c r="A128" s="2"/>
      <c r="C128" s="21"/>
      <c r="D128" s="24"/>
      <c r="E128" s="65"/>
      <c r="F128" s="65"/>
      <c r="G128" s="80"/>
      <c r="H128" s="7"/>
    </row>
    <row r="129" spans="1:8" x14ac:dyDescent="0.2">
      <c r="A129" s="2"/>
      <c r="C129" s="21"/>
      <c r="D129" s="24"/>
      <c r="E129" s="65"/>
      <c r="F129" s="65"/>
      <c r="G129" s="80"/>
      <c r="H129" s="7"/>
    </row>
    <row r="130" spans="1:8" x14ac:dyDescent="0.2">
      <c r="A130" s="2"/>
      <c r="C130" s="20"/>
      <c r="D130" s="24"/>
      <c r="E130" s="65"/>
      <c r="F130" s="65"/>
      <c r="G130" s="80"/>
      <c r="H130" s="7"/>
    </row>
    <row r="131" spans="1:8" x14ac:dyDescent="0.2">
      <c r="A131" s="2"/>
      <c r="C131" s="21"/>
      <c r="D131" s="24"/>
      <c r="E131" s="65"/>
      <c r="F131" s="65"/>
      <c r="G131" s="80"/>
      <c r="H131" s="7"/>
    </row>
    <row r="132" spans="1:8" x14ac:dyDescent="0.2">
      <c r="A132" s="2"/>
      <c r="C132" s="21"/>
      <c r="D132" s="24"/>
      <c r="E132" s="65"/>
      <c r="F132" s="65"/>
      <c r="G132" s="80"/>
      <c r="H132" s="7"/>
    </row>
    <row r="133" spans="1:8" x14ac:dyDescent="0.2">
      <c r="A133" s="2"/>
      <c r="C133" s="20"/>
      <c r="D133" s="24"/>
      <c r="E133" s="65"/>
      <c r="F133" s="65"/>
      <c r="G133" s="80"/>
      <c r="H133" s="7"/>
    </row>
    <row r="134" spans="1:8" x14ac:dyDescent="0.2">
      <c r="A134" s="2"/>
      <c r="C134" s="21"/>
      <c r="D134" s="24"/>
      <c r="E134" s="65"/>
      <c r="F134" s="65"/>
      <c r="G134" s="80"/>
      <c r="H134" s="7"/>
    </row>
    <row r="135" spans="1:8" x14ac:dyDescent="0.2">
      <c r="A135" s="2"/>
      <c r="C135" s="21"/>
      <c r="D135" s="24"/>
      <c r="E135" s="65"/>
      <c r="F135" s="65"/>
      <c r="G135" s="80"/>
      <c r="H135" s="7"/>
    </row>
    <row r="136" spans="1:8" x14ac:dyDescent="0.2">
      <c r="A136" s="2"/>
      <c r="C136" s="20"/>
      <c r="D136" s="24"/>
      <c r="E136" s="65"/>
      <c r="F136" s="65"/>
      <c r="G136" s="80"/>
      <c r="H136" s="7"/>
    </row>
    <row r="137" spans="1:8" x14ac:dyDescent="0.2">
      <c r="A137" s="2"/>
      <c r="C137" s="20"/>
      <c r="D137" s="24"/>
      <c r="E137" s="65"/>
      <c r="F137" s="65"/>
      <c r="G137" s="80"/>
      <c r="H137" s="7"/>
    </row>
    <row r="138" spans="1:8" x14ac:dyDescent="0.2">
      <c r="A138" s="2"/>
      <c r="C138" s="21"/>
      <c r="D138" s="24"/>
      <c r="E138" s="65"/>
      <c r="F138" s="65"/>
      <c r="G138" s="80"/>
      <c r="H138" s="59"/>
    </row>
    <row r="139" spans="1:8" x14ac:dyDescent="0.2">
      <c r="A139" s="2"/>
      <c r="E139" s="14"/>
      <c r="F139" s="14"/>
      <c r="G139" s="14"/>
      <c r="H139" s="7"/>
    </row>
    <row r="140" spans="1:8" x14ac:dyDescent="0.2">
      <c r="A140" s="2"/>
      <c r="C140" s="21"/>
      <c r="D140" s="24"/>
      <c r="E140" s="14"/>
      <c r="F140" s="152"/>
      <c r="G140" s="80"/>
      <c r="H140" s="73"/>
    </row>
    <row r="141" spans="1:8" x14ac:dyDescent="0.2">
      <c r="A141" s="2"/>
      <c r="B141" s="1"/>
      <c r="C141" s="21"/>
      <c r="D141" s="24"/>
      <c r="E141" s="14"/>
      <c r="F141" s="152"/>
      <c r="G141" s="80"/>
      <c r="H141" s="73"/>
    </row>
    <row r="142" spans="1:8" x14ac:dyDescent="0.2">
      <c r="A142" s="55"/>
      <c r="B142" s="1"/>
      <c r="C142" s="21"/>
      <c r="D142" s="24"/>
      <c r="E142" s="14"/>
      <c r="F142" s="152"/>
      <c r="G142" s="80"/>
      <c r="H142" s="73"/>
    </row>
    <row r="143" spans="1:8" x14ac:dyDescent="0.2">
      <c r="A143" s="2"/>
      <c r="C143" s="21"/>
      <c r="D143" s="87"/>
      <c r="E143" s="65"/>
      <c r="F143" s="153"/>
      <c r="G143" s="80"/>
      <c r="H143" s="73"/>
    </row>
    <row r="144" spans="1:8" x14ac:dyDescent="0.2">
      <c r="A144" s="2"/>
      <c r="C144" s="21"/>
      <c r="D144" s="37"/>
      <c r="E144" s="65"/>
      <c r="F144" s="153"/>
      <c r="G144" s="80"/>
      <c r="H144" s="73"/>
    </row>
    <row r="145" spans="1:10" x14ac:dyDescent="0.2">
      <c r="A145" s="2"/>
      <c r="C145" s="21"/>
      <c r="D145" s="37"/>
      <c r="E145" s="59"/>
      <c r="F145" s="122"/>
      <c r="G145" s="80"/>
      <c r="H145" s="73"/>
    </row>
    <row r="146" spans="1:10" x14ac:dyDescent="0.2">
      <c r="A146" s="2"/>
      <c r="C146" s="21"/>
      <c r="D146" s="87"/>
      <c r="E146" s="7"/>
      <c r="F146" s="73"/>
      <c r="G146" s="80"/>
      <c r="H146" s="73"/>
    </row>
    <row r="147" spans="1:10" x14ac:dyDescent="0.2">
      <c r="A147" s="2"/>
      <c r="C147" s="21"/>
      <c r="D147" s="24"/>
      <c r="F147" s="73"/>
      <c r="G147" s="80"/>
      <c r="H147" s="73"/>
    </row>
    <row r="148" spans="1:10" x14ac:dyDescent="0.2">
      <c r="A148" s="2"/>
    </row>
    <row r="149" spans="1:10" x14ac:dyDescent="0.2">
      <c r="A149" s="2"/>
    </row>
    <row r="150" spans="1:10" x14ac:dyDescent="0.2">
      <c r="A150" s="2"/>
    </row>
    <row r="151" spans="1:10" x14ac:dyDescent="0.2">
      <c r="A151" s="2"/>
      <c r="B151" s="1"/>
    </row>
    <row r="152" spans="1:10" x14ac:dyDescent="0.2">
      <c r="A152" s="2"/>
      <c r="B152" s="12"/>
    </row>
    <row r="153" spans="1:10" x14ac:dyDescent="0.2">
      <c r="A153" s="2"/>
      <c r="B153" s="12"/>
    </row>
    <row r="154" spans="1:10" x14ac:dyDescent="0.2">
      <c r="A154" s="2"/>
      <c r="B154" s="12"/>
    </row>
    <row r="155" spans="1:10" x14ac:dyDescent="0.2">
      <c r="A155" s="2"/>
    </row>
    <row r="156" spans="1:10" x14ac:dyDescent="0.2">
      <c r="A156" s="2"/>
      <c r="B156" s="1"/>
    </row>
    <row r="157" spans="1:10" x14ac:dyDescent="0.2">
      <c r="A157" s="2"/>
    </row>
    <row r="158" spans="1:10" x14ac:dyDescent="0.2">
      <c r="A158" s="55"/>
      <c r="C158" s="25"/>
      <c r="D158" s="3"/>
      <c r="G158" s="14"/>
      <c r="H158" s="14"/>
      <c r="I158" s="14"/>
      <c r="J158" s="14"/>
    </row>
    <row r="159" spans="1:10" x14ac:dyDescent="0.2">
      <c r="A159" s="2"/>
      <c r="C159" s="20"/>
      <c r="D159" s="150"/>
      <c r="F159" s="8"/>
      <c r="G159" s="14"/>
      <c r="H159" s="14"/>
      <c r="I159" s="14"/>
      <c r="J159" s="14"/>
    </row>
    <row r="160" spans="1:10" x14ac:dyDescent="0.2">
      <c r="A160" s="2"/>
      <c r="C160" s="21"/>
      <c r="D160" s="150"/>
      <c r="F160" s="8"/>
      <c r="G160" s="14"/>
      <c r="H160" s="14"/>
      <c r="I160" s="14"/>
      <c r="J160" s="14"/>
    </row>
    <row r="161" spans="1:10" x14ac:dyDescent="0.2">
      <c r="A161" s="2"/>
      <c r="C161" s="21"/>
      <c r="D161" s="150"/>
      <c r="F161" s="8"/>
      <c r="G161" s="14"/>
      <c r="H161" s="14"/>
      <c r="I161" s="14"/>
      <c r="J161" s="14"/>
    </row>
    <row r="162" spans="1:10" x14ac:dyDescent="0.2">
      <c r="A162" s="2"/>
      <c r="C162" s="20"/>
      <c r="D162" s="150"/>
      <c r="F162" s="8"/>
      <c r="G162" s="14"/>
      <c r="H162" s="14"/>
      <c r="I162" s="14"/>
      <c r="J162" s="14"/>
    </row>
    <row r="163" spans="1:10" x14ac:dyDescent="0.2">
      <c r="A163" s="2"/>
      <c r="C163" s="21"/>
      <c r="D163" s="150"/>
      <c r="F163" s="8"/>
      <c r="G163" s="14"/>
      <c r="H163" s="14"/>
      <c r="I163" s="14"/>
      <c r="J163" s="14"/>
    </row>
    <row r="164" spans="1:10" x14ac:dyDescent="0.2">
      <c r="A164" s="2"/>
      <c r="C164" s="21"/>
      <c r="D164" s="150"/>
      <c r="F164" s="8"/>
      <c r="G164" s="14"/>
      <c r="H164" s="14"/>
      <c r="I164" s="14"/>
      <c r="J164" s="14"/>
    </row>
    <row r="165" spans="1:10" x14ac:dyDescent="0.2">
      <c r="A165" s="2"/>
      <c r="C165" s="20"/>
      <c r="D165" s="150"/>
      <c r="F165" s="8"/>
      <c r="G165" s="14"/>
      <c r="H165" s="14"/>
      <c r="I165" s="14"/>
      <c r="J165" s="14"/>
    </row>
    <row r="166" spans="1:10" x14ac:dyDescent="0.2">
      <c r="A166" s="2"/>
      <c r="C166" s="21"/>
      <c r="D166" s="150"/>
      <c r="F166" s="8"/>
      <c r="G166" s="14"/>
      <c r="H166" s="14"/>
      <c r="I166" s="14"/>
      <c r="J166" s="14"/>
    </row>
    <row r="167" spans="1:10" x14ac:dyDescent="0.2">
      <c r="A167" s="2"/>
      <c r="C167" s="21"/>
      <c r="D167" s="150"/>
      <c r="F167" s="8"/>
      <c r="G167" s="14"/>
      <c r="H167" s="14"/>
      <c r="I167" s="14"/>
      <c r="J167" s="14"/>
    </row>
    <row r="168" spans="1:10" x14ac:dyDescent="0.2">
      <c r="A168" s="2"/>
      <c r="C168" s="20"/>
      <c r="D168" s="150"/>
      <c r="F168" s="8"/>
      <c r="G168" s="14"/>
      <c r="H168" s="14"/>
      <c r="I168" s="14"/>
      <c r="J168" s="14"/>
    </row>
    <row r="169" spans="1:10" x14ac:dyDescent="0.2">
      <c r="A169" s="2"/>
      <c r="C169" s="20"/>
      <c r="D169" s="150"/>
      <c r="F169" s="8"/>
    </row>
    <row r="170" spans="1:10" x14ac:dyDescent="0.2">
      <c r="A170" s="2"/>
      <c r="C170" s="21"/>
      <c r="D170" s="151"/>
      <c r="F170" s="83"/>
    </row>
    <row r="171" spans="1:10" x14ac:dyDescent="0.2">
      <c r="A171" s="2"/>
      <c r="C171" s="34"/>
      <c r="D171" s="150"/>
    </row>
  </sheetData>
  <phoneticPr fontId="11" type="noConversion"/>
  <pageMargins left="0.75" right="0.75" top="1" bottom="1" header="0.5" footer="0.5"/>
  <pageSetup scale="80" orientation="landscape" cellComments="asDisplayed" r:id="rId1"/>
  <headerFooter alignWithMargins="0">
    <oddHeader>&amp;CSchedule 4
True Up TRR
&amp;"Arial,Bold"Exhibit G-2</oddHeader>
    <oddFooter>&amp;R&amp;A</oddFooter>
  </headerFooter>
  <rowBreaks count="4" manualBreakCount="4">
    <brk id="46" max="9" man="1"/>
    <brk id="72" max="16383" man="1"/>
    <brk id="118" max="9" man="1"/>
    <brk id="15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61"/>
  <sheetViews>
    <sheetView zoomScale="80" zoomScaleNormal="80" workbookViewId="0">
      <selection activeCell="G25" sqref="G25"/>
    </sheetView>
  </sheetViews>
  <sheetFormatPr defaultRowHeight="12.75" x14ac:dyDescent="0.2"/>
  <cols>
    <col min="1" max="1" width="4.7109375" customWidth="1"/>
    <col min="2" max="2" width="3.7109375" customWidth="1"/>
    <col min="4" max="4" width="13.7109375" customWidth="1"/>
    <col min="6" max="7" width="10.7109375" customWidth="1"/>
    <col min="9" max="9" width="27.7109375" customWidth="1"/>
    <col min="10" max="10" width="30.7109375" customWidth="1"/>
    <col min="11" max="11" width="2.7109375" customWidth="1"/>
    <col min="12" max="12" width="16.7109375" customWidth="1"/>
    <col min="13" max="13" width="1.7109375" customWidth="1"/>
    <col min="14" max="14" width="4.7109375" style="14" customWidth="1"/>
    <col min="15" max="28" width="14.7109375" style="14" customWidth="1"/>
  </cols>
  <sheetData>
    <row r="1" spans="1:28" x14ac:dyDescent="0.2">
      <c r="A1" s="1" t="s">
        <v>24</v>
      </c>
      <c r="J1" s="99" t="s">
        <v>341</v>
      </c>
      <c r="K1" s="14"/>
      <c r="L1" s="14"/>
    </row>
    <row r="2" spans="1:28" x14ac:dyDescent="0.2">
      <c r="B2" s="1"/>
      <c r="I2" s="774"/>
      <c r="J2" s="774" t="s">
        <v>197</v>
      </c>
      <c r="L2" s="262">
        <v>2011</v>
      </c>
    </row>
    <row r="3" spans="1:28" x14ac:dyDescent="0.2">
      <c r="I3" s="3" t="s">
        <v>196</v>
      </c>
      <c r="J3" s="3" t="s">
        <v>198</v>
      </c>
      <c r="L3" s="3" t="s">
        <v>199</v>
      </c>
    </row>
    <row r="5" spans="1:28" x14ac:dyDescent="0.2">
      <c r="A5" s="10" t="s">
        <v>205</v>
      </c>
      <c r="B5" s="125"/>
      <c r="C5" s="11"/>
      <c r="D5" s="11"/>
      <c r="E5" s="11"/>
      <c r="F5" s="11"/>
      <c r="G5" s="11"/>
      <c r="H5" s="11"/>
      <c r="I5" s="9"/>
      <c r="J5" s="9"/>
      <c r="K5" s="9"/>
      <c r="L5" s="9"/>
      <c r="N5" s="782"/>
      <c r="O5" s="783"/>
      <c r="P5" s="783"/>
      <c r="Q5" s="783"/>
      <c r="R5" s="783"/>
      <c r="S5" s="783"/>
      <c r="T5" s="783"/>
    </row>
    <row r="6" spans="1:28" x14ac:dyDescent="0.2">
      <c r="A6" s="14"/>
      <c r="B6" s="45"/>
      <c r="C6" s="628"/>
      <c r="D6" s="628"/>
      <c r="E6" s="628"/>
      <c r="F6" s="628"/>
      <c r="G6" s="628"/>
      <c r="H6" s="628"/>
      <c r="I6" s="628"/>
      <c r="J6" s="628"/>
      <c r="K6" s="628"/>
      <c r="L6" s="628"/>
      <c r="O6" s="376"/>
      <c r="P6" s="376"/>
      <c r="Q6" s="376"/>
      <c r="R6" s="376"/>
      <c r="S6" s="376"/>
      <c r="T6" s="376"/>
      <c r="U6" s="376"/>
      <c r="V6" s="376"/>
      <c r="W6" s="376"/>
      <c r="X6" s="376"/>
      <c r="Y6" s="376"/>
      <c r="Z6" s="376"/>
      <c r="AA6" s="376"/>
      <c r="AB6" s="376"/>
    </row>
    <row r="7" spans="1:28" x14ac:dyDescent="0.2">
      <c r="A7" s="784" t="s">
        <v>359</v>
      </c>
      <c r="B7" s="45"/>
      <c r="C7" s="46" t="s">
        <v>303</v>
      </c>
      <c r="D7" s="628"/>
      <c r="E7" s="628"/>
      <c r="F7" s="628"/>
      <c r="G7" s="628"/>
      <c r="H7" s="628"/>
      <c r="I7" s="628"/>
      <c r="J7" s="628"/>
      <c r="K7" s="628"/>
      <c r="L7" s="628"/>
      <c r="N7" s="784"/>
      <c r="O7" s="81"/>
      <c r="P7" s="785"/>
      <c r="Q7" s="757"/>
      <c r="R7" s="757"/>
      <c r="S7" s="757"/>
      <c r="T7" s="757"/>
      <c r="U7" s="757"/>
      <c r="V7" s="757"/>
      <c r="W7" s="757"/>
      <c r="X7" s="757"/>
      <c r="Y7" s="757"/>
      <c r="Z7" s="757"/>
      <c r="AA7" s="757"/>
      <c r="AB7" s="757"/>
    </row>
    <row r="8" spans="1:28" x14ac:dyDescent="0.2">
      <c r="A8" s="115">
        <v>1</v>
      </c>
      <c r="B8" s="45"/>
      <c r="C8" s="628" t="s">
        <v>234</v>
      </c>
      <c r="D8" s="628"/>
      <c r="E8" s="628"/>
      <c r="F8" s="628"/>
      <c r="G8" s="628"/>
      <c r="H8" s="628"/>
      <c r="I8" s="628" t="s">
        <v>2086</v>
      </c>
      <c r="J8" s="625" t="str">
        <f>"5-ROR-2, Line "&amp;'5-ROR-2'!A8&amp;""</f>
        <v>5-ROR-2, Line 1</v>
      </c>
      <c r="K8" s="628"/>
      <c r="L8" s="687">
        <f>'5-ROR-2'!C8</f>
        <v>7978229230.7692308</v>
      </c>
      <c r="N8" s="115"/>
      <c r="O8" s="687"/>
      <c r="P8" s="687"/>
      <c r="Q8" s="687"/>
      <c r="R8" s="687"/>
      <c r="S8" s="687"/>
      <c r="T8" s="687"/>
      <c r="U8" s="687"/>
      <c r="V8" s="687"/>
      <c r="W8" s="687"/>
      <c r="X8" s="687"/>
      <c r="Y8" s="687"/>
      <c r="Z8" s="687"/>
      <c r="AA8" s="687"/>
      <c r="AB8" s="687"/>
    </row>
    <row r="9" spans="1:28" x14ac:dyDescent="0.2">
      <c r="A9" s="115">
        <f>A8+1</f>
        <v>2</v>
      </c>
      <c r="B9" s="45"/>
      <c r="C9" s="628" t="s">
        <v>235</v>
      </c>
      <c r="D9" s="628"/>
      <c r="E9" s="628"/>
      <c r="F9" s="628"/>
      <c r="G9" s="628"/>
      <c r="H9" s="628"/>
      <c r="I9" s="628" t="s">
        <v>2086</v>
      </c>
      <c r="J9" s="625" t="str">
        <f>"5-ROR-2, Line "&amp;'5-ROR-2'!A10&amp;""</f>
        <v>5-ROR-2, Line 2</v>
      </c>
      <c r="K9" s="628"/>
      <c r="L9" s="687">
        <f>'5-ROR-2'!C10</f>
        <v>-347872307.69230771</v>
      </c>
      <c r="N9" s="115"/>
      <c r="O9" s="687"/>
      <c r="P9" s="687"/>
      <c r="Q9" s="687"/>
      <c r="R9" s="687"/>
      <c r="S9" s="687"/>
      <c r="T9" s="687"/>
      <c r="U9" s="687"/>
      <c r="V9" s="687"/>
      <c r="W9" s="687"/>
      <c r="X9" s="687"/>
      <c r="Y9" s="687"/>
      <c r="Z9" s="687"/>
      <c r="AA9" s="687"/>
      <c r="AB9" s="687"/>
    </row>
    <row r="10" spans="1:28" x14ac:dyDescent="0.2">
      <c r="A10" s="115" t="s">
        <v>578</v>
      </c>
      <c r="B10" s="45"/>
      <c r="C10" s="628" t="s">
        <v>2462</v>
      </c>
      <c r="D10" s="1043"/>
      <c r="E10" s="1043"/>
      <c r="F10" s="1043"/>
      <c r="G10" s="1043"/>
      <c r="H10" s="1043"/>
      <c r="I10" s="628" t="s">
        <v>2086</v>
      </c>
      <c r="J10" s="625" t="str">
        <f>"5-ROR-2, Line "&amp;'5-ROR-2'!A12&amp;""</f>
        <v>5-ROR-2, Line 2a</v>
      </c>
      <c r="K10" s="628"/>
      <c r="L10" s="687">
        <f>'5-ROR-2'!C12</f>
        <v>0</v>
      </c>
      <c r="N10" s="115"/>
      <c r="O10" s="687"/>
      <c r="P10" s="687"/>
      <c r="Q10" s="687"/>
      <c r="R10" s="687"/>
      <c r="S10" s="687"/>
      <c r="T10" s="687"/>
      <c r="U10" s="687"/>
      <c r="V10" s="687"/>
      <c r="W10" s="687"/>
      <c r="X10" s="687"/>
      <c r="Y10" s="687"/>
      <c r="Z10" s="687"/>
      <c r="AA10" s="687"/>
      <c r="AB10" s="687"/>
    </row>
    <row r="11" spans="1:28" x14ac:dyDescent="0.2">
      <c r="A11" s="115">
        <f>A9+1</f>
        <v>3</v>
      </c>
      <c r="B11" s="45"/>
      <c r="C11" s="628" t="s">
        <v>236</v>
      </c>
      <c r="D11" s="628"/>
      <c r="E11" s="628"/>
      <c r="F11" s="628"/>
      <c r="G11" s="628"/>
      <c r="H11" s="628"/>
      <c r="I11" s="628" t="s">
        <v>2086</v>
      </c>
      <c r="J11" s="625" t="str">
        <f>"5-ROR-2, Line "&amp;'5-ROR-2'!A14&amp;""</f>
        <v>5-ROR-2, Line 3</v>
      </c>
      <c r="K11" s="628"/>
      <c r="L11" s="687">
        <f>'5-ROR-2'!C14</f>
        <v>359069668.49923074</v>
      </c>
      <c r="N11" s="115"/>
      <c r="O11" s="687"/>
      <c r="P11" s="687"/>
      <c r="Q11" s="687"/>
      <c r="R11" s="687"/>
      <c r="S11" s="687"/>
      <c r="T11" s="687"/>
      <c r="U11" s="687"/>
      <c r="V11" s="687"/>
      <c r="W11" s="687"/>
      <c r="X11" s="687"/>
      <c r="Y11" s="687"/>
      <c r="Z11" s="687"/>
      <c r="AA11" s="687"/>
      <c r="AB11" s="687"/>
    </row>
    <row r="12" spans="1:28" x14ac:dyDescent="0.2">
      <c r="A12" s="115">
        <f>A11+1</f>
        <v>4</v>
      </c>
      <c r="B12" s="45"/>
      <c r="C12" s="628" t="s">
        <v>2777</v>
      </c>
      <c r="D12" s="628"/>
      <c r="E12" s="628"/>
      <c r="F12" s="628"/>
      <c r="G12" s="628"/>
      <c r="H12" s="628"/>
      <c r="I12" s="628"/>
      <c r="J12" s="625"/>
      <c r="K12" s="628"/>
      <c r="L12" s="687"/>
      <c r="N12" s="115"/>
      <c r="O12" s="687"/>
      <c r="P12" s="687"/>
      <c r="Q12" s="687"/>
      <c r="R12" s="687"/>
      <c r="S12" s="687"/>
      <c r="T12" s="687"/>
      <c r="U12" s="687"/>
      <c r="V12" s="687"/>
      <c r="W12" s="687"/>
      <c r="X12" s="687"/>
      <c r="Y12" s="687"/>
      <c r="Z12" s="687"/>
      <c r="AA12" s="687"/>
      <c r="AB12" s="687"/>
    </row>
    <row r="13" spans="1:28" x14ac:dyDescent="0.2">
      <c r="A13" s="115">
        <f>A12+1</f>
        <v>5</v>
      </c>
      <c r="B13" s="45"/>
      <c r="C13" s="628" t="s">
        <v>2777</v>
      </c>
      <c r="D13" s="628"/>
      <c r="E13" s="628"/>
      <c r="F13" s="628"/>
      <c r="G13" s="628"/>
      <c r="H13" s="628"/>
      <c r="I13" s="628"/>
      <c r="J13" s="625"/>
      <c r="K13" s="628"/>
      <c r="L13" s="687"/>
      <c r="N13" s="115"/>
      <c r="O13" s="687"/>
      <c r="P13" s="687"/>
      <c r="Q13" s="687"/>
      <c r="R13" s="687"/>
      <c r="S13" s="687"/>
      <c r="T13" s="687"/>
      <c r="U13" s="687"/>
      <c r="V13" s="687"/>
      <c r="W13" s="687"/>
      <c r="X13" s="687"/>
      <c r="Y13" s="687"/>
      <c r="Z13" s="687"/>
      <c r="AA13" s="687"/>
      <c r="AB13" s="687"/>
    </row>
    <row r="14" spans="1:28" x14ac:dyDescent="0.2">
      <c r="A14" s="115">
        <f>A13+1</f>
        <v>6</v>
      </c>
      <c r="B14" s="45"/>
      <c r="C14" s="628" t="s">
        <v>2777</v>
      </c>
      <c r="D14" s="628"/>
      <c r="E14" s="628"/>
      <c r="F14" s="628"/>
      <c r="G14" s="628"/>
      <c r="H14" s="628"/>
      <c r="I14" s="628"/>
      <c r="J14" s="625"/>
      <c r="K14" s="628"/>
      <c r="L14" s="687"/>
      <c r="N14" s="115"/>
      <c r="O14" s="687"/>
      <c r="P14" s="687"/>
      <c r="Q14" s="687"/>
      <c r="R14" s="687"/>
      <c r="S14" s="687"/>
      <c r="T14" s="687"/>
      <c r="U14" s="687"/>
      <c r="V14" s="687"/>
      <c r="W14" s="687"/>
      <c r="X14" s="687"/>
      <c r="Y14" s="687"/>
      <c r="Z14" s="687"/>
      <c r="AA14" s="687"/>
      <c r="AB14" s="687"/>
    </row>
    <row r="15" spans="1:28" x14ac:dyDescent="0.2">
      <c r="A15" s="115">
        <f t="shared" ref="A15:A16" si="0">A14+1</f>
        <v>7</v>
      </c>
      <c r="B15" s="45"/>
      <c r="C15" s="628" t="s">
        <v>2777</v>
      </c>
      <c r="D15" s="628"/>
      <c r="E15" s="628"/>
      <c r="F15" s="628"/>
      <c r="G15" s="628"/>
      <c r="H15" s="628"/>
      <c r="I15" s="628"/>
      <c r="J15" s="625"/>
      <c r="K15" s="628"/>
      <c r="L15" s="687"/>
      <c r="N15" s="115"/>
      <c r="O15" s="687"/>
      <c r="P15" s="687"/>
      <c r="Q15" s="687"/>
      <c r="R15" s="687"/>
      <c r="S15" s="687"/>
      <c r="T15" s="687"/>
      <c r="U15" s="687"/>
      <c r="V15" s="687"/>
      <c r="W15" s="687"/>
      <c r="X15" s="687"/>
      <c r="Y15" s="687"/>
      <c r="Z15" s="687"/>
      <c r="AA15" s="687"/>
      <c r="AB15" s="687"/>
    </row>
    <row r="16" spans="1:28" x14ac:dyDescent="0.2">
      <c r="A16" s="115">
        <f t="shared" si="0"/>
        <v>8</v>
      </c>
      <c r="B16" s="45"/>
      <c r="C16" s="625" t="s">
        <v>237</v>
      </c>
      <c r="D16" s="628"/>
      <c r="E16" s="628"/>
      <c r="F16" s="628"/>
      <c r="G16" s="628"/>
      <c r="H16" s="628"/>
      <c r="I16" s="14"/>
      <c r="J16" s="625" t="str">
        <f>"L"&amp;A8&amp;" + L"&amp;A9&amp;" + L"&amp;A10&amp;" + L"&amp;A11&amp;""</f>
        <v>L1 + L2 + L2a + L3</v>
      </c>
      <c r="K16" s="628"/>
      <c r="L16" s="689">
        <f>SUM(L8:L11)</f>
        <v>7989426591.5761538</v>
      </c>
    </row>
    <row r="17" spans="1:28" x14ac:dyDescent="0.2">
      <c r="A17" s="14"/>
      <c r="B17" s="45"/>
      <c r="C17" s="628"/>
      <c r="D17" s="628"/>
      <c r="E17" s="628"/>
      <c r="F17" s="628"/>
      <c r="G17" s="628" t="s">
        <v>368</v>
      </c>
      <c r="H17" s="628"/>
      <c r="I17" s="628"/>
      <c r="J17" s="625"/>
      <c r="K17" s="628"/>
      <c r="L17" s="628"/>
    </row>
    <row r="18" spans="1:28" x14ac:dyDescent="0.2">
      <c r="A18" s="115"/>
      <c r="B18" s="45"/>
      <c r="C18" s="46" t="s">
        <v>304</v>
      </c>
      <c r="D18" s="628"/>
      <c r="E18" s="628"/>
      <c r="F18" s="628"/>
      <c r="G18" s="628"/>
      <c r="H18" s="628"/>
      <c r="I18" s="628"/>
      <c r="J18" s="625"/>
      <c r="K18" s="628"/>
      <c r="L18" s="628"/>
    </row>
    <row r="19" spans="1:28" x14ac:dyDescent="0.2">
      <c r="A19" s="115">
        <f>A16+1</f>
        <v>9</v>
      </c>
      <c r="B19" s="45"/>
      <c r="C19" s="628" t="s">
        <v>239</v>
      </c>
      <c r="D19" s="628"/>
      <c r="E19" s="628"/>
      <c r="F19" s="628"/>
      <c r="G19" s="628"/>
      <c r="H19" s="628"/>
      <c r="I19" s="628"/>
      <c r="J19" s="625" t="s">
        <v>411</v>
      </c>
      <c r="K19" s="628"/>
      <c r="L19" s="688">
        <v>414553608</v>
      </c>
    </row>
    <row r="20" spans="1:28" x14ac:dyDescent="0.2">
      <c r="A20" s="115">
        <f>A19+1</f>
        <v>10</v>
      </c>
      <c r="B20" s="45"/>
      <c r="C20" s="628" t="s">
        <v>238</v>
      </c>
      <c r="D20" s="628"/>
      <c r="E20" s="628"/>
      <c r="F20" s="628"/>
      <c r="G20" s="628"/>
      <c r="H20" s="628"/>
      <c r="I20" s="628"/>
      <c r="J20" s="625" t="s">
        <v>412</v>
      </c>
      <c r="K20" s="628"/>
      <c r="L20" s="688">
        <v>30149018</v>
      </c>
    </row>
    <row r="21" spans="1:28" x14ac:dyDescent="0.2">
      <c r="A21" s="115">
        <f t="shared" ref="A21:A27" si="1">A20+1</f>
        <v>11</v>
      </c>
      <c r="B21" s="45"/>
      <c r="C21" s="628" t="s">
        <v>240</v>
      </c>
      <c r="D21" s="628"/>
      <c r="E21" s="628"/>
      <c r="F21" s="628"/>
      <c r="G21" s="628"/>
      <c r="H21" s="628"/>
      <c r="I21" s="628"/>
      <c r="J21" s="625" t="s">
        <v>413</v>
      </c>
      <c r="K21" s="628"/>
      <c r="L21" s="688">
        <v>0</v>
      </c>
    </row>
    <row r="22" spans="1:28" x14ac:dyDescent="0.2">
      <c r="A22" s="115">
        <f t="shared" si="1"/>
        <v>12</v>
      </c>
      <c r="B22" s="45"/>
      <c r="C22" s="628" t="s">
        <v>306</v>
      </c>
      <c r="D22" s="628"/>
      <c r="E22" s="628"/>
      <c r="F22" s="628"/>
      <c r="G22" s="628"/>
      <c r="H22" s="628"/>
      <c r="I22" s="628" t="s">
        <v>241</v>
      </c>
      <c r="J22" s="625" t="s">
        <v>414</v>
      </c>
      <c r="K22" s="628"/>
      <c r="L22" s="688">
        <v>0</v>
      </c>
    </row>
    <row r="23" spans="1:28" x14ac:dyDescent="0.2">
      <c r="A23" s="115">
        <f t="shared" si="1"/>
        <v>13</v>
      </c>
      <c r="B23" s="45"/>
      <c r="C23" s="628" t="s">
        <v>242</v>
      </c>
      <c r="D23" s="628"/>
      <c r="E23" s="628"/>
      <c r="F23" s="628"/>
      <c r="G23" s="628"/>
      <c r="H23" s="628"/>
      <c r="I23" s="628" t="s">
        <v>241</v>
      </c>
      <c r="J23" s="625" t="s">
        <v>415</v>
      </c>
      <c r="K23" s="628"/>
      <c r="L23" s="688">
        <v>0</v>
      </c>
    </row>
    <row r="24" spans="1:28" x14ac:dyDescent="0.2">
      <c r="A24" s="115" t="s">
        <v>1352</v>
      </c>
      <c r="B24" s="45"/>
      <c r="C24" s="628" t="s">
        <v>2463</v>
      </c>
      <c r="D24" s="628"/>
      <c r="E24" s="628"/>
      <c r="F24" s="628"/>
      <c r="G24" s="628"/>
      <c r="H24" s="628"/>
      <c r="I24" s="628"/>
      <c r="J24" s="625" t="s">
        <v>2464</v>
      </c>
      <c r="K24" s="628"/>
      <c r="L24" s="688">
        <v>0</v>
      </c>
    </row>
    <row r="25" spans="1:28" x14ac:dyDescent="0.2">
      <c r="A25" s="115">
        <f>A23+1</f>
        <v>14</v>
      </c>
      <c r="B25" s="45"/>
      <c r="C25" s="628" t="s">
        <v>2777</v>
      </c>
      <c r="D25" s="628"/>
      <c r="E25" s="628"/>
      <c r="F25" s="628"/>
      <c r="G25" s="628"/>
      <c r="H25" s="628"/>
      <c r="I25" s="628"/>
      <c r="J25" s="625"/>
      <c r="K25" s="628"/>
      <c r="L25" s="687"/>
    </row>
    <row r="26" spans="1:28" x14ac:dyDescent="0.2">
      <c r="A26" s="115">
        <f t="shared" si="1"/>
        <v>15</v>
      </c>
      <c r="B26" s="45"/>
      <c r="C26" s="628" t="s">
        <v>2777</v>
      </c>
      <c r="D26" s="628"/>
      <c r="E26" s="628"/>
      <c r="F26" s="628"/>
      <c r="G26" s="628"/>
      <c r="H26" s="628"/>
      <c r="I26" s="628"/>
      <c r="J26" s="625"/>
      <c r="K26" s="628"/>
      <c r="L26" s="1044"/>
    </row>
    <row r="27" spans="1:28" x14ac:dyDescent="0.2">
      <c r="A27" s="115">
        <f t="shared" si="1"/>
        <v>16</v>
      </c>
      <c r="B27" s="45"/>
      <c r="C27" s="625" t="s">
        <v>288</v>
      </c>
      <c r="D27" s="628"/>
      <c r="E27" s="628"/>
      <c r="F27" s="628"/>
      <c r="G27" s="628"/>
      <c r="H27" s="628"/>
      <c r="I27" s="14"/>
      <c r="J27" s="625" t="str">
        <f>"Sum of Lines "&amp;A19&amp;" to "&amp;A24&amp;""</f>
        <v>Sum of Lines 9 to 13a</v>
      </c>
      <c r="K27" s="628"/>
      <c r="L27" s="689">
        <f>SUM(L19:L24)</f>
        <v>444702626</v>
      </c>
    </row>
    <row r="28" spans="1:28" x14ac:dyDescent="0.2">
      <c r="A28" s="14"/>
      <c r="B28" s="45"/>
      <c r="C28" s="628"/>
      <c r="D28" s="628"/>
      <c r="E28" s="628"/>
      <c r="F28" s="628"/>
      <c r="G28" s="628"/>
      <c r="H28" s="628"/>
      <c r="I28" s="628"/>
      <c r="J28" s="625"/>
      <c r="K28" s="628"/>
      <c r="L28" s="628"/>
    </row>
    <row r="29" spans="1:28" x14ac:dyDescent="0.2">
      <c r="A29" s="115">
        <f>A27+1</f>
        <v>17</v>
      </c>
      <c r="B29" s="45"/>
      <c r="C29" s="628" t="s">
        <v>49</v>
      </c>
      <c r="D29" s="628"/>
      <c r="E29" s="628"/>
      <c r="F29" s="628"/>
      <c r="G29" s="628"/>
      <c r="H29" s="628"/>
      <c r="I29" s="14"/>
      <c r="J29" s="625" t="str">
        <f>"Line "&amp;A27&amp;" / Line "&amp;A16&amp;""</f>
        <v>Line 16 / Line 8</v>
      </c>
      <c r="K29" s="628"/>
      <c r="L29" s="467">
        <f>L27/L16</f>
        <v>5.566139458229493E-2</v>
      </c>
    </row>
    <row r="30" spans="1:28" x14ac:dyDescent="0.2">
      <c r="A30" s="115"/>
      <c r="B30" s="45"/>
      <c r="C30" s="628"/>
      <c r="D30" s="628"/>
      <c r="E30" s="628"/>
      <c r="F30" s="628"/>
      <c r="G30" s="628"/>
      <c r="H30" s="628"/>
      <c r="I30" s="14"/>
      <c r="J30" s="625"/>
      <c r="K30" s="628"/>
      <c r="L30" s="467"/>
    </row>
    <row r="31" spans="1:28" x14ac:dyDescent="0.2">
      <c r="A31" s="14"/>
      <c r="B31" s="45"/>
      <c r="C31" s="46" t="s">
        <v>1875</v>
      </c>
      <c r="D31" s="628"/>
      <c r="E31" s="628"/>
      <c r="F31" s="628"/>
      <c r="G31" s="628"/>
      <c r="H31" s="628"/>
      <c r="I31" s="628"/>
      <c r="J31" s="625"/>
      <c r="K31" s="628"/>
      <c r="L31" s="628"/>
    </row>
    <row r="32" spans="1:28" x14ac:dyDescent="0.2">
      <c r="A32" s="115">
        <f>A29+1</f>
        <v>18</v>
      </c>
      <c r="B32" s="45"/>
      <c r="C32" s="628" t="s">
        <v>50</v>
      </c>
      <c r="D32" s="628"/>
      <c r="E32" s="628"/>
      <c r="F32" s="628"/>
      <c r="G32" s="628"/>
      <c r="H32" s="628"/>
      <c r="I32" s="628" t="s">
        <v>2086</v>
      </c>
      <c r="J32" s="625" t="str">
        <f>"5-ROR-2, Line "&amp;'5-ROR-2'!A24&amp;""</f>
        <v>5-ROR-2, Line 18</v>
      </c>
      <c r="K32" s="628"/>
      <c r="L32" s="687">
        <f>'5-ROR-2'!C24</f>
        <v>1016158796.1538461</v>
      </c>
      <c r="N32" s="115"/>
      <c r="O32" s="687"/>
      <c r="P32" s="687"/>
      <c r="Q32" s="687"/>
      <c r="R32" s="687"/>
      <c r="S32" s="687"/>
      <c r="T32" s="687"/>
      <c r="U32" s="687"/>
      <c r="V32" s="687"/>
      <c r="W32" s="687"/>
      <c r="X32" s="687"/>
      <c r="Y32" s="687"/>
      <c r="Z32" s="687"/>
      <c r="AA32" s="687"/>
      <c r="AB32" s="687"/>
    </row>
    <row r="33" spans="1:28" x14ac:dyDescent="0.2">
      <c r="A33" s="115">
        <f t="shared" ref="A33:A34" si="2">A32+1</f>
        <v>19</v>
      </c>
      <c r="B33" s="45"/>
      <c r="C33" s="628" t="s">
        <v>1871</v>
      </c>
      <c r="D33" s="628"/>
      <c r="E33" s="628"/>
      <c r="F33" s="628"/>
      <c r="G33" s="628"/>
      <c r="H33" s="628"/>
      <c r="I33" s="628" t="s">
        <v>2086</v>
      </c>
      <c r="J33" s="625" t="str">
        <f>"5-ROR-2, Line "&amp;'5-ROR-2'!A26&amp;""</f>
        <v>5-ROR-2, Line 19</v>
      </c>
      <c r="K33" s="628"/>
      <c r="L33" s="687">
        <f>'5-ROR-2'!C26</f>
        <v>-7930950.6525641084</v>
      </c>
      <c r="N33" s="115"/>
      <c r="O33" s="687"/>
      <c r="P33" s="687"/>
      <c r="Q33" s="687"/>
      <c r="R33" s="687"/>
      <c r="S33" s="687"/>
      <c r="T33" s="687"/>
      <c r="U33" s="687"/>
      <c r="V33" s="687"/>
      <c r="W33" s="687"/>
      <c r="X33" s="687"/>
      <c r="Y33" s="687"/>
      <c r="Z33" s="687"/>
      <c r="AA33" s="687"/>
      <c r="AB33" s="687"/>
    </row>
    <row r="34" spans="1:28" x14ac:dyDescent="0.2">
      <c r="A34" s="115">
        <f t="shared" si="2"/>
        <v>20</v>
      </c>
      <c r="B34" s="45"/>
      <c r="C34" s="628" t="s">
        <v>1308</v>
      </c>
      <c r="D34" s="628"/>
      <c r="E34" s="628"/>
      <c r="F34" s="628"/>
      <c r="G34" s="628"/>
      <c r="H34" s="628"/>
      <c r="I34" s="628" t="s">
        <v>2086</v>
      </c>
      <c r="J34" s="625" t="str">
        <f>"5-ROR-2, Line "&amp;'5-ROR-2'!A28&amp;""</f>
        <v>5-ROR-2, Line 20</v>
      </c>
      <c r="K34" s="628"/>
      <c r="L34" s="690">
        <f>'5-ROR-2'!C28</f>
        <v>-1765704.6568627453</v>
      </c>
      <c r="N34" s="115"/>
      <c r="O34" s="687"/>
      <c r="P34" s="687"/>
      <c r="Q34" s="687"/>
      <c r="R34" s="687"/>
      <c r="S34" s="687"/>
      <c r="T34" s="687"/>
      <c r="U34" s="687"/>
      <c r="V34" s="687"/>
      <c r="W34" s="687"/>
      <c r="X34" s="687"/>
      <c r="Y34" s="687"/>
      <c r="Z34" s="687"/>
      <c r="AA34" s="687"/>
      <c r="AB34" s="687"/>
    </row>
    <row r="35" spans="1:28" x14ac:dyDescent="0.2">
      <c r="A35" s="115">
        <f>A34+1</f>
        <v>21</v>
      </c>
      <c r="B35" s="45"/>
      <c r="C35" s="625" t="s">
        <v>56</v>
      </c>
      <c r="D35" s="628"/>
      <c r="E35" s="628"/>
      <c r="F35" s="628"/>
      <c r="G35" s="628"/>
      <c r="H35" s="628"/>
      <c r="I35" s="628"/>
      <c r="J35" s="625" t="str">
        <f>"Sum of Lines "&amp;A32&amp;" to "&amp;A34&amp;""</f>
        <v>Sum of Lines 18 to 20</v>
      </c>
      <c r="K35" s="628"/>
      <c r="L35" s="687">
        <f>SUM(L32:L34)</f>
        <v>1006462140.8444192</v>
      </c>
    </row>
    <row r="36" spans="1:28" x14ac:dyDescent="0.2">
      <c r="A36" s="115"/>
      <c r="B36" s="45"/>
      <c r="C36" s="628"/>
      <c r="D36" s="628"/>
      <c r="E36" s="628"/>
      <c r="F36" s="628"/>
      <c r="G36" s="628"/>
      <c r="H36" s="628"/>
      <c r="I36" s="628"/>
      <c r="J36" s="625"/>
      <c r="K36" s="628"/>
      <c r="L36" s="687"/>
    </row>
    <row r="37" spans="1:28" x14ac:dyDescent="0.2">
      <c r="A37" s="115"/>
      <c r="B37" s="45"/>
      <c r="C37" s="46" t="s">
        <v>1876</v>
      </c>
      <c r="D37" s="628"/>
      <c r="E37" s="628"/>
      <c r="F37" s="628"/>
      <c r="G37" s="628"/>
      <c r="H37" s="628"/>
      <c r="I37" s="628"/>
      <c r="J37" s="625"/>
      <c r="K37" s="628"/>
      <c r="L37" s="687"/>
    </row>
    <row r="38" spans="1:28" x14ac:dyDescent="0.2">
      <c r="A38" s="115">
        <f>A35+1</f>
        <v>22</v>
      </c>
      <c r="B38" s="45"/>
      <c r="C38" s="628" t="s">
        <v>51</v>
      </c>
      <c r="D38" s="628"/>
      <c r="E38" s="628"/>
      <c r="F38" s="628"/>
      <c r="G38" s="628"/>
      <c r="H38" s="628"/>
      <c r="I38" s="628" t="s">
        <v>99</v>
      </c>
      <c r="J38" s="625" t="s">
        <v>416</v>
      </c>
      <c r="K38" s="628"/>
      <c r="L38" s="688">
        <v>58788054</v>
      </c>
    </row>
    <row r="39" spans="1:28" x14ac:dyDescent="0.2">
      <c r="A39" s="115">
        <f>A38+1</f>
        <v>23</v>
      </c>
      <c r="B39" s="45"/>
      <c r="C39" s="628" t="s">
        <v>1309</v>
      </c>
      <c r="D39" s="628"/>
      <c r="E39" s="628"/>
      <c r="F39" s="628"/>
      <c r="G39" s="628"/>
      <c r="H39" s="628"/>
      <c r="I39" s="628"/>
      <c r="J39" s="625" t="s">
        <v>320</v>
      </c>
      <c r="K39" s="628"/>
      <c r="L39" s="687">
        <f>'5-ROR-2'!H72</f>
        <v>205467.64705882355</v>
      </c>
    </row>
    <row r="40" spans="1:28" x14ac:dyDescent="0.2">
      <c r="A40" s="115">
        <f>A39+1</f>
        <v>24</v>
      </c>
      <c r="B40" s="45"/>
      <c r="C40" s="628" t="s">
        <v>1310</v>
      </c>
      <c r="D40" s="628"/>
      <c r="E40" s="628"/>
      <c r="F40" s="628"/>
      <c r="G40" s="628"/>
      <c r="H40" s="628"/>
      <c r="I40" s="628"/>
      <c r="J40" s="625" t="s">
        <v>1057</v>
      </c>
      <c r="K40" s="628"/>
      <c r="L40" s="687">
        <f>'5-ROR-2'!I62</f>
        <v>331012.53333333333</v>
      </c>
    </row>
    <row r="41" spans="1:28" x14ac:dyDescent="0.2">
      <c r="A41" s="115">
        <f t="shared" ref="A41" si="3">A40+1</f>
        <v>25</v>
      </c>
      <c r="B41" s="45"/>
      <c r="C41" s="625" t="s">
        <v>51</v>
      </c>
      <c r="D41" s="628"/>
      <c r="E41" s="628"/>
      <c r="F41" s="628"/>
      <c r="G41" s="628"/>
      <c r="H41" s="628"/>
      <c r="J41" s="625" t="str">
        <f>"Sum of Lines "&amp;A38&amp;" to "&amp;A40&amp;""</f>
        <v>Sum of Lines 22 to 24</v>
      </c>
      <c r="K41" s="628"/>
      <c r="L41" s="689">
        <f>SUM(L38:L40)</f>
        <v>59324534.180392154</v>
      </c>
    </row>
    <row r="42" spans="1:28" x14ac:dyDescent="0.2">
      <c r="A42" s="14"/>
      <c r="B42" s="45"/>
      <c r="C42" s="628"/>
      <c r="D42" s="628"/>
      <c r="E42" s="628"/>
      <c r="F42" s="628"/>
      <c r="G42" s="628"/>
      <c r="H42" s="628"/>
      <c r="I42" s="628"/>
      <c r="J42" s="625"/>
      <c r="K42" s="628"/>
      <c r="L42" s="687"/>
    </row>
    <row r="43" spans="1:28" x14ac:dyDescent="0.2">
      <c r="A43" s="115">
        <f>A41+1</f>
        <v>26</v>
      </c>
      <c r="B43" s="45"/>
      <c r="C43" s="628" t="s">
        <v>52</v>
      </c>
      <c r="D43" s="628"/>
      <c r="E43" s="628"/>
      <c r="F43" s="628"/>
      <c r="G43" s="628"/>
      <c r="H43" s="628"/>
      <c r="J43" s="625" t="str">
        <f>"Line "&amp;A41&amp;" / Line "&amp;A35&amp;""</f>
        <v>Line 25 / Line 21</v>
      </c>
      <c r="K43" s="628"/>
      <c r="L43" s="467">
        <f>L41/L35</f>
        <v>5.8943632127701311E-2</v>
      </c>
    </row>
    <row r="44" spans="1:28" x14ac:dyDescent="0.2">
      <c r="A44" s="14"/>
      <c r="B44" s="45"/>
      <c r="C44" s="628"/>
      <c r="D44" s="628"/>
      <c r="E44" s="628"/>
      <c r="F44" s="628"/>
      <c r="G44" s="628"/>
      <c r="H44" s="628"/>
      <c r="I44" s="628"/>
      <c r="J44" s="625"/>
      <c r="K44" s="628"/>
      <c r="L44" s="628"/>
    </row>
    <row r="45" spans="1:28" x14ac:dyDescent="0.2">
      <c r="A45" s="14"/>
      <c r="B45" s="45"/>
      <c r="C45" s="46" t="s">
        <v>305</v>
      </c>
      <c r="D45" s="628"/>
      <c r="E45" s="628"/>
      <c r="F45" s="628"/>
      <c r="G45" s="628"/>
      <c r="H45" s="628"/>
      <c r="I45" s="691"/>
      <c r="J45" s="625"/>
      <c r="K45" s="628"/>
      <c r="L45" s="628"/>
    </row>
    <row r="46" spans="1:28" x14ac:dyDescent="0.2">
      <c r="A46" s="115">
        <f>A43+1</f>
        <v>27</v>
      </c>
      <c r="B46" s="45"/>
      <c r="C46" s="628" t="s">
        <v>243</v>
      </c>
      <c r="D46" s="628"/>
      <c r="E46" s="628"/>
      <c r="F46" s="628"/>
      <c r="G46" s="628"/>
      <c r="H46" s="628"/>
      <c r="I46" s="628" t="s">
        <v>2086</v>
      </c>
      <c r="J46" s="625" t="str">
        <f>"5-ROR-2, Line "&amp;'5-ROR-2'!A30&amp;""</f>
        <v>5-ROR-2, Line 27</v>
      </c>
      <c r="K46" s="628"/>
      <c r="L46" s="687">
        <f>'5-ROR-2'!C30</f>
        <v>9628637288.470768</v>
      </c>
      <c r="N46" s="115"/>
      <c r="O46" s="687"/>
      <c r="P46" s="687"/>
      <c r="Q46" s="687"/>
      <c r="R46" s="687"/>
      <c r="S46" s="687"/>
      <c r="T46" s="687"/>
      <c r="U46" s="687"/>
      <c r="V46" s="687"/>
      <c r="W46" s="687"/>
      <c r="X46" s="687"/>
      <c r="Y46" s="687"/>
      <c r="Z46" s="687"/>
      <c r="AA46" s="687"/>
      <c r="AB46" s="687"/>
    </row>
    <row r="47" spans="1:28" x14ac:dyDescent="0.2">
      <c r="A47" s="115">
        <f>A46+1</f>
        <v>28</v>
      </c>
      <c r="B47" s="45"/>
      <c r="C47" s="628" t="s">
        <v>54</v>
      </c>
      <c r="D47" s="628"/>
      <c r="E47" s="628"/>
      <c r="F47" s="628"/>
      <c r="G47" s="628"/>
      <c r="H47" s="628"/>
      <c r="I47" s="628" t="str">
        <f>"Same as L "&amp;A32&amp;", but negative"</f>
        <v>Same as L 18, but negative</v>
      </c>
      <c r="J47" s="625" t="str">
        <f>"5-ROR-2, Line "&amp;'5-ROR-2'!A24&amp;""</f>
        <v>5-ROR-2, Line 18</v>
      </c>
      <c r="K47" s="628"/>
      <c r="L47" s="687">
        <f>-'5-ROR-2'!C24</f>
        <v>-1016158796.1538461</v>
      </c>
      <c r="N47" s="115"/>
      <c r="O47" s="687"/>
      <c r="P47" s="687"/>
      <c r="Q47" s="687"/>
      <c r="R47" s="687"/>
      <c r="S47" s="687"/>
      <c r="T47" s="687"/>
      <c r="U47" s="687"/>
      <c r="V47" s="687"/>
      <c r="W47" s="687"/>
      <c r="X47" s="687"/>
      <c r="Y47" s="687"/>
      <c r="Z47" s="687"/>
      <c r="AA47" s="687"/>
      <c r="AB47" s="687"/>
    </row>
    <row r="48" spans="1:28" x14ac:dyDescent="0.2">
      <c r="A48" s="115">
        <f t="shared" ref="A48:A50" si="4">A47+1</f>
        <v>29</v>
      </c>
      <c r="B48" s="45"/>
      <c r="C48" s="628" t="s">
        <v>1872</v>
      </c>
      <c r="D48" s="628"/>
      <c r="E48" s="628"/>
      <c r="F48" s="628"/>
      <c r="G48" s="628"/>
      <c r="H48" s="628"/>
      <c r="I48" s="628" t="str">
        <f>"Same as L "&amp;A34&amp;", but reverse sign"</f>
        <v>Same as L 20, but reverse sign</v>
      </c>
      <c r="J48" s="625" t="s">
        <v>1058</v>
      </c>
      <c r="K48" s="628"/>
      <c r="L48" s="687">
        <f>-L34</f>
        <v>1765704.6568627453</v>
      </c>
      <c r="N48" s="115"/>
      <c r="O48" s="687"/>
      <c r="P48" s="687"/>
      <c r="Q48" s="687"/>
      <c r="R48" s="687"/>
      <c r="S48" s="687"/>
      <c r="T48" s="687"/>
      <c r="U48" s="687"/>
      <c r="V48" s="687"/>
      <c r="W48" s="687"/>
      <c r="X48" s="687"/>
      <c r="Y48" s="687"/>
      <c r="Z48" s="687"/>
      <c r="AA48" s="687"/>
      <c r="AB48" s="687"/>
    </row>
    <row r="49" spans="1:28" x14ac:dyDescent="0.2">
      <c r="A49" s="115">
        <f t="shared" si="4"/>
        <v>30</v>
      </c>
      <c r="B49" s="45"/>
      <c r="C49" s="628" t="s">
        <v>1873</v>
      </c>
      <c r="D49" s="628"/>
      <c r="E49" s="628"/>
      <c r="F49" s="628"/>
      <c r="G49" s="628"/>
      <c r="H49" s="628"/>
      <c r="I49" s="628" t="s">
        <v>2086</v>
      </c>
      <c r="J49" s="625" t="str">
        <f>"5-ROR-2, Line "&amp;'5-ROR-2'!A32&amp;""</f>
        <v>5-ROR-2, Line 30</v>
      </c>
      <c r="K49" s="628"/>
      <c r="L49" s="687">
        <f>'5-ROR-2'!C32</f>
        <v>-3725675.7407692303</v>
      </c>
      <c r="N49" s="115"/>
      <c r="O49" s="687"/>
      <c r="P49" s="687"/>
      <c r="Q49" s="687"/>
      <c r="R49" s="687"/>
      <c r="S49" s="687"/>
      <c r="T49" s="687"/>
      <c r="U49" s="687"/>
      <c r="V49" s="687"/>
      <c r="W49" s="687"/>
      <c r="X49" s="687"/>
      <c r="Y49" s="687"/>
      <c r="Z49" s="687"/>
      <c r="AA49" s="687"/>
      <c r="AB49" s="687"/>
    </row>
    <row r="50" spans="1:28" x14ac:dyDescent="0.2">
      <c r="A50" s="115">
        <f t="shared" si="4"/>
        <v>31</v>
      </c>
      <c r="B50" s="45"/>
      <c r="C50" s="628" t="s">
        <v>1874</v>
      </c>
      <c r="D50" s="628"/>
      <c r="E50" s="628"/>
      <c r="F50" s="628"/>
      <c r="G50" s="628"/>
      <c r="H50" s="628"/>
      <c r="I50" s="628" t="s">
        <v>2086</v>
      </c>
      <c r="J50" s="625" t="str">
        <f>"5-ROR-2, Line "&amp;'5-ROR-2'!A34&amp;""</f>
        <v>5-ROR-2, Line 31</v>
      </c>
      <c r="K50" s="628"/>
      <c r="L50" s="687">
        <f>'5-ROR-2'!C34</f>
        <v>22979584.85846154</v>
      </c>
      <c r="N50" s="115"/>
      <c r="O50" s="687"/>
      <c r="P50" s="687"/>
      <c r="Q50" s="687"/>
      <c r="R50" s="687"/>
      <c r="S50" s="687"/>
      <c r="T50" s="687"/>
      <c r="U50" s="687"/>
      <c r="V50" s="687"/>
      <c r="W50" s="687"/>
      <c r="X50" s="687"/>
      <c r="Y50" s="687"/>
      <c r="Z50" s="687"/>
      <c r="AA50" s="687"/>
      <c r="AB50" s="687"/>
    </row>
    <row r="51" spans="1:28" x14ac:dyDescent="0.2">
      <c r="A51" s="115">
        <f>A50+1</f>
        <v>32</v>
      </c>
      <c r="B51" s="45"/>
      <c r="C51" s="628" t="s">
        <v>53</v>
      </c>
      <c r="D51" s="628"/>
      <c r="E51" s="628"/>
      <c r="F51" s="628"/>
      <c r="G51" s="628"/>
      <c r="H51" s="628"/>
      <c r="I51" s="628"/>
      <c r="J51" s="625" t="str">
        <f>"Sum of Lines "&amp;A46&amp;" to "&amp;A50&amp;""</f>
        <v>Sum of Lines 27 to 31</v>
      </c>
      <c r="K51" s="628"/>
      <c r="L51" s="689">
        <f>SUM(L46:L50)</f>
        <v>8633498106.0914764</v>
      </c>
    </row>
    <row r="52" spans="1:28" x14ac:dyDescent="0.2">
      <c r="A52" s="14"/>
      <c r="B52" s="1036" t="s">
        <v>265</v>
      </c>
      <c r="C52" s="628"/>
      <c r="D52" s="628"/>
      <c r="E52" s="628"/>
      <c r="F52" s="628"/>
      <c r="G52" s="628"/>
      <c r="H52" s="628"/>
      <c r="I52" s="628"/>
      <c r="J52" s="628"/>
      <c r="K52" s="626"/>
      <c r="L52" s="626"/>
    </row>
    <row r="53" spans="1:28" x14ac:dyDescent="0.2">
      <c r="A53" s="14"/>
      <c r="B53" s="628" t="s">
        <v>2840</v>
      </c>
      <c r="C53" s="14"/>
      <c r="D53" s="14"/>
      <c r="E53" s="14"/>
      <c r="F53" s="14"/>
      <c r="G53" s="14"/>
      <c r="H53" s="14"/>
      <c r="I53" s="14"/>
      <c r="J53" s="628"/>
    </row>
    <row r="54" spans="1:28" x14ac:dyDescent="0.2">
      <c r="A54" s="14"/>
      <c r="B54" s="628" t="s">
        <v>2841</v>
      </c>
      <c r="C54" s="14"/>
      <c r="D54" s="14"/>
      <c r="E54" s="14"/>
      <c r="F54" s="14"/>
      <c r="G54" s="14"/>
      <c r="H54" s="14"/>
      <c r="I54" s="14"/>
      <c r="J54" s="628"/>
    </row>
    <row r="55" spans="1:28" x14ac:dyDescent="0.2">
      <c r="A55" s="14"/>
      <c r="B55" s="628" t="s">
        <v>2852</v>
      </c>
      <c r="C55" s="14"/>
      <c r="D55" s="14"/>
      <c r="E55" s="14"/>
      <c r="F55" s="14"/>
      <c r="G55" s="14"/>
      <c r="H55" s="14"/>
      <c r="I55" s="14"/>
      <c r="J55" s="628"/>
    </row>
    <row r="56" spans="1:28" x14ac:dyDescent="0.2">
      <c r="A56" s="14"/>
      <c r="B56" s="628" t="s">
        <v>2853</v>
      </c>
      <c r="C56" s="14"/>
      <c r="D56" s="14"/>
      <c r="E56" s="14"/>
      <c r="F56" s="14"/>
      <c r="G56" s="14"/>
      <c r="H56" s="14"/>
      <c r="I56" s="14"/>
      <c r="J56" s="14"/>
    </row>
    <row r="57" spans="1:28" x14ac:dyDescent="0.2">
      <c r="A57" s="14"/>
      <c r="B57" s="838" t="str">
        <f>"5) Negative of Line "&amp;A34&amp;""&amp;", charge to common equity reversed for ratemaking."</f>
        <v>5) Negative of Line 20, charge to common equity reversed for ratemaking.</v>
      </c>
      <c r="C57" s="14"/>
      <c r="D57" s="14"/>
      <c r="E57" s="14"/>
      <c r="F57" s="14"/>
      <c r="G57" s="14"/>
      <c r="H57" s="14"/>
      <c r="I57" s="14"/>
      <c r="J57" s="14"/>
    </row>
    <row r="58" spans="1:28" x14ac:dyDescent="0.2">
      <c r="A58" s="14"/>
      <c r="B58" s="628"/>
      <c r="C58" s="14"/>
      <c r="D58" s="14"/>
      <c r="E58" s="14"/>
      <c r="F58" s="14"/>
      <c r="G58" s="14"/>
      <c r="H58" s="14"/>
      <c r="I58" s="14"/>
      <c r="J58" s="14"/>
    </row>
    <row r="59" spans="1:28" x14ac:dyDescent="0.2">
      <c r="B59" s="630"/>
    </row>
    <row r="60" spans="1:28" x14ac:dyDescent="0.2">
      <c r="B60" s="626"/>
    </row>
    <row r="61" spans="1:28" x14ac:dyDescent="0.2">
      <c r="B61" s="630"/>
    </row>
  </sheetData>
  <phoneticPr fontId="11" type="noConversion"/>
  <pageMargins left="0.75" right="0.75" top="1" bottom="1" header="0.5" footer="0.5"/>
  <pageSetup scale="66" orientation="landscape" cellComments="asDisplayed" r:id="rId1"/>
  <headerFooter alignWithMargins="0">
    <oddHeader xml:space="preserve">&amp;CSchedule 5 ROR-1
Return and Capitalization
&amp;"Arial,Bold"Exhibit G-2&amp;"Arial,Regular"
</oddHeader>
    <oddFooter>&amp;R&amp;A</oddFooter>
  </headerFooter>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41</vt:i4>
      </vt:variant>
      <vt:variant>
        <vt:lpstr>Named Ranges</vt:lpstr>
      </vt:variant>
      <vt:variant>
        <vt:i4>40</vt:i4>
      </vt:variant>
    </vt:vector>
  </HeadingPairs>
  <TitlesOfParts>
    <vt:vector size="81" baseType="lpstr">
      <vt:lpstr>WIT</vt:lpstr>
      <vt:lpstr>Heading</vt:lpstr>
      <vt:lpstr>Contents</vt:lpstr>
      <vt:lpstr>Overview</vt:lpstr>
      <vt:lpstr>1-BaseTRR</vt:lpstr>
      <vt:lpstr>2-IFPTRR</vt:lpstr>
      <vt:lpstr>3-TrueUpAdjust</vt:lpstr>
      <vt:lpstr>4-TUTRR</vt:lpstr>
      <vt:lpstr>5-ROR-1</vt:lpstr>
      <vt:lpstr>5-ROR-2</vt:lpstr>
      <vt:lpstr>6-PlantInService</vt:lpstr>
      <vt:lpstr>7-PlantStudy</vt:lpstr>
      <vt:lpstr>8-AccDep</vt:lpstr>
      <vt:lpstr>9-ADIT</vt:lpstr>
      <vt:lpstr>10-CWIP</vt:lpstr>
      <vt:lpstr>11-PHFU</vt:lpstr>
      <vt:lpstr>12-AbandonedPlant</vt:lpstr>
      <vt:lpstr>13-WorkCap</vt:lpstr>
      <vt:lpstr>14-IncentivePlant</vt:lpstr>
      <vt:lpstr>15-IncentiveAdder</vt:lpstr>
      <vt:lpstr>16-PlantAdditions</vt:lpstr>
      <vt:lpstr>17-Depreciation</vt:lpstr>
      <vt:lpstr>18-DepRates</vt:lpstr>
      <vt:lpstr>19-OandM</vt:lpstr>
      <vt:lpstr>20-AandG</vt:lpstr>
      <vt:lpstr>21-RevenueCredits</vt:lpstr>
      <vt:lpstr>22-NUCs</vt:lpstr>
      <vt:lpstr>23-RegAssets</vt:lpstr>
      <vt:lpstr>24-CWIPTRR</vt:lpstr>
      <vt:lpstr>25-WholesaleDifference</vt:lpstr>
      <vt:lpstr>26-TaxRates</vt:lpstr>
      <vt:lpstr>27-Allocators</vt:lpstr>
      <vt:lpstr>28-FFU</vt:lpstr>
      <vt:lpstr>29-WholesaleTRRs</vt:lpstr>
      <vt:lpstr>30-WholesaleRates</vt:lpstr>
      <vt:lpstr>31-HVLV</vt:lpstr>
      <vt:lpstr>32-GrossLoad</vt:lpstr>
      <vt:lpstr>33-RetailRates</vt:lpstr>
      <vt:lpstr>34-UnfundedReserves</vt:lpstr>
      <vt:lpstr>35-PBOPs</vt:lpstr>
      <vt:lpstr>Sheet1</vt:lpstr>
      <vt:lpstr>'10-CWIP'!Print_Area</vt:lpstr>
      <vt:lpstr>'11-PHFU'!Print_Area</vt:lpstr>
      <vt:lpstr>'12-AbandonedPlant'!Print_Area</vt:lpstr>
      <vt:lpstr>'13-WorkCap'!Print_Area</vt:lpstr>
      <vt:lpstr>'14-IncentivePlant'!Print_Area</vt:lpstr>
      <vt:lpstr>'15-IncentiveAdder'!Print_Area</vt:lpstr>
      <vt:lpstr>'16-PlantAdditions'!Print_Area</vt:lpstr>
      <vt:lpstr>'17-Depreciation'!Print_Area</vt:lpstr>
      <vt:lpstr>'18-DepRates'!Print_Area</vt:lpstr>
      <vt:lpstr>'19-OandM'!Print_Area</vt:lpstr>
      <vt:lpstr>'1-BaseTRR'!Print_Area</vt:lpstr>
      <vt:lpstr>'20-AandG'!Print_Area</vt:lpstr>
      <vt:lpstr>'21-RevenueCredits'!Print_Area</vt:lpstr>
      <vt:lpstr>'22-NUCs'!Print_Area</vt:lpstr>
      <vt:lpstr>'23-RegAssets'!Print_Area</vt:lpstr>
      <vt:lpstr>'24-CWIPTRR'!Print_Area</vt:lpstr>
      <vt:lpstr>'25-WholesaleDifference'!Print_Area</vt:lpstr>
      <vt:lpstr>'26-TaxRates'!Print_Area</vt:lpstr>
      <vt:lpstr>'27-Allocators'!Print_Area</vt:lpstr>
      <vt:lpstr>'28-FFU'!Print_Area</vt:lpstr>
      <vt:lpstr>'29-WholesaleTRRs'!Print_Area</vt:lpstr>
      <vt:lpstr>'2-IFPTRR'!Print_Area</vt:lpstr>
      <vt:lpstr>'30-WholesaleRates'!Print_Area</vt:lpstr>
      <vt:lpstr>'31-HVLV'!Print_Area</vt:lpstr>
      <vt:lpstr>'32-GrossLoad'!Print_Area</vt:lpstr>
      <vt:lpstr>'34-UnfundedReserves'!Print_Area</vt:lpstr>
      <vt:lpstr>'3-TrueUpAdjust'!Print_Area</vt:lpstr>
      <vt:lpstr>'4-TUTRR'!Print_Area</vt:lpstr>
      <vt:lpstr>'5-ROR-1'!Print_Area</vt:lpstr>
      <vt:lpstr>'5-ROR-2'!Print_Area</vt:lpstr>
      <vt:lpstr>'6-PlantInService'!Print_Area</vt:lpstr>
      <vt:lpstr>'7-PlantStudy'!Print_Area</vt:lpstr>
      <vt:lpstr>'8-AccDep'!Print_Area</vt:lpstr>
      <vt:lpstr>'9-ADIT'!Print_Area</vt:lpstr>
      <vt:lpstr>Contents!Print_Area</vt:lpstr>
      <vt:lpstr>Heading!Print_Area</vt:lpstr>
      <vt:lpstr>Overview!Print_Area</vt:lpstr>
      <vt:lpstr>WIT!Print_Area</vt:lpstr>
      <vt:lpstr>'1-BaseTRR'!Print_Titles</vt:lpstr>
      <vt:lpstr>'21-RevenueCredits'!Print_Titles</vt:lpstr>
    </vt:vector>
  </TitlesOfParts>
  <Company>Edison International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Kim, Jee Young</cp:lastModifiedBy>
  <cp:lastPrinted>2013-08-22T21:46:06Z</cp:lastPrinted>
  <dcterms:created xsi:type="dcterms:W3CDTF">2009-02-27T16:01:11Z</dcterms:created>
  <dcterms:modified xsi:type="dcterms:W3CDTF">2013-08-22T21:48:19Z</dcterms:modified>
</cp:coreProperties>
</file>