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05" windowWidth="12690" windowHeight="11700"/>
  </bookViews>
  <sheets>
    <sheet name="WIT" sheetId="84" r:id="rId1"/>
    <sheet name="Heading" sheetId="76" r:id="rId2"/>
    <sheet name="Contents" sheetId="68" r:id="rId3"/>
    <sheet name="Overview" sheetId="9" r:id="rId4"/>
    <sheet name="1-BaseTRR" sheetId="1" r:id="rId5"/>
    <sheet name="2-IFPTRR" sheetId="7" r:id="rId6"/>
    <sheet name="3-TrueUpAdjust" sheetId="65" r:id="rId7"/>
    <sheet name="4-TUTRR" sheetId="8" r:id="rId8"/>
    <sheet name="5-ROR-1" sheetId="28" r:id="rId9"/>
    <sheet name="5-ROR-2" sheetId="72" r:id="rId10"/>
    <sheet name="6-PlantInService" sheetId="4" r:id="rId11"/>
    <sheet name="7-PlantStudy" sheetId="56" r:id="rId12"/>
    <sheet name="8-AccDep" sheetId="21" r:id="rId13"/>
    <sheet name="9-ADIT" sheetId="15" r:id="rId14"/>
    <sheet name="10-CWIP" sheetId="49" r:id="rId15"/>
    <sheet name="11-PHFU" sheetId="54" r:id="rId16"/>
    <sheet name="12-AbandonedPlant" sheetId="45" r:id="rId17"/>
    <sheet name="13-WorkCap" sheetId="22" r:id="rId18"/>
    <sheet name="14-IncentivePlant" sheetId="11" r:id="rId19"/>
    <sheet name="15-IncentiveAdder" sheetId="12" r:id="rId20"/>
    <sheet name="16-PlantAdditions" sheetId="48" r:id="rId21"/>
    <sheet name="17-Depreciation" sheetId="64" r:id="rId22"/>
    <sheet name="18-DepRates" sheetId="63" r:id="rId23"/>
    <sheet name="19-OandM" sheetId="46" r:id="rId24"/>
    <sheet name="20-AandG" sheetId="26" r:id="rId25"/>
    <sheet name="21-RevenueCredits" sheetId="61" r:id="rId26"/>
    <sheet name="22-NUCs" sheetId="66" r:id="rId27"/>
    <sheet name="23-RegAssets" sheetId="55" r:id="rId28"/>
    <sheet name="24-CWIPTRR" sheetId="71" r:id="rId29"/>
    <sheet name="25-WholesaleDifference" sheetId="44" r:id="rId30"/>
    <sheet name="26-TaxRates" sheetId="17" r:id="rId31"/>
    <sheet name="27-Allocators" sheetId="2" r:id="rId32"/>
    <sheet name="28-FFU" sheetId="30" r:id="rId33"/>
    <sheet name="29-WholesaleTRRs" sheetId="31" r:id="rId34"/>
    <sheet name="30-WholesaleRates" sheetId="32" r:id="rId35"/>
    <sheet name="31-HVLV" sheetId="57" r:id="rId36"/>
    <sheet name="32-GrossLoad" sheetId="42" r:id="rId37"/>
    <sheet name="33-RetailRates" sheetId="53" r:id="rId38"/>
    <sheet name="34-UnfundedReserves" sheetId="79" r:id="rId39"/>
    <sheet name="35-PBOPs" sheetId="78" r:id="rId40"/>
    <sheet name="Sheet1" sheetId="82" r:id="rId41"/>
  </sheets>
  <externalReferences>
    <externalReference r:id="rId42"/>
    <externalReference r:id="rId43"/>
  </externalReferences>
  <definedNames>
    <definedName name="_xlnm._FilterDatabase" localSheetId="25" hidden="1">'21-RevenueCredits'!$A$1:$O$228</definedName>
    <definedName name="_xlnm.Print_Area" localSheetId="14">'10-CWIP'!$A$1:$K$375</definedName>
    <definedName name="_xlnm.Print_Area" localSheetId="15">'11-PHFU'!$A$1:$F$61</definedName>
    <definedName name="_xlnm.Print_Area" localSheetId="16">'12-AbandonedPlant'!$A$1:$J$69</definedName>
    <definedName name="_xlnm.Print_Area" localSheetId="17">'13-WorkCap'!$A$1:$G$69</definedName>
    <definedName name="_xlnm.Print_Area" localSheetId="18">'14-IncentivePlant'!$A$1:$J$372</definedName>
    <definedName name="_xlnm.Print_Area" localSheetId="19">'15-IncentiveAdder'!$A$1:$J$112</definedName>
    <definedName name="_xlnm.Print_Area" localSheetId="20">'16-PlantAdditions'!$A$1:$P$128</definedName>
    <definedName name="_xlnm.Print_Area" localSheetId="21">'17-Depreciation'!$A$1:$M$107</definedName>
    <definedName name="_xlnm.Print_Area" localSheetId="22">'18-DepRates'!$A$1:$G$64</definedName>
    <definedName name="_xlnm.Print_Area" localSheetId="23">'19-OandM'!$A$1:$L$215</definedName>
    <definedName name="_xlnm.Print_Area" localSheetId="4">'1-BaseTRR'!$A$1:$K$167</definedName>
    <definedName name="_xlnm.Print_Area" localSheetId="24">'20-AandG'!$A$1:$J$112</definedName>
    <definedName name="_xlnm.Print_Area" localSheetId="25">'21-RevenueCredits'!$A$1:$O$232</definedName>
    <definedName name="_xlnm.Print_Area" localSheetId="26">'22-NUCs'!$A$1:$F$30</definedName>
    <definedName name="_xlnm.Print_Area" localSheetId="27">'23-RegAssets'!$A$1:$I$37</definedName>
    <definedName name="_xlnm.Print_Area" localSheetId="28">'24-CWIPTRR'!$A$1:$J$195</definedName>
    <definedName name="_xlnm.Print_Area" localSheetId="29">'25-WholesaleDifference'!$A$1:$J$100</definedName>
    <definedName name="_xlnm.Print_Area" localSheetId="30">'26-TaxRates'!$A$1:$F$79</definedName>
    <definedName name="_xlnm.Print_Area" localSheetId="31">'27-Allocators'!$A$1:$K$126</definedName>
    <definedName name="_xlnm.Print_Area" localSheetId="32">'28-FFU'!$A$1:$I$46</definedName>
    <definedName name="_xlnm.Print_Area" localSheetId="33">'29-WholesaleTRRs'!$A$1:$I$41</definedName>
    <definedName name="_xlnm.Print_Area" localSheetId="5">'2-IFPTRR'!$A$1:$G$91</definedName>
    <definedName name="_xlnm.Print_Area" localSheetId="34">'30-WholesaleRates'!$A$1:$I$47</definedName>
    <definedName name="_xlnm.Print_Area" localSheetId="35">'31-HVLV'!$A$1:$K$51</definedName>
    <definedName name="_xlnm.Print_Area" localSheetId="36">'32-GrossLoad'!$A$1:$I$19</definedName>
    <definedName name="_xlnm.Print_Area" localSheetId="38">'34-UnfundedReserves'!$A$1:$K$45</definedName>
    <definedName name="_xlnm.Print_Area" localSheetId="6">'3-TrueUpAdjust'!$A$1:$L$173</definedName>
    <definedName name="_xlnm.Print_Area" localSheetId="7">'4-TUTRR'!$A$1:$J$108</definedName>
    <definedName name="_xlnm.Print_Area" localSheetId="8">'5-ROR-1'!$A$1:$L$57</definedName>
    <definedName name="_xlnm.Print_Area" localSheetId="9">'5-ROR-2'!$A$1:$P$75</definedName>
    <definedName name="_xlnm.Print_Area" localSheetId="10">'6-PlantInService'!$A$1:$M$181</definedName>
    <definedName name="_xlnm.Print_Area" localSheetId="11">'7-PlantStudy'!$A$1:$G$54</definedName>
    <definedName name="_xlnm.Print_Area" localSheetId="12">'8-AccDep'!$A$1:$N$179</definedName>
    <definedName name="_xlnm.Print_Area" localSheetId="13">'9-ADIT'!$A$1:$J$334</definedName>
    <definedName name="_xlnm.Print_Area" localSheetId="2">Contents!$A$1:$D$39</definedName>
    <definedName name="_xlnm.Print_Area" localSheetId="1">Heading!$A$1:$K$28</definedName>
    <definedName name="_xlnm.Print_Area" localSheetId="3">Overview!$A$1:$I$24</definedName>
    <definedName name="_xlnm.Print_Area" localSheetId="0">WIT!$A$1:$K$29</definedName>
    <definedName name="_xlnm.Print_Titles" localSheetId="4">'1-BaseTRR'!$1:$6</definedName>
    <definedName name="_xlnm.Print_Titles" localSheetId="25">'21-RevenueCredits'!$1:$3</definedName>
  </definedNames>
  <calcPr calcId="145621"/>
</workbook>
</file>

<file path=xl/calcChain.xml><?xml version="1.0" encoding="utf-8"?>
<calcChain xmlns="http://schemas.openxmlformats.org/spreadsheetml/2006/main">
  <c r="B2" i="72" l="1"/>
  <c r="C28" i="72"/>
  <c r="C26" i="72"/>
  <c r="L34" i="28" l="1"/>
  <c r="J34" i="28"/>
  <c r="L33" i="28"/>
  <c r="J33" i="28"/>
  <c r="I58" i="72" l="1"/>
  <c r="I61" i="72" s="1"/>
  <c r="I59" i="72"/>
  <c r="H67" i="72"/>
  <c r="H71" i="72" s="1"/>
  <c r="H68" i="72"/>
  <c r="H69" i="72"/>
  <c r="D75" i="49" l="1"/>
  <c r="D55" i="49"/>
  <c r="A40" i="15" l="1"/>
  <c r="D119" i="48" l="1"/>
  <c r="D118" i="48"/>
  <c r="D117" i="48"/>
  <c r="D116" i="48"/>
  <c r="D115" i="48"/>
  <c r="D114" i="48"/>
  <c r="D113" i="48"/>
  <c r="D112" i="48"/>
  <c r="D111" i="48"/>
  <c r="D110" i="48"/>
  <c r="F202" i="61" l="1"/>
  <c r="F73" i="64"/>
  <c r="E73" i="64"/>
  <c r="D73" i="64"/>
  <c r="F68" i="64"/>
  <c r="F67" i="64"/>
  <c r="E68" i="64"/>
  <c r="E67" i="64"/>
  <c r="D68" i="64"/>
  <c r="D67" i="64"/>
  <c r="L27" i="28" l="1"/>
  <c r="B172" i="21" l="1"/>
  <c r="I86" i="64" l="1"/>
  <c r="D24" i="64" l="1"/>
  <c r="L12" i="64"/>
  <c r="L49" i="64" s="1"/>
  <c r="M91" i="21" s="1"/>
  <c r="K12" i="64"/>
  <c r="K49" i="64" s="1"/>
  <c r="L91" i="21" s="1"/>
  <c r="J12" i="64"/>
  <c r="J49" i="64" s="1"/>
  <c r="K91" i="21" s="1"/>
  <c r="I12" i="64"/>
  <c r="I49" i="64" s="1"/>
  <c r="J91" i="21" s="1"/>
  <c r="H12" i="64"/>
  <c r="H49" i="64" s="1"/>
  <c r="I91" i="21" s="1"/>
  <c r="G12" i="64"/>
  <c r="G49" i="64" s="1"/>
  <c r="H91" i="21" s="1"/>
  <c r="F12" i="64"/>
  <c r="F49" i="64" s="1"/>
  <c r="G91" i="21" s="1"/>
  <c r="E12" i="64"/>
  <c r="E49" i="64" s="1"/>
  <c r="F91" i="21" s="1"/>
  <c r="D12" i="64"/>
  <c r="D49" i="64" s="1"/>
  <c r="E91" i="21" s="1"/>
  <c r="C24" i="64"/>
  <c r="C12" i="64"/>
  <c r="C49" i="64" s="1"/>
  <c r="D91" i="21" s="1"/>
  <c r="B98" i="64"/>
  <c r="H85" i="64"/>
  <c r="F69" i="64"/>
  <c r="H68" i="64"/>
  <c r="H67" i="64"/>
  <c r="D69" i="64"/>
  <c r="A44" i="64"/>
  <c r="A45" i="64" s="1"/>
  <c r="A46" i="64" s="1"/>
  <c r="A47" i="64" s="1"/>
  <c r="A48" i="64" s="1"/>
  <c r="A49" i="64" s="1"/>
  <c r="A50" i="64" s="1"/>
  <c r="A51" i="64" s="1"/>
  <c r="A52" i="64" s="1"/>
  <c r="A53" i="64" s="1"/>
  <c r="A54" i="64" s="1"/>
  <c r="A55" i="64" s="1"/>
  <c r="A56" i="64" s="1"/>
  <c r="A57" i="64" s="1"/>
  <c r="A58" i="64" s="1"/>
  <c r="A59" i="64" s="1"/>
  <c r="A60" i="64" s="1"/>
  <c r="A61" i="64" s="1"/>
  <c r="A62" i="64" s="1"/>
  <c r="A13" i="64"/>
  <c r="A14" i="64" s="1"/>
  <c r="A15" i="64" s="1"/>
  <c r="A16" i="64" s="1"/>
  <c r="A17" i="64" s="1"/>
  <c r="A18" i="64" s="1"/>
  <c r="A19" i="64" s="1"/>
  <c r="A20" i="64" s="1"/>
  <c r="A21" i="64" s="1"/>
  <c r="A22" i="64" s="1"/>
  <c r="A23" i="64" s="1"/>
  <c r="A24" i="64" s="1"/>
  <c r="A25" i="64" s="1"/>
  <c r="A26" i="64" s="1"/>
  <c r="A29" i="64" s="1"/>
  <c r="E69" i="64" l="1"/>
  <c r="E78" i="64" s="1"/>
  <c r="D78" i="64"/>
  <c r="F78" i="64"/>
  <c r="M49" i="64"/>
  <c r="A63" i="64"/>
  <c r="A64" i="64" s="1"/>
  <c r="A65" i="64" s="1"/>
  <c r="A66" i="64" s="1"/>
  <c r="A67" i="64" s="1"/>
  <c r="A68" i="64" s="1"/>
  <c r="A69" i="64" s="1"/>
  <c r="G92" i="64"/>
  <c r="G78" i="64" l="1"/>
  <c r="F93" i="64" s="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G41" i="57" l="1"/>
  <c r="K34" i="48"/>
  <c r="E43" i="26" l="1"/>
  <c r="I42" i="79" l="1"/>
  <c r="G42" i="79"/>
  <c r="I33" i="79"/>
  <c r="G33" i="79"/>
  <c r="I26" i="79"/>
  <c r="G26" i="79"/>
  <c r="I17" i="1"/>
  <c r="C41" i="57" l="1"/>
  <c r="J119" i="46" l="1"/>
  <c r="J118" i="46"/>
  <c r="J117" i="46"/>
  <c r="J116" i="46"/>
  <c r="O19" i="48"/>
  <c r="F96" i="8"/>
  <c r="J85" i="8"/>
  <c r="C108" i="48" l="1"/>
  <c r="G74" i="44" l="1"/>
  <c r="G72" i="44"/>
  <c r="H72" i="44"/>
  <c r="A71" i="44"/>
  <c r="A72" i="44" s="1"/>
  <c r="A73" i="44" s="1"/>
  <c r="A74" i="44" s="1"/>
  <c r="H30" i="8" l="1"/>
  <c r="H26" i="8"/>
  <c r="I31" i="1"/>
  <c r="I34" i="1"/>
  <c r="I35" i="1"/>
  <c r="I41" i="79" l="1"/>
  <c r="I43" i="79" s="1"/>
  <c r="G41" i="79"/>
  <c r="G43" i="79" s="1"/>
  <c r="A37" i="79"/>
  <c r="A38" i="79" s="1"/>
  <c r="A39" i="79" s="1"/>
  <c r="A40" i="79" s="1"/>
  <c r="A41" i="79" s="1"/>
  <c r="A42" i="79" s="1"/>
  <c r="A43" i="79" s="1"/>
  <c r="A44" i="79" s="1"/>
  <c r="A45" i="79" s="1"/>
  <c r="I34" i="79"/>
  <c r="G34" i="79"/>
  <c r="I27" i="79"/>
  <c r="G27" i="79"/>
  <c r="C307" i="15" l="1"/>
  <c r="I284" i="15"/>
  <c r="I172" i="15"/>
  <c r="I138" i="15"/>
  <c r="H37" i="78" l="1"/>
  <c r="G54" i="78" s="1"/>
  <c r="G67" i="78"/>
  <c r="H14" i="78" s="1"/>
  <c r="G53" i="78"/>
  <c r="I43" i="78"/>
  <c r="I42" i="78"/>
  <c r="G29" i="78"/>
  <c r="G28" i="78"/>
  <c r="G27" i="78"/>
  <c r="I29" i="78" s="1"/>
  <c r="G26" i="78"/>
  <c r="G25" i="78"/>
  <c r="G55" i="78" l="1"/>
  <c r="H12" i="78" s="1"/>
  <c r="H13" i="78" s="1"/>
  <c r="D17" i="78" s="1"/>
  <c r="I45" i="78"/>
  <c r="H11" i="78" s="1"/>
  <c r="H26" i="78"/>
  <c r="I26" i="78" s="1"/>
  <c r="H25" i="78"/>
  <c r="I25" i="78"/>
  <c r="I27" i="78"/>
  <c r="I28" i="78"/>
  <c r="D41" i="57" l="1"/>
  <c r="G42" i="57" l="1"/>
  <c r="E82" i="7"/>
  <c r="G19" i="71" l="1"/>
  <c r="G18" i="71"/>
  <c r="G17" i="71"/>
  <c r="G16" i="71"/>
  <c r="G15" i="71"/>
  <c r="G14" i="71"/>
  <c r="G13" i="71"/>
  <c r="G12" i="71"/>
  <c r="G11" i="71"/>
  <c r="G10" i="71"/>
  <c r="G9" i="71"/>
  <c r="F19" i="71"/>
  <c r="F18" i="71"/>
  <c r="F17" i="71"/>
  <c r="F16" i="71"/>
  <c r="F15" i="71"/>
  <c r="F14" i="71"/>
  <c r="F13" i="71"/>
  <c r="F12" i="71"/>
  <c r="F11" i="71"/>
  <c r="F10" i="71"/>
  <c r="F9" i="71"/>
  <c r="E19" i="71"/>
  <c r="E18" i="71"/>
  <c r="E17" i="71"/>
  <c r="E16" i="71"/>
  <c r="E15" i="71"/>
  <c r="E14" i="71"/>
  <c r="E13" i="71"/>
  <c r="E12" i="71"/>
  <c r="E10" i="71"/>
  <c r="E11" i="71"/>
  <c r="E9" i="71"/>
  <c r="D17" i="71"/>
  <c r="D16" i="71"/>
  <c r="D15" i="71"/>
  <c r="D14" i="71"/>
  <c r="D13" i="71"/>
  <c r="D12" i="71"/>
  <c r="D11" i="71"/>
  <c r="D10" i="71"/>
  <c r="D9" i="71"/>
  <c r="E57" i="7" l="1"/>
  <c r="E53" i="7"/>
  <c r="D57" i="7"/>
  <c r="D53" i="7"/>
  <c r="E46" i="7"/>
  <c r="D46" i="7"/>
  <c r="H34" i="11"/>
  <c r="G34" i="11"/>
  <c r="H33" i="11"/>
  <c r="G33" i="11"/>
  <c r="H32" i="11"/>
  <c r="G32" i="11"/>
  <c r="H31" i="11"/>
  <c r="G31" i="11"/>
  <c r="H30" i="11"/>
  <c r="G30" i="11"/>
  <c r="H29" i="11"/>
  <c r="G29" i="11"/>
  <c r="H28" i="11"/>
  <c r="G28" i="11"/>
  <c r="H27" i="11"/>
  <c r="G27" i="11"/>
  <c r="H26" i="11"/>
  <c r="G26" i="11"/>
  <c r="F34" i="11"/>
  <c r="F33" i="11"/>
  <c r="F32" i="11"/>
  <c r="F31" i="11"/>
  <c r="F30" i="11"/>
  <c r="F29" i="11"/>
  <c r="F28" i="11"/>
  <c r="F27" i="11"/>
  <c r="F26" i="11"/>
  <c r="E34" i="11"/>
  <c r="E33" i="11"/>
  <c r="E32" i="11"/>
  <c r="E31" i="11"/>
  <c r="E30" i="11"/>
  <c r="E29" i="11"/>
  <c r="E28" i="11"/>
  <c r="E27" i="11"/>
  <c r="E26" i="11"/>
  <c r="I364" i="49"/>
  <c r="I363" i="49"/>
  <c r="I362" i="49"/>
  <c r="I361" i="49"/>
  <c r="I360" i="49"/>
  <c r="I359" i="49"/>
  <c r="I358" i="49"/>
  <c r="I357" i="49"/>
  <c r="I356" i="49"/>
  <c r="I355" i="49"/>
  <c r="I354" i="49"/>
  <c r="I353" i="49"/>
  <c r="I352" i="49"/>
  <c r="I351" i="49"/>
  <c r="I350" i="49"/>
  <c r="I349" i="49"/>
  <c r="I348" i="49"/>
  <c r="I347" i="49"/>
  <c r="I346" i="49"/>
  <c r="I345" i="49"/>
  <c r="I344" i="49"/>
  <c r="E364" i="49"/>
  <c r="E363" i="49"/>
  <c r="E362" i="49"/>
  <c r="E361" i="49"/>
  <c r="E360" i="49"/>
  <c r="E359" i="49"/>
  <c r="E358" i="49"/>
  <c r="E357" i="49"/>
  <c r="E356" i="49"/>
  <c r="E355" i="49"/>
  <c r="E354" i="49"/>
  <c r="E353" i="49"/>
  <c r="E352" i="49"/>
  <c r="E351" i="49"/>
  <c r="E350" i="49"/>
  <c r="E349" i="49"/>
  <c r="E348" i="49"/>
  <c r="E347" i="49"/>
  <c r="E346" i="49"/>
  <c r="E345" i="49"/>
  <c r="E344" i="49"/>
  <c r="I334" i="49"/>
  <c r="I333" i="49"/>
  <c r="I332" i="49"/>
  <c r="I331" i="49"/>
  <c r="I330" i="49"/>
  <c r="I329" i="49"/>
  <c r="I328" i="49"/>
  <c r="I327" i="49"/>
  <c r="I326" i="49"/>
  <c r="I325" i="49"/>
  <c r="I324" i="49"/>
  <c r="I323" i="49"/>
  <c r="I322" i="49"/>
  <c r="I321" i="49"/>
  <c r="I320" i="49"/>
  <c r="I319" i="49"/>
  <c r="I318" i="49"/>
  <c r="I317" i="49"/>
  <c r="I316" i="49"/>
  <c r="I315" i="49"/>
  <c r="I314" i="49"/>
  <c r="E334" i="49"/>
  <c r="E333" i="49"/>
  <c r="E332" i="49"/>
  <c r="E331" i="49"/>
  <c r="E330" i="49"/>
  <c r="E329" i="49"/>
  <c r="E328" i="49"/>
  <c r="E327" i="49"/>
  <c r="E326" i="49"/>
  <c r="E325" i="49"/>
  <c r="E324" i="49"/>
  <c r="E323" i="49"/>
  <c r="E322" i="49"/>
  <c r="E321" i="49"/>
  <c r="E320" i="49"/>
  <c r="E319" i="49"/>
  <c r="E318" i="49"/>
  <c r="E317" i="49"/>
  <c r="E316" i="49"/>
  <c r="E315" i="49"/>
  <c r="E314" i="49"/>
  <c r="I306" i="49"/>
  <c r="I305" i="49"/>
  <c r="I304" i="49"/>
  <c r="I303" i="49"/>
  <c r="I302" i="49"/>
  <c r="I301" i="49"/>
  <c r="I300" i="49"/>
  <c r="I299" i="49"/>
  <c r="I298" i="49"/>
  <c r="I297" i="49"/>
  <c r="I296" i="49"/>
  <c r="I295" i="49"/>
  <c r="I294" i="49"/>
  <c r="I293" i="49"/>
  <c r="I292" i="49"/>
  <c r="I291" i="49"/>
  <c r="I290" i="49"/>
  <c r="I289" i="49"/>
  <c r="I288" i="49"/>
  <c r="I287" i="49"/>
  <c r="I286" i="49"/>
  <c r="E306" i="49"/>
  <c r="E305" i="49"/>
  <c r="E304" i="49"/>
  <c r="E303" i="49"/>
  <c r="E302" i="49"/>
  <c r="E301" i="49"/>
  <c r="E300" i="49"/>
  <c r="E299" i="49"/>
  <c r="E298" i="49"/>
  <c r="E297" i="49"/>
  <c r="E296" i="49"/>
  <c r="E295" i="49"/>
  <c r="E294" i="49"/>
  <c r="E293" i="49"/>
  <c r="E292" i="49"/>
  <c r="E291" i="49"/>
  <c r="E290" i="49"/>
  <c r="E289" i="49"/>
  <c r="E288" i="49"/>
  <c r="E287" i="49"/>
  <c r="E286" i="49"/>
  <c r="I278" i="49"/>
  <c r="I277" i="49"/>
  <c r="I276" i="49"/>
  <c r="I275" i="49"/>
  <c r="I274" i="49"/>
  <c r="I273" i="49"/>
  <c r="I272" i="49"/>
  <c r="I271" i="49"/>
  <c r="I270" i="49"/>
  <c r="I269" i="49"/>
  <c r="I268" i="49"/>
  <c r="I267" i="49"/>
  <c r="I266" i="49"/>
  <c r="I265" i="49"/>
  <c r="I264" i="49"/>
  <c r="I263" i="49"/>
  <c r="I262" i="49"/>
  <c r="I261" i="49"/>
  <c r="I260" i="49"/>
  <c r="I259" i="49"/>
  <c r="I258" i="49"/>
  <c r="E278" i="49"/>
  <c r="E277" i="49"/>
  <c r="E276" i="49"/>
  <c r="E275" i="49"/>
  <c r="E274" i="49"/>
  <c r="E273" i="49"/>
  <c r="E272" i="49"/>
  <c r="E271" i="49"/>
  <c r="E270" i="49"/>
  <c r="E269" i="49"/>
  <c r="E268" i="49"/>
  <c r="E267" i="49"/>
  <c r="E266" i="49"/>
  <c r="E265" i="49"/>
  <c r="E264" i="49"/>
  <c r="E263" i="49"/>
  <c r="E262" i="49"/>
  <c r="E261" i="49"/>
  <c r="E260" i="49"/>
  <c r="E259" i="49"/>
  <c r="E258" i="49"/>
  <c r="I248" i="49"/>
  <c r="I247" i="49"/>
  <c r="I246" i="49"/>
  <c r="I245" i="49"/>
  <c r="I244" i="49"/>
  <c r="I243" i="49"/>
  <c r="I242" i="49"/>
  <c r="I241" i="49"/>
  <c r="I240" i="49"/>
  <c r="I239" i="49"/>
  <c r="I238" i="49"/>
  <c r="I237" i="49"/>
  <c r="I236" i="49"/>
  <c r="I235" i="49"/>
  <c r="I234" i="49"/>
  <c r="I233" i="49"/>
  <c r="I232" i="49"/>
  <c r="I231" i="49"/>
  <c r="I230" i="49"/>
  <c r="I229" i="49"/>
  <c r="I228" i="49"/>
  <c r="E248" i="49"/>
  <c r="E247" i="49"/>
  <c r="E246" i="49"/>
  <c r="E245" i="49"/>
  <c r="E244" i="49"/>
  <c r="E243" i="49"/>
  <c r="E242" i="49"/>
  <c r="E241" i="49"/>
  <c r="E240" i="49"/>
  <c r="E239" i="49"/>
  <c r="E238" i="49"/>
  <c r="E237" i="49"/>
  <c r="E236" i="49"/>
  <c r="E235" i="49"/>
  <c r="E234" i="49"/>
  <c r="E233" i="49"/>
  <c r="E232" i="49"/>
  <c r="E231" i="49"/>
  <c r="E230" i="49"/>
  <c r="E229" i="49"/>
  <c r="E228" i="49"/>
  <c r="I220" i="49"/>
  <c r="I219" i="49"/>
  <c r="I218" i="49"/>
  <c r="I217" i="49"/>
  <c r="I216" i="49"/>
  <c r="I215" i="49"/>
  <c r="I214" i="49"/>
  <c r="I213" i="49"/>
  <c r="I212" i="49"/>
  <c r="I211" i="49"/>
  <c r="I210" i="49"/>
  <c r="I209" i="49"/>
  <c r="I208" i="49"/>
  <c r="I207" i="49"/>
  <c r="I206" i="49"/>
  <c r="I205" i="49"/>
  <c r="I204" i="49"/>
  <c r="I203" i="49"/>
  <c r="I202" i="49"/>
  <c r="I201" i="49"/>
  <c r="I200" i="49"/>
  <c r="E220" i="49"/>
  <c r="E219" i="49"/>
  <c r="E218" i="49"/>
  <c r="E217" i="49"/>
  <c r="E216" i="49"/>
  <c r="E215" i="49"/>
  <c r="E214" i="49"/>
  <c r="E213" i="49"/>
  <c r="E212" i="49"/>
  <c r="E211" i="49"/>
  <c r="E210" i="49"/>
  <c r="E209" i="49"/>
  <c r="E208" i="49"/>
  <c r="E207" i="49"/>
  <c r="E206" i="49"/>
  <c r="E205" i="49"/>
  <c r="E204" i="49"/>
  <c r="E203" i="49"/>
  <c r="E202" i="49"/>
  <c r="E201" i="49"/>
  <c r="E200" i="49"/>
  <c r="I173" i="49"/>
  <c r="I174" i="49"/>
  <c r="I175" i="49"/>
  <c r="I176" i="49"/>
  <c r="I177" i="49"/>
  <c r="I178" i="49"/>
  <c r="I179" i="49"/>
  <c r="I180" i="49"/>
  <c r="I181" i="49"/>
  <c r="I182" i="49"/>
  <c r="I183" i="49"/>
  <c r="I184" i="49"/>
  <c r="I185" i="49"/>
  <c r="I186" i="49"/>
  <c r="I187" i="49"/>
  <c r="I188" i="49"/>
  <c r="I189" i="49"/>
  <c r="I190" i="49"/>
  <c r="I191" i="49"/>
  <c r="I192" i="49"/>
  <c r="I172" i="49"/>
  <c r="E173" i="49"/>
  <c r="E174" i="49"/>
  <c r="E175" i="49"/>
  <c r="E176" i="49"/>
  <c r="E177" i="49"/>
  <c r="E178" i="49"/>
  <c r="E179" i="49"/>
  <c r="E180" i="49"/>
  <c r="E181" i="49"/>
  <c r="E182" i="49"/>
  <c r="E183" i="49"/>
  <c r="E184" i="49"/>
  <c r="E185" i="49"/>
  <c r="E186" i="49"/>
  <c r="E187" i="49"/>
  <c r="E188" i="49"/>
  <c r="E189" i="49"/>
  <c r="E190" i="49"/>
  <c r="E191" i="49"/>
  <c r="E192" i="49"/>
  <c r="E172" i="49"/>
  <c r="I162" i="49"/>
  <c r="I161" i="49"/>
  <c r="I160" i="49"/>
  <c r="I159" i="49"/>
  <c r="I158" i="49"/>
  <c r="I157" i="49"/>
  <c r="I156" i="49"/>
  <c r="I155" i="49"/>
  <c r="I154" i="49"/>
  <c r="I153" i="49"/>
  <c r="I152" i="49"/>
  <c r="I151" i="49"/>
  <c r="I150" i="49"/>
  <c r="I149" i="49"/>
  <c r="I148" i="49"/>
  <c r="I147" i="49"/>
  <c r="I146" i="49"/>
  <c r="I145" i="49"/>
  <c r="I144" i="49"/>
  <c r="I143" i="49"/>
  <c r="I142" i="49"/>
  <c r="E162" i="49"/>
  <c r="E161" i="49"/>
  <c r="E160" i="49"/>
  <c r="E159" i="49"/>
  <c r="E158" i="49"/>
  <c r="E157" i="49"/>
  <c r="E156" i="49"/>
  <c r="E155" i="49"/>
  <c r="E154" i="49"/>
  <c r="E153" i="49"/>
  <c r="E152" i="49"/>
  <c r="E151" i="49"/>
  <c r="E150" i="49"/>
  <c r="E149" i="49"/>
  <c r="E148" i="49"/>
  <c r="E147" i="49"/>
  <c r="E146" i="49"/>
  <c r="E145" i="49"/>
  <c r="E144" i="49"/>
  <c r="E143" i="49"/>
  <c r="E142" i="49"/>
  <c r="I134" i="49"/>
  <c r="I133" i="49"/>
  <c r="I132" i="49"/>
  <c r="I131" i="49"/>
  <c r="I130" i="49"/>
  <c r="I129" i="49"/>
  <c r="I128" i="49"/>
  <c r="I127" i="49"/>
  <c r="I126" i="49"/>
  <c r="I125" i="49"/>
  <c r="I124" i="49"/>
  <c r="I123" i="49"/>
  <c r="I122" i="49"/>
  <c r="I121" i="49"/>
  <c r="I120" i="49"/>
  <c r="I119" i="49"/>
  <c r="I118" i="49"/>
  <c r="I117" i="49"/>
  <c r="I116" i="49"/>
  <c r="I115" i="49"/>
  <c r="I114" i="49"/>
  <c r="E134" i="49"/>
  <c r="E133" i="49"/>
  <c r="E132" i="49"/>
  <c r="E131" i="49"/>
  <c r="E130" i="49"/>
  <c r="E129" i="49"/>
  <c r="E128" i="49"/>
  <c r="E127" i="49"/>
  <c r="E126" i="49"/>
  <c r="E125" i="49"/>
  <c r="E124" i="49"/>
  <c r="E123" i="49"/>
  <c r="E122" i="49"/>
  <c r="E121" i="49"/>
  <c r="E120" i="49"/>
  <c r="E119" i="49"/>
  <c r="E118" i="49"/>
  <c r="E117" i="49"/>
  <c r="E116" i="49"/>
  <c r="E115" i="49"/>
  <c r="E114" i="49"/>
  <c r="I106" i="49"/>
  <c r="I105" i="49"/>
  <c r="I104" i="49"/>
  <c r="I103" i="49"/>
  <c r="I102" i="49"/>
  <c r="I101" i="49"/>
  <c r="I100" i="49"/>
  <c r="I99" i="49"/>
  <c r="I98" i="49"/>
  <c r="I97" i="49"/>
  <c r="I96" i="49"/>
  <c r="I95" i="49"/>
  <c r="I94" i="49"/>
  <c r="I93" i="49"/>
  <c r="I92" i="49"/>
  <c r="I91" i="49"/>
  <c r="I90" i="49"/>
  <c r="I89" i="49"/>
  <c r="I88" i="49"/>
  <c r="I87" i="49"/>
  <c r="I86" i="49"/>
  <c r="E106" i="49"/>
  <c r="E105" i="49"/>
  <c r="E104" i="49"/>
  <c r="E103" i="49"/>
  <c r="E102" i="49"/>
  <c r="E101" i="49"/>
  <c r="E100" i="49"/>
  <c r="E99" i="49"/>
  <c r="E98" i="49"/>
  <c r="E97" i="49"/>
  <c r="E96" i="49"/>
  <c r="E95" i="49"/>
  <c r="E94" i="49"/>
  <c r="E93" i="49"/>
  <c r="E92" i="49"/>
  <c r="E91" i="49"/>
  <c r="E90" i="49"/>
  <c r="E89" i="49"/>
  <c r="E88" i="49"/>
  <c r="E87" i="49"/>
  <c r="E86" i="49"/>
  <c r="E78" i="7" l="1"/>
  <c r="F62" i="48"/>
  <c r="F61" i="48"/>
  <c r="F32" i="48" s="1"/>
  <c r="F60" i="48"/>
  <c r="F31" i="48" s="1"/>
  <c r="F59" i="48"/>
  <c r="F58" i="48"/>
  <c r="F57" i="48"/>
  <c r="F28" i="48" s="1"/>
  <c r="F56" i="48"/>
  <c r="F55" i="48"/>
  <c r="F54" i="48"/>
  <c r="F25" i="48" s="1"/>
  <c r="F53" i="48"/>
  <c r="F52" i="48"/>
  <c r="F51" i="48"/>
  <c r="F22" i="48" s="1"/>
  <c r="F50" i="48"/>
  <c r="F21" i="48" s="1"/>
  <c r="F49" i="48"/>
  <c r="F20" i="48" s="1"/>
  <c r="F48" i="48"/>
  <c r="F47" i="48"/>
  <c r="F46" i="48"/>
  <c r="F45" i="48"/>
  <c r="F44" i="48"/>
  <c r="F15" i="48" s="1"/>
  <c r="F43" i="48"/>
  <c r="F14" i="48" s="1"/>
  <c r="F42" i="48"/>
  <c r="E62" i="48"/>
  <c r="E61" i="48"/>
  <c r="E60" i="48"/>
  <c r="E31" i="48" s="1"/>
  <c r="E59" i="48"/>
  <c r="E30" i="48" s="1"/>
  <c r="E58" i="48"/>
  <c r="E57" i="48"/>
  <c r="E28" i="48" s="1"/>
  <c r="E56" i="48"/>
  <c r="E55" i="48"/>
  <c r="E26" i="48" s="1"/>
  <c r="E54" i="48"/>
  <c r="E53" i="48"/>
  <c r="E52" i="48"/>
  <c r="E51" i="48"/>
  <c r="E22" i="48" s="1"/>
  <c r="E50" i="48"/>
  <c r="E49" i="48"/>
  <c r="E48" i="48"/>
  <c r="E19" i="48" s="1"/>
  <c r="E47" i="48"/>
  <c r="E18" i="48" s="1"/>
  <c r="E46" i="48"/>
  <c r="E45" i="48"/>
  <c r="E44" i="48"/>
  <c r="E15" i="48" s="1"/>
  <c r="E43" i="48"/>
  <c r="E14" i="48" s="1"/>
  <c r="E29" i="48"/>
  <c r="E23" i="48"/>
  <c r="E21" i="48"/>
  <c r="E42" i="48"/>
  <c r="F124" i="48"/>
  <c r="C111" i="48"/>
  <c r="C110" i="48"/>
  <c r="A102" i="48"/>
  <c r="A98" i="48"/>
  <c r="A94" i="48"/>
  <c r="C122" i="48"/>
  <c r="P49" i="48"/>
  <c r="G70" i="48"/>
  <c r="H70" i="48" s="1"/>
  <c r="H13" i="48" s="1"/>
  <c r="D90" i="48"/>
  <c r="C90" i="48"/>
  <c r="D89" i="48"/>
  <c r="C89" i="48"/>
  <c r="D88" i="48"/>
  <c r="C88" i="48"/>
  <c r="D87" i="48"/>
  <c r="C87" i="48"/>
  <c r="O29" i="48"/>
  <c r="D86" i="48"/>
  <c r="C86" i="48"/>
  <c r="D85" i="48"/>
  <c r="C85" i="48"/>
  <c r="O27" i="48"/>
  <c r="D84" i="48"/>
  <c r="C84" i="48"/>
  <c r="O26" i="48"/>
  <c r="D83" i="48"/>
  <c r="C83" i="48"/>
  <c r="O25" i="48"/>
  <c r="D82" i="48"/>
  <c r="C82" i="48"/>
  <c r="O24" i="48"/>
  <c r="D81" i="48"/>
  <c r="C81" i="48"/>
  <c r="O23" i="48"/>
  <c r="D80" i="48"/>
  <c r="C80" i="48"/>
  <c r="D79" i="48"/>
  <c r="C79" i="48"/>
  <c r="O21" i="48"/>
  <c r="D78" i="48"/>
  <c r="C78" i="48"/>
  <c r="D77" i="48"/>
  <c r="C77" i="48"/>
  <c r="D76" i="48"/>
  <c r="C76" i="48"/>
  <c r="O18" i="48"/>
  <c r="D75" i="48"/>
  <c r="C75" i="48"/>
  <c r="O17" i="48"/>
  <c r="D74" i="48"/>
  <c r="C74" i="48"/>
  <c r="D73" i="48"/>
  <c r="C73" i="48"/>
  <c r="D72" i="48"/>
  <c r="C72" i="48"/>
  <c r="D71" i="48"/>
  <c r="C71" i="48"/>
  <c r="O13" i="48"/>
  <c r="M70" i="48"/>
  <c r="D70" i="48"/>
  <c r="C70" i="48"/>
  <c r="P69" i="48"/>
  <c r="O69" i="48"/>
  <c r="N69" i="48"/>
  <c r="M69" i="48"/>
  <c r="L69" i="48"/>
  <c r="K69" i="48"/>
  <c r="J69" i="48"/>
  <c r="I69" i="48"/>
  <c r="H69" i="48"/>
  <c r="D69" i="48"/>
  <c r="C69" i="48"/>
  <c r="P68" i="48"/>
  <c r="O68" i="48"/>
  <c r="M68" i="48"/>
  <c r="L68" i="48"/>
  <c r="K68" i="48"/>
  <c r="I68" i="48"/>
  <c r="H68" i="48"/>
  <c r="C68" i="48"/>
  <c r="P67" i="48"/>
  <c r="O67" i="48"/>
  <c r="I67" i="48"/>
  <c r="C67" i="48"/>
  <c r="N66" i="48"/>
  <c r="I66" i="48"/>
  <c r="F33" i="48"/>
  <c r="E33" i="48"/>
  <c r="E32" i="48"/>
  <c r="F30" i="48"/>
  <c r="F29" i="48"/>
  <c r="F27" i="48"/>
  <c r="E27" i="48"/>
  <c r="F26" i="48"/>
  <c r="E25" i="48"/>
  <c r="F24" i="48"/>
  <c r="E24" i="48"/>
  <c r="F23" i="48"/>
  <c r="E20" i="48"/>
  <c r="F19" i="48"/>
  <c r="F18" i="48"/>
  <c r="F17" i="48"/>
  <c r="E17" i="48"/>
  <c r="F16" i="48"/>
  <c r="E16" i="48"/>
  <c r="M42" i="48"/>
  <c r="F13" i="48"/>
  <c r="P41" i="48"/>
  <c r="O41" i="48"/>
  <c r="N41" i="48"/>
  <c r="M41" i="48"/>
  <c r="L41" i="48"/>
  <c r="K41" i="48"/>
  <c r="J41" i="48"/>
  <c r="I41" i="48"/>
  <c r="H41" i="48"/>
  <c r="D41" i="48"/>
  <c r="C41" i="48"/>
  <c r="P40" i="48"/>
  <c r="O40" i="48"/>
  <c r="L40" i="48"/>
  <c r="K40" i="48"/>
  <c r="I40" i="48"/>
  <c r="H40" i="48"/>
  <c r="C40" i="48"/>
  <c r="P39" i="48"/>
  <c r="O39" i="48"/>
  <c r="I39" i="48"/>
  <c r="C39" i="48"/>
  <c r="O33" i="48"/>
  <c r="D33" i="48"/>
  <c r="C33" i="48"/>
  <c r="D32" i="48"/>
  <c r="C32" i="48"/>
  <c r="O31" i="48"/>
  <c r="D31" i="48"/>
  <c r="C31" i="48"/>
  <c r="D30" i="48"/>
  <c r="C30" i="48"/>
  <c r="D29" i="48"/>
  <c r="C29" i="48"/>
  <c r="D28" i="48"/>
  <c r="C28" i="48"/>
  <c r="D27" i="48"/>
  <c r="C27" i="48"/>
  <c r="D26" i="48"/>
  <c r="C26" i="48"/>
  <c r="D25" i="48"/>
  <c r="C25" i="48"/>
  <c r="D24" i="48"/>
  <c r="C24" i="48"/>
  <c r="D23" i="48"/>
  <c r="C23" i="48"/>
  <c r="D22" i="48"/>
  <c r="C22" i="48"/>
  <c r="D21" i="48"/>
  <c r="C21" i="48"/>
  <c r="D20" i="48"/>
  <c r="C20" i="48"/>
  <c r="D19" i="48"/>
  <c r="C19" i="48"/>
  <c r="D18" i="48"/>
  <c r="C18" i="48"/>
  <c r="D17" i="48"/>
  <c r="C17" i="48"/>
  <c r="D16" i="48"/>
  <c r="C16" i="48"/>
  <c r="D15" i="48"/>
  <c r="C15" i="48"/>
  <c r="D14"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42" i="48" s="1"/>
  <c r="A43" i="48" s="1"/>
  <c r="A44" i="48" s="1"/>
  <c r="A45" i="48" s="1"/>
  <c r="A46" i="48" s="1"/>
  <c r="A47" i="48" s="1"/>
  <c r="A48" i="48" s="1"/>
  <c r="A49" i="48" s="1"/>
  <c r="A50" i="48" s="1"/>
  <c r="A51" i="48" s="1"/>
  <c r="A52" i="48" s="1"/>
  <c r="A53" i="48" s="1"/>
  <c r="A54" i="48" s="1"/>
  <c r="A55" i="48" s="1"/>
  <c r="A56" i="48" s="1"/>
  <c r="A57" i="48" s="1"/>
  <c r="A58" i="48" s="1"/>
  <c r="A59" i="48" s="1"/>
  <c r="A60" i="48" s="1"/>
  <c r="A61" i="48" s="1"/>
  <c r="A62" i="48" s="1"/>
  <c r="A70" i="48" s="1"/>
  <c r="A71" i="48" s="1"/>
  <c r="A72" i="48" s="1"/>
  <c r="A73" i="48" s="1"/>
  <c r="A74" i="48" s="1"/>
  <c r="A75" i="48" s="1"/>
  <c r="A76" i="48" s="1"/>
  <c r="A77" i="48" s="1"/>
  <c r="A78" i="48" s="1"/>
  <c r="A79" i="48" s="1"/>
  <c r="A80" i="48" s="1"/>
  <c r="A81" i="48" s="1"/>
  <c r="A82" i="48" s="1"/>
  <c r="A83" i="48" s="1"/>
  <c r="A84" i="48" s="1"/>
  <c r="A85" i="48" s="1"/>
  <c r="A86" i="48" s="1"/>
  <c r="A87" i="48" s="1"/>
  <c r="A88" i="48" s="1"/>
  <c r="A89" i="48" s="1"/>
  <c r="A90" i="48" s="1"/>
  <c r="L13" i="48"/>
  <c r="D13" i="48"/>
  <c r="C13" i="48"/>
  <c r="G69" i="48"/>
  <c r="E69" i="48"/>
  <c r="G68" i="48"/>
  <c r="F40" i="48"/>
  <c r="E67" i="48"/>
  <c r="F364" i="49"/>
  <c r="F363" i="49"/>
  <c r="F362" i="49"/>
  <c r="F361" i="49"/>
  <c r="F360" i="49"/>
  <c r="F359" i="49"/>
  <c r="F358" i="49"/>
  <c r="F357" i="49"/>
  <c r="F356" i="49"/>
  <c r="F355" i="49"/>
  <c r="F354" i="49"/>
  <c r="F353" i="49"/>
  <c r="F352" i="49"/>
  <c r="F351" i="49"/>
  <c r="F350" i="49"/>
  <c r="F349" i="49"/>
  <c r="F348" i="49"/>
  <c r="F347" i="49"/>
  <c r="F346" i="49"/>
  <c r="F345" i="49"/>
  <c r="F344" i="49"/>
  <c r="J344" i="49" s="1"/>
  <c r="K344" i="49" s="1"/>
  <c r="K342" i="49"/>
  <c r="J342" i="49"/>
  <c r="I342" i="49"/>
  <c r="H342" i="49"/>
  <c r="G342" i="49"/>
  <c r="F342" i="49"/>
  <c r="E342" i="49"/>
  <c r="D342" i="49"/>
  <c r="K341" i="49"/>
  <c r="J341" i="49"/>
  <c r="I341" i="49"/>
  <c r="H341" i="49"/>
  <c r="G341" i="49"/>
  <c r="F341" i="49"/>
  <c r="E341" i="49"/>
  <c r="D341" i="49"/>
  <c r="G340" i="49"/>
  <c r="F334" i="49"/>
  <c r="F333" i="49"/>
  <c r="F332" i="49"/>
  <c r="F331" i="49"/>
  <c r="F330" i="49"/>
  <c r="F329" i="49"/>
  <c r="F328" i="49"/>
  <c r="F327" i="49"/>
  <c r="F326" i="49"/>
  <c r="F325" i="49"/>
  <c r="F324" i="49"/>
  <c r="F323" i="49"/>
  <c r="F322" i="49"/>
  <c r="F321" i="49"/>
  <c r="F320" i="49"/>
  <c r="F319" i="49"/>
  <c r="F318" i="49"/>
  <c r="F317" i="49"/>
  <c r="F316" i="49"/>
  <c r="F315" i="49"/>
  <c r="F314" i="49"/>
  <c r="J313" i="49"/>
  <c r="J314" i="49" s="1"/>
  <c r="K312" i="49"/>
  <c r="J312" i="49"/>
  <c r="I312" i="49"/>
  <c r="H312" i="49"/>
  <c r="G312" i="49"/>
  <c r="F312" i="49"/>
  <c r="E312" i="49"/>
  <c r="D312" i="49"/>
  <c r="K311" i="49"/>
  <c r="J311" i="49"/>
  <c r="I311" i="49"/>
  <c r="H311" i="49"/>
  <c r="G311" i="49"/>
  <c r="F311" i="49"/>
  <c r="E311" i="49"/>
  <c r="D311" i="49"/>
  <c r="G310" i="49"/>
  <c r="F306" i="49"/>
  <c r="F305" i="49"/>
  <c r="F304" i="49"/>
  <c r="F303" i="49"/>
  <c r="F302" i="49"/>
  <c r="F301" i="49"/>
  <c r="F300" i="49"/>
  <c r="F299" i="49"/>
  <c r="F298" i="49"/>
  <c r="F297" i="49"/>
  <c r="F296" i="49"/>
  <c r="F295" i="49"/>
  <c r="F294" i="49"/>
  <c r="F293" i="49"/>
  <c r="F292" i="49"/>
  <c r="F291" i="49"/>
  <c r="F290" i="49"/>
  <c r="F289" i="49"/>
  <c r="F288" i="49"/>
  <c r="F287" i="49"/>
  <c r="F286" i="49"/>
  <c r="J286" i="49" s="1"/>
  <c r="J285" i="49"/>
  <c r="K284" i="49"/>
  <c r="J284" i="49"/>
  <c r="I284" i="49"/>
  <c r="H284" i="49"/>
  <c r="G284" i="49"/>
  <c r="F284" i="49"/>
  <c r="E284" i="49"/>
  <c r="D284" i="49"/>
  <c r="K283" i="49"/>
  <c r="J283" i="49"/>
  <c r="I283" i="49"/>
  <c r="H283" i="49"/>
  <c r="G283" i="49"/>
  <c r="F283" i="49"/>
  <c r="E283" i="49"/>
  <c r="D283" i="49"/>
  <c r="G282" i="49"/>
  <c r="F278" i="49"/>
  <c r="F277" i="49"/>
  <c r="F276" i="49"/>
  <c r="F275" i="49"/>
  <c r="F274" i="49"/>
  <c r="I70" i="49"/>
  <c r="G57" i="48" s="1"/>
  <c r="F273" i="49"/>
  <c r="F272" i="49"/>
  <c r="F271" i="49"/>
  <c r="F270" i="49"/>
  <c r="F269" i="49"/>
  <c r="F268" i="49"/>
  <c r="F267" i="49"/>
  <c r="F266" i="49"/>
  <c r="F265" i="49"/>
  <c r="F264" i="49"/>
  <c r="F263" i="49"/>
  <c r="F262" i="49"/>
  <c r="F261" i="49"/>
  <c r="F260" i="49"/>
  <c r="F259" i="49"/>
  <c r="F258" i="49"/>
  <c r="J257" i="49"/>
  <c r="J258" i="49" s="1"/>
  <c r="K256" i="49"/>
  <c r="J256" i="49"/>
  <c r="I256" i="49"/>
  <c r="H256" i="49"/>
  <c r="G256" i="49"/>
  <c r="F256" i="49"/>
  <c r="E256" i="49"/>
  <c r="D256" i="49"/>
  <c r="K255" i="49"/>
  <c r="J255" i="49"/>
  <c r="I255" i="49"/>
  <c r="H255" i="49"/>
  <c r="G255" i="49"/>
  <c r="F255" i="49"/>
  <c r="E255" i="49"/>
  <c r="D255" i="49"/>
  <c r="G254" i="49"/>
  <c r="E75" i="49"/>
  <c r="F247" i="49"/>
  <c r="F246" i="49"/>
  <c r="F245" i="49"/>
  <c r="F244" i="49"/>
  <c r="F243" i="49"/>
  <c r="F242" i="49"/>
  <c r="F241" i="49"/>
  <c r="F240" i="49"/>
  <c r="F239" i="49"/>
  <c r="F238" i="49"/>
  <c r="F237" i="49"/>
  <c r="F236" i="49"/>
  <c r="F235" i="49"/>
  <c r="F234" i="49"/>
  <c r="F233" i="49"/>
  <c r="F232" i="49"/>
  <c r="E58" i="49"/>
  <c r="F230" i="49"/>
  <c r="F229" i="49"/>
  <c r="F228" i="49"/>
  <c r="J227" i="49"/>
  <c r="K226" i="49"/>
  <c r="J226" i="49"/>
  <c r="I226" i="49"/>
  <c r="H226" i="49"/>
  <c r="F226" i="49"/>
  <c r="E226" i="49"/>
  <c r="D226" i="49"/>
  <c r="K225" i="49"/>
  <c r="J225" i="49"/>
  <c r="I225" i="49"/>
  <c r="H225" i="49"/>
  <c r="F225" i="49"/>
  <c r="E225" i="49"/>
  <c r="D225" i="49"/>
  <c r="F220" i="49"/>
  <c r="F219" i="49"/>
  <c r="F218" i="49"/>
  <c r="F217" i="49"/>
  <c r="F216" i="49"/>
  <c r="F215" i="49"/>
  <c r="F214" i="49"/>
  <c r="F213" i="49"/>
  <c r="F212" i="49"/>
  <c r="F211" i="49"/>
  <c r="F210" i="49"/>
  <c r="F209" i="49"/>
  <c r="F208" i="49"/>
  <c r="F207" i="49"/>
  <c r="F206" i="49"/>
  <c r="F205" i="49"/>
  <c r="F204" i="49"/>
  <c r="F203" i="49"/>
  <c r="F202" i="49"/>
  <c r="F201" i="49"/>
  <c r="J200" i="49"/>
  <c r="F200" i="49"/>
  <c r="J199" i="49"/>
  <c r="K198" i="49"/>
  <c r="J198" i="49"/>
  <c r="I198" i="49"/>
  <c r="H198" i="49"/>
  <c r="G198" i="49"/>
  <c r="F198" i="49"/>
  <c r="E198" i="49"/>
  <c r="D198" i="49"/>
  <c r="K197" i="49"/>
  <c r="J197" i="49"/>
  <c r="I197" i="49"/>
  <c r="H197" i="49"/>
  <c r="G197" i="49"/>
  <c r="F197" i="49"/>
  <c r="E197" i="49"/>
  <c r="D197" i="49"/>
  <c r="G196" i="49"/>
  <c r="F192" i="49"/>
  <c r="F191" i="49"/>
  <c r="F190" i="49"/>
  <c r="F189" i="49"/>
  <c r="F188" i="49"/>
  <c r="F187" i="49"/>
  <c r="F186" i="49"/>
  <c r="F185" i="49"/>
  <c r="F184" i="49"/>
  <c r="E66" i="49"/>
  <c r="F182" i="49"/>
  <c r="F181" i="49"/>
  <c r="F180" i="49"/>
  <c r="I62" i="49"/>
  <c r="G49" i="48" s="1"/>
  <c r="F179" i="49"/>
  <c r="F178" i="49"/>
  <c r="F177" i="49"/>
  <c r="F176" i="49"/>
  <c r="F175" i="49"/>
  <c r="F174" i="49"/>
  <c r="F173" i="49"/>
  <c r="F172" i="49"/>
  <c r="J171" i="49"/>
  <c r="J172" i="49" s="1"/>
  <c r="K170" i="49"/>
  <c r="J170" i="49"/>
  <c r="I170" i="49"/>
  <c r="H170" i="49"/>
  <c r="G170" i="49"/>
  <c r="F170" i="49"/>
  <c r="E170" i="49"/>
  <c r="D170" i="49"/>
  <c r="K169" i="49"/>
  <c r="J169" i="49"/>
  <c r="I169" i="49"/>
  <c r="H169" i="49"/>
  <c r="G169" i="49"/>
  <c r="F169" i="49"/>
  <c r="E169" i="49"/>
  <c r="D169" i="49"/>
  <c r="G168" i="49"/>
  <c r="F162" i="49"/>
  <c r="F161" i="49"/>
  <c r="F160" i="49"/>
  <c r="F159" i="49"/>
  <c r="F158" i="49"/>
  <c r="F157" i="49"/>
  <c r="F156" i="49"/>
  <c r="F155" i="49"/>
  <c r="F154" i="49"/>
  <c r="F153" i="49"/>
  <c r="F152" i="49"/>
  <c r="F151" i="49"/>
  <c r="F150" i="49"/>
  <c r="F149" i="49"/>
  <c r="F148" i="49"/>
  <c r="F147" i="49"/>
  <c r="F146" i="49"/>
  <c r="F145" i="49"/>
  <c r="F144" i="49"/>
  <c r="F143" i="49"/>
  <c r="F142" i="49"/>
  <c r="J141" i="49"/>
  <c r="K140" i="49"/>
  <c r="J140" i="49"/>
  <c r="I140" i="49"/>
  <c r="H140" i="49"/>
  <c r="G140" i="49"/>
  <c r="F140" i="49"/>
  <c r="E140" i="49"/>
  <c r="D140" i="49"/>
  <c r="K139" i="49"/>
  <c r="J139" i="49"/>
  <c r="I139" i="49"/>
  <c r="H139" i="49"/>
  <c r="G139" i="49"/>
  <c r="F139" i="49"/>
  <c r="E139" i="49"/>
  <c r="D139" i="49"/>
  <c r="G138" i="49"/>
  <c r="F134" i="49"/>
  <c r="F133" i="49"/>
  <c r="F132" i="49"/>
  <c r="F131" i="49"/>
  <c r="F130" i="49"/>
  <c r="F129" i="49"/>
  <c r="F128" i="49"/>
  <c r="I68" i="49"/>
  <c r="G55" i="48" s="1"/>
  <c r="F127" i="49"/>
  <c r="F126" i="49"/>
  <c r="F125" i="49"/>
  <c r="F124" i="49"/>
  <c r="I64" i="49"/>
  <c r="G51" i="48" s="1"/>
  <c r="F123" i="49"/>
  <c r="F122" i="49"/>
  <c r="F121" i="49"/>
  <c r="F120" i="49"/>
  <c r="F119" i="49"/>
  <c r="F118" i="49"/>
  <c r="F117" i="49"/>
  <c r="F116" i="49"/>
  <c r="F115" i="49"/>
  <c r="F114" i="49"/>
  <c r="J114" i="49" s="1"/>
  <c r="J113" i="49"/>
  <c r="K112" i="49"/>
  <c r="J112" i="49"/>
  <c r="I112" i="49"/>
  <c r="H112" i="49"/>
  <c r="G112" i="49"/>
  <c r="F112" i="49"/>
  <c r="E112" i="49"/>
  <c r="D112" i="49"/>
  <c r="K111" i="49"/>
  <c r="J111" i="49"/>
  <c r="I111" i="49"/>
  <c r="H111" i="49"/>
  <c r="G111" i="49"/>
  <c r="F111" i="49"/>
  <c r="E111" i="49"/>
  <c r="D111" i="49"/>
  <c r="G110" i="49"/>
  <c r="F106" i="49"/>
  <c r="F105" i="49"/>
  <c r="I73" i="49"/>
  <c r="G60" i="48" s="1"/>
  <c r="F103" i="49"/>
  <c r="F102" i="49"/>
  <c r="F101" i="49"/>
  <c r="F100" i="49"/>
  <c r="F99" i="49"/>
  <c r="F98" i="49"/>
  <c r="F97" i="49"/>
  <c r="I65" i="49"/>
  <c r="G52" i="48" s="1"/>
  <c r="E65" i="49"/>
  <c r="F95" i="49"/>
  <c r="I63" i="49"/>
  <c r="G50" i="48" s="1"/>
  <c r="F94" i="49"/>
  <c r="F93" i="49"/>
  <c r="F92" i="49"/>
  <c r="F91" i="49"/>
  <c r="F90" i="49"/>
  <c r="F89" i="49"/>
  <c r="I57" i="49"/>
  <c r="G44" i="48" s="1"/>
  <c r="F88" i="49"/>
  <c r="F87" i="49"/>
  <c r="F86" i="49"/>
  <c r="J86" i="49" s="1"/>
  <c r="C86" i="49"/>
  <c r="C87" i="49" s="1"/>
  <c r="C88" i="49" s="1"/>
  <c r="C89" i="49" s="1"/>
  <c r="C90" i="49" s="1"/>
  <c r="C91" i="49" s="1"/>
  <c r="C92" i="49" s="1"/>
  <c r="C93" i="49" s="1"/>
  <c r="C94" i="49" s="1"/>
  <c r="C95" i="49" s="1"/>
  <c r="C96" i="49" s="1"/>
  <c r="C97" i="49" s="1"/>
  <c r="C98" i="49" s="1"/>
  <c r="C99" i="49" s="1"/>
  <c r="C100" i="49" s="1"/>
  <c r="C101" i="49" s="1"/>
  <c r="C102" i="49" s="1"/>
  <c r="C103" i="49" s="1"/>
  <c r="C104" i="49" s="1"/>
  <c r="C105" i="49" s="1"/>
  <c r="C106" i="49" s="1"/>
  <c r="J85" i="49"/>
  <c r="C85" i="49"/>
  <c r="C113" i="49" s="1"/>
  <c r="C141" i="49" s="1"/>
  <c r="K84" i="49"/>
  <c r="J84" i="49"/>
  <c r="I84" i="49"/>
  <c r="H84" i="49"/>
  <c r="G84" i="49"/>
  <c r="F84" i="49"/>
  <c r="E84" i="49"/>
  <c r="D84" i="49"/>
  <c r="K83" i="49"/>
  <c r="J83" i="49"/>
  <c r="I83" i="49"/>
  <c r="H83" i="49"/>
  <c r="G83" i="49"/>
  <c r="F83" i="49"/>
  <c r="E83" i="49"/>
  <c r="D83" i="49"/>
  <c r="G82" i="49"/>
  <c r="H75" i="49"/>
  <c r="G75" i="49"/>
  <c r="I74" i="49"/>
  <c r="G61" i="48" s="1"/>
  <c r="H74" i="49"/>
  <c r="G74" i="49"/>
  <c r="E74" i="49"/>
  <c r="D74" i="49"/>
  <c r="H73" i="49"/>
  <c r="G73" i="49"/>
  <c r="D73" i="49"/>
  <c r="I72" i="49"/>
  <c r="G59" i="48" s="1"/>
  <c r="H72" i="49"/>
  <c r="G72" i="49"/>
  <c r="D72" i="49"/>
  <c r="H71" i="49"/>
  <c r="G71" i="49"/>
  <c r="E71" i="49"/>
  <c r="D71" i="49"/>
  <c r="H70" i="49"/>
  <c r="G70" i="49"/>
  <c r="E70" i="49"/>
  <c r="D70" i="49"/>
  <c r="I69" i="49"/>
  <c r="G56" i="48" s="1"/>
  <c r="H69" i="49"/>
  <c r="G69" i="49"/>
  <c r="D69" i="49"/>
  <c r="H68" i="49"/>
  <c r="G68" i="49"/>
  <c r="E68" i="49"/>
  <c r="D68" i="49"/>
  <c r="H67" i="49"/>
  <c r="G67" i="49"/>
  <c r="D67" i="49"/>
  <c r="I66" i="49"/>
  <c r="G53" i="48" s="1"/>
  <c r="H66" i="49"/>
  <c r="G66" i="49"/>
  <c r="D66" i="49"/>
  <c r="H65" i="49"/>
  <c r="G65" i="49"/>
  <c r="D65" i="49"/>
  <c r="H64" i="49"/>
  <c r="G64" i="49"/>
  <c r="E64" i="49"/>
  <c r="D64" i="49"/>
  <c r="H63" i="49"/>
  <c r="G63" i="49"/>
  <c r="E63" i="49"/>
  <c r="D63" i="49"/>
  <c r="H62" i="49"/>
  <c r="G62" i="49"/>
  <c r="E62" i="49"/>
  <c r="D62" i="49"/>
  <c r="I61" i="49"/>
  <c r="G48" i="48" s="1"/>
  <c r="H61" i="49"/>
  <c r="G61" i="49"/>
  <c r="D61" i="49"/>
  <c r="I60" i="49"/>
  <c r="G47" i="48" s="1"/>
  <c r="H60" i="49"/>
  <c r="G60" i="49"/>
  <c r="D60" i="49"/>
  <c r="H59" i="49"/>
  <c r="G59" i="49"/>
  <c r="D59" i="49"/>
  <c r="I58" i="49"/>
  <c r="G45" i="48" s="1"/>
  <c r="H58" i="49"/>
  <c r="G58" i="49"/>
  <c r="D58" i="49"/>
  <c r="H57" i="49"/>
  <c r="G57" i="49"/>
  <c r="D57" i="49"/>
  <c r="I56" i="49"/>
  <c r="G43" i="48" s="1"/>
  <c r="H56" i="49"/>
  <c r="G56" i="49"/>
  <c r="E56" i="49"/>
  <c r="D56" i="49"/>
  <c r="H55" i="49"/>
  <c r="G55" i="49"/>
  <c r="C54" i="49"/>
  <c r="C55" i="49" s="1"/>
  <c r="C56" i="49" s="1"/>
  <c r="C57" i="49" s="1"/>
  <c r="C58" i="49" s="1"/>
  <c r="C59" i="49" s="1"/>
  <c r="C60" i="49" s="1"/>
  <c r="C61" i="49" s="1"/>
  <c r="C62" i="49" s="1"/>
  <c r="C63" i="49" s="1"/>
  <c r="C64" i="49" s="1"/>
  <c r="C65" i="49" s="1"/>
  <c r="C66" i="49" s="1"/>
  <c r="C67" i="49" s="1"/>
  <c r="C68" i="49" s="1"/>
  <c r="C69" i="49" s="1"/>
  <c r="C70" i="49" s="1"/>
  <c r="C71" i="49" s="1"/>
  <c r="C72" i="49" s="1"/>
  <c r="C73" i="49" s="1"/>
  <c r="C74" i="49" s="1"/>
  <c r="C75" i="49" s="1"/>
  <c r="G46" i="49"/>
  <c r="F46" i="49"/>
  <c r="E46" i="49"/>
  <c r="D46" i="49"/>
  <c r="I26" i="49"/>
  <c r="H26" i="49"/>
  <c r="G26" i="49"/>
  <c r="F26" i="49"/>
  <c r="E26" i="49"/>
  <c r="D25" i="49"/>
  <c r="J54" i="49" s="1"/>
  <c r="D24" i="49"/>
  <c r="D23" i="49"/>
  <c r="D22" i="49"/>
  <c r="D21" i="49"/>
  <c r="D20" i="49"/>
  <c r="D19" i="49"/>
  <c r="D18" i="49"/>
  <c r="D17" i="49"/>
  <c r="D16" i="49"/>
  <c r="D15" i="49"/>
  <c r="D14" i="49"/>
  <c r="D26" i="49" s="1"/>
  <c r="A14" i="49"/>
  <c r="A15" i="49" s="1"/>
  <c r="A16" i="49" s="1"/>
  <c r="A17" i="49" s="1"/>
  <c r="A18" i="49" s="1"/>
  <c r="A19" i="49" s="1"/>
  <c r="A20" i="49" s="1"/>
  <c r="A21" i="49" s="1"/>
  <c r="A22" i="49" s="1"/>
  <c r="A23" i="49" s="1"/>
  <c r="A24" i="49" s="1"/>
  <c r="A25" i="49" s="1"/>
  <c r="A26" i="49" s="1"/>
  <c r="A33" i="49" s="1"/>
  <c r="A34" i="49" s="1"/>
  <c r="A35" i="49" s="1"/>
  <c r="A36" i="49" s="1"/>
  <c r="A37" i="49" s="1"/>
  <c r="A38" i="49" s="1"/>
  <c r="A39" i="49" s="1"/>
  <c r="A40" i="49" s="1"/>
  <c r="A41" i="49" s="1"/>
  <c r="A42" i="49" s="1"/>
  <c r="A43" i="49" s="1"/>
  <c r="A44" i="49" s="1"/>
  <c r="A45" i="49" s="1"/>
  <c r="A46" i="49" s="1"/>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85" i="49" s="1"/>
  <c r="A86" i="49" s="1"/>
  <c r="A87" i="49" s="1"/>
  <c r="A88" i="49" s="1"/>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13" i="49" s="1"/>
  <c r="A114" i="49" s="1"/>
  <c r="A115" i="49" s="1"/>
  <c r="A116" i="49" s="1"/>
  <c r="A117" i="49" s="1"/>
  <c r="A118" i="49" s="1"/>
  <c r="A119" i="49" s="1"/>
  <c r="A120" i="49" s="1"/>
  <c r="A121" i="49" s="1"/>
  <c r="A122" i="49" s="1"/>
  <c r="A123" i="49" s="1"/>
  <c r="A124" i="49" s="1"/>
  <c r="A125" i="49" s="1"/>
  <c r="A126" i="49" s="1"/>
  <c r="A127" i="49" s="1"/>
  <c r="A128" i="49" s="1"/>
  <c r="A129" i="49" s="1"/>
  <c r="A130" i="49" s="1"/>
  <c r="A131" i="49" s="1"/>
  <c r="A132" i="49" s="1"/>
  <c r="A133" i="49" s="1"/>
  <c r="A134" i="49" s="1"/>
  <c r="A135" i="49" s="1"/>
  <c r="A141" i="49" s="1"/>
  <c r="A142" i="49" s="1"/>
  <c r="A143" i="49" s="1"/>
  <c r="A144" i="49" s="1"/>
  <c r="A145" i="49" s="1"/>
  <c r="A146" i="49" s="1"/>
  <c r="A147" i="49" s="1"/>
  <c r="A148" i="49" s="1"/>
  <c r="A149" i="49" s="1"/>
  <c r="A150" i="49" s="1"/>
  <c r="A151" i="49" s="1"/>
  <c r="A152" i="49" s="1"/>
  <c r="A153" i="49" s="1"/>
  <c r="A154" i="49" s="1"/>
  <c r="A155" i="49" s="1"/>
  <c r="A156" i="49" s="1"/>
  <c r="A157" i="49" s="1"/>
  <c r="A158" i="49" s="1"/>
  <c r="A159" i="49" s="1"/>
  <c r="A160" i="49" s="1"/>
  <c r="A161" i="49" s="1"/>
  <c r="A162" i="49" s="1"/>
  <c r="A163" i="49" s="1"/>
  <c r="A171" i="49" s="1"/>
  <c r="A172" i="49" s="1"/>
  <c r="A173" i="49" s="1"/>
  <c r="A174" i="49" s="1"/>
  <c r="A175" i="49" s="1"/>
  <c r="A176" i="49" s="1"/>
  <c r="A177" i="49" s="1"/>
  <c r="A178" i="49" s="1"/>
  <c r="A179" i="49" s="1"/>
  <c r="A180" i="49" s="1"/>
  <c r="A181" i="49" s="1"/>
  <c r="A182" i="49" s="1"/>
  <c r="A183" i="49" s="1"/>
  <c r="A184" i="49" s="1"/>
  <c r="A185" i="49" s="1"/>
  <c r="A186" i="49" s="1"/>
  <c r="A187" i="49" s="1"/>
  <c r="A188" i="49" s="1"/>
  <c r="A189" i="49" s="1"/>
  <c r="A190" i="49" s="1"/>
  <c r="A191" i="49" s="1"/>
  <c r="A192" i="49" s="1"/>
  <c r="A193" i="49" s="1"/>
  <c r="A199" i="49" s="1"/>
  <c r="A200" i="49" s="1"/>
  <c r="A201" i="49" s="1"/>
  <c r="A202" i="49" s="1"/>
  <c r="A203" i="49" s="1"/>
  <c r="A204" i="49" s="1"/>
  <c r="A205" i="49" s="1"/>
  <c r="A206" i="49" s="1"/>
  <c r="A207" i="49" s="1"/>
  <c r="A208" i="49" s="1"/>
  <c r="A209" i="49" s="1"/>
  <c r="A210" i="49" s="1"/>
  <c r="A211" i="49" s="1"/>
  <c r="A212" i="49" s="1"/>
  <c r="A213" i="49" s="1"/>
  <c r="A214" i="49" s="1"/>
  <c r="A215" i="49" s="1"/>
  <c r="A216" i="49" s="1"/>
  <c r="A217" i="49" s="1"/>
  <c r="A218" i="49" s="1"/>
  <c r="A219" i="49" s="1"/>
  <c r="A220" i="49" s="1"/>
  <c r="A221" i="49" s="1"/>
  <c r="A227" i="49" s="1"/>
  <c r="A228" i="49" s="1"/>
  <c r="A229" i="49" s="1"/>
  <c r="A230" i="49" s="1"/>
  <c r="A231" i="49" s="1"/>
  <c r="A232" i="49" s="1"/>
  <c r="A233" i="49" s="1"/>
  <c r="A234" i="49" s="1"/>
  <c r="A235" i="49" s="1"/>
  <c r="A236" i="49" s="1"/>
  <c r="A237" i="49" s="1"/>
  <c r="A238" i="49" s="1"/>
  <c r="A239" i="49" s="1"/>
  <c r="A240" i="49" s="1"/>
  <c r="A241" i="49" s="1"/>
  <c r="A242" i="49" s="1"/>
  <c r="A243" i="49" s="1"/>
  <c r="A244" i="49" s="1"/>
  <c r="A245" i="49" s="1"/>
  <c r="A246" i="49" s="1"/>
  <c r="A247" i="49" s="1"/>
  <c r="A248" i="49" s="1"/>
  <c r="A249" i="49" s="1"/>
  <c r="A257" i="49" s="1"/>
  <c r="A258" i="49" s="1"/>
  <c r="A259" i="49" s="1"/>
  <c r="A260" i="49" s="1"/>
  <c r="A261" i="49" s="1"/>
  <c r="A262" i="49" s="1"/>
  <c r="A263" i="49" s="1"/>
  <c r="A264" i="49" s="1"/>
  <c r="A265" i="49" s="1"/>
  <c r="A266" i="49" s="1"/>
  <c r="A267" i="49" s="1"/>
  <c r="A268" i="49" s="1"/>
  <c r="A269" i="49" s="1"/>
  <c r="A270" i="49" s="1"/>
  <c r="A271" i="49" s="1"/>
  <c r="A272" i="49" s="1"/>
  <c r="A273" i="49" s="1"/>
  <c r="A274" i="49" s="1"/>
  <c r="A275" i="49" s="1"/>
  <c r="A276" i="49" s="1"/>
  <c r="A277" i="49" s="1"/>
  <c r="A278" i="49" s="1"/>
  <c r="A279"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A306" i="49" s="1"/>
  <c r="A307" i="49" s="1"/>
  <c r="A313" i="49" s="1"/>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A335" i="49" s="1"/>
  <c r="A343"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D13" i="49"/>
  <c r="J345" i="49" l="1"/>
  <c r="F62" i="49"/>
  <c r="J228" i="49"/>
  <c r="F63" i="49"/>
  <c r="F67" i="49"/>
  <c r="F60" i="49"/>
  <c r="F69" i="49"/>
  <c r="F61" i="49"/>
  <c r="F68" i="49"/>
  <c r="F64" i="49"/>
  <c r="F59" i="49"/>
  <c r="F71" i="49"/>
  <c r="F70" i="49"/>
  <c r="F57" i="49"/>
  <c r="F55" i="49"/>
  <c r="M13" i="48"/>
  <c r="P89" i="48"/>
  <c r="P72" i="48"/>
  <c r="F68" i="48"/>
  <c r="E41" i="48"/>
  <c r="E13" i="48"/>
  <c r="G73" i="48"/>
  <c r="H73" i="48" s="1"/>
  <c r="H16" i="48" s="1"/>
  <c r="P86" i="48"/>
  <c r="P73" i="48"/>
  <c r="P81" i="48"/>
  <c r="P88" i="48"/>
  <c r="G80" i="48"/>
  <c r="H80" i="48" s="1"/>
  <c r="H23" i="48" s="1"/>
  <c r="P51" i="48"/>
  <c r="G41" i="48"/>
  <c r="P47" i="48"/>
  <c r="P54" i="48"/>
  <c r="G72" i="48"/>
  <c r="H72" i="48" s="1"/>
  <c r="H15" i="48" s="1"/>
  <c r="P78" i="48"/>
  <c r="G77" i="48"/>
  <c r="H77" i="48" s="1"/>
  <c r="H20" i="48" s="1"/>
  <c r="G79" i="48"/>
  <c r="H79" i="48" s="1"/>
  <c r="H22" i="48" s="1"/>
  <c r="G85" i="48"/>
  <c r="G28" i="48" s="1"/>
  <c r="P87" i="48"/>
  <c r="P46" i="48"/>
  <c r="P53" i="48"/>
  <c r="P24" i="48" s="1"/>
  <c r="P55" i="48"/>
  <c r="G71" i="48"/>
  <c r="H71" i="48" s="1"/>
  <c r="H14" i="48" s="1"/>
  <c r="G75" i="48"/>
  <c r="H75" i="48" s="1"/>
  <c r="I75" i="48" s="1"/>
  <c r="P79" i="48"/>
  <c r="G81" i="48"/>
  <c r="G24" i="48" s="1"/>
  <c r="G83" i="48"/>
  <c r="P85" i="48"/>
  <c r="F69" i="48"/>
  <c r="F41" i="48"/>
  <c r="O15" i="48"/>
  <c r="I70" i="48"/>
  <c r="P83" i="48"/>
  <c r="P57" i="48"/>
  <c r="P28" i="48" s="1"/>
  <c r="P62" i="48"/>
  <c r="P70" i="48"/>
  <c r="P76" i="48"/>
  <c r="P77" i="48"/>
  <c r="P20" i="48" s="1"/>
  <c r="O28" i="48"/>
  <c r="E39" i="48"/>
  <c r="P43" i="48"/>
  <c r="P61" i="48"/>
  <c r="P71" i="48"/>
  <c r="O14" i="48"/>
  <c r="O20" i="48"/>
  <c r="P45" i="48"/>
  <c r="P59" i="48"/>
  <c r="P74" i="48"/>
  <c r="G84" i="48"/>
  <c r="G76" i="48"/>
  <c r="G19" i="48" s="1"/>
  <c r="P58" i="48"/>
  <c r="P50" i="48"/>
  <c r="P42" i="48"/>
  <c r="P90" i="48"/>
  <c r="G87" i="48"/>
  <c r="P82" i="48"/>
  <c r="G90" i="48"/>
  <c r="G82" i="48"/>
  <c r="G74" i="48"/>
  <c r="P56" i="48"/>
  <c r="P48" i="48"/>
  <c r="G86" i="48"/>
  <c r="G78" i="48"/>
  <c r="P60" i="48"/>
  <c r="P52" i="48"/>
  <c r="P44" i="48"/>
  <c r="P80" i="48"/>
  <c r="P84" i="48"/>
  <c r="E68" i="48"/>
  <c r="E40" i="48"/>
  <c r="P75" i="48"/>
  <c r="O16" i="48"/>
  <c r="O32" i="48"/>
  <c r="G40" i="48"/>
  <c r="G88" i="48"/>
  <c r="G89" i="48"/>
  <c r="O22" i="48"/>
  <c r="O30" i="48"/>
  <c r="F56" i="49"/>
  <c r="J87" i="49"/>
  <c r="F72" i="49"/>
  <c r="F74" i="49"/>
  <c r="F58" i="49"/>
  <c r="K345" i="49"/>
  <c r="J346" i="49"/>
  <c r="F231" i="49"/>
  <c r="F248" i="49"/>
  <c r="F75" i="49" s="1"/>
  <c r="E72" i="49"/>
  <c r="I67" i="49"/>
  <c r="G54" i="48" s="1"/>
  <c r="E60" i="49"/>
  <c r="C171" i="49"/>
  <c r="C142" i="49"/>
  <c r="C143" i="49" s="1"/>
  <c r="C144" i="49" s="1"/>
  <c r="C145" i="49" s="1"/>
  <c r="C146" i="49" s="1"/>
  <c r="C147" i="49" s="1"/>
  <c r="C148" i="49" s="1"/>
  <c r="C149" i="49" s="1"/>
  <c r="C150" i="49" s="1"/>
  <c r="C151" i="49" s="1"/>
  <c r="C152" i="49" s="1"/>
  <c r="C153" i="49" s="1"/>
  <c r="C154" i="49" s="1"/>
  <c r="C155" i="49" s="1"/>
  <c r="C156" i="49" s="1"/>
  <c r="C157" i="49" s="1"/>
  <c r="C158" i="49" s="1"/>
  <c r="C159" i="49" s="1"/>
  <c r="C160" i="49" s="1"/>
  <c r="C161" i="49" s="1"/>
  <c r="C162" i="49" s="1"/>
  <c r="E73" i="49"/>
  <c r="C114" i="49"/>
  <c r="C115" i="49" s="1"/>
  <c r="C116" i="49" s="1"/>
  <c r="C117" i="49" s="1"/>
  <c r="C118" i="49" s="1"/>
  <c r="C119" i="49" s="1"/>
  <c r="C120" i="49" s="1"/>
  <c r="C121" i="49" s="1"/>
  <c r="C122" i="49" s="1"/>
  <c r="C123" i="49" s="1"/>
  <c r="C124" i="49" s="1"/>
  <c r="C125" i="49" s="1"/>
  <c r="C126" i="49" s="1"/>
  <c r="C127" i="49" s="1"/>
  <c r="C128" i="49" s="1"/>
  <c r="C129" i="49" s="1"/>
  <c r="C130" i="49" s="1"/>
  <c r="C131" i="49" s="1"/>
  <c r="C132" i="49" s="1"/>
  <c r="C133" i="49" s="1"/>
  <c r="C134" i="49" s="1"/>
  <c r="K286" i="49"/>
  <c r="J287" i="49"/>
  <c r="I71" i="49"/>
  <c r="G58" i="48" s="1"/>
  <c r="F104" i="49"/>
  <c r="F73" i="49" s="1"/>
  <c r="I75" i="49"/>
  <c r="G62" i="48" s="1"/>
  <c r="K314" i="49"/>
  <c r="J315" i="49"/>
  <c r="I55" i="49"/>
  <c r="G42" i="48" s="1"/>
  <c r="K42" i="48" s="1"/>
  <c r="N42" i="48" s="1"/>
  <c r="E57" i="49"/>
  <c r="J173" i="49"/>
  <c r="K172" i="49"/>
  <c r="F183" i="49"/>
  <c r="F66" i="49" s="1"/>
  <c r="J115" i="49"/>
  <c r="K114" i="49"/>
  <c r="K86" i="49"/>
  <c r="J201" i="49"/>
  <c r="E55" i="49"/>
  <c r="F96" i="49"/>
  <c r="F65" i="49" s="1"/>
  <c r="E59" i="49"/>
  <c r="E67" i="49"/>
  <c r="I59" i="49"/>
  <c r="G46" i="48" s="1"/>
  <c r="J229" i="49"/>
  <c r="K228" i="49"/>
  <c r="J259" i="49"/>
  <c r="K258" i="49"/>
  <c r="E61" i="49"/>
  <c r="E69" i="49"/>
  <c r="K200" i="49"/>
  <c r="J142" i="49"/>
  <c r="J55" i="49" s="1"/>
  <c r="G29" i="48" l="1"/>
  <c r="G25" i="48"/>
  <c r="G13" i="48"/>
  <c r="P32" i="48"/>
  <c r="P30" i="48"/>
  <c r="H18" i="48"/>
  <c r="P13" i="48"/>
  <c r="P15" i="48"/>
  <c r="G14" i="48"/>
  <c r="I72" i="48"/>
  <c r="J72" i="48" s="1"/>
  <c r="J15" i="48" s="1"/>
  <c r="K43" i="48"/>
  <c r="K44" i="48" s="1"/>
  <c r="P29" i="48"/>
  <c r="I80" i="48"/>
  <c r="I23" i="48" s="1"/>
  <c r="I73" i="48"/>
  <c r="J73" i="48" s="1"/>
  <c r="J16" i="48" s="1"/>
  <c r="P19" i="48"/>
  <c r="G16" i="48"/>
  <c r="E111" i="48"/>
  <c r="G18" i="48"/>
  <c r="G15" i="48"/>
  <c r="G20" i="48"/>
  <c r="P31" i="48"/>
  <c r="P25" i="48"/>
  <c r="P17" i="48"/>
  <c r="P26" i="48"/>
  <c r="P22" i="48"/>
  <c r="I71" i="48"/>
  <c r="J71" i="48" s="1"/>
  <c r="J14" i="48" s="1"/>
  <c r="I77" i="48"/>
  <c r="I20" i="48" s="1"/>
  <c r="H83" i="48"/>
  <c r="G26" i="48"/>
  <c r="P21" i="48"/>
  <c r="P16" i="48"/>
  <c r="H81" i="48"/>
  <c r="H24" i="48" s="1"/>
  <c r="I81" i="48"/>
  <c r="I79" i="48"/>
  <c r="J79" i="48" s="1"/>
  <c r="J22" i="48" s="1"/>
  <c r="P18" i="48"/>
  <c r="G23" i="48"/>
  <c r="G22" i="48"/>
  <c r="H85" i="48"/>
  <c r="H28" i="48" s="1"/>
  <c r="H87" i="48"/>
  <c r="H30" i="48" s="1"/>
  <c r="H89" i="48"/>
  <c r="H32" i="48" s="1"/>
  <c r="G32" i="48"/>
  <c r="E110" i="48"/>
  <c r="H74" i="48"/>
  <c r="H17" i="48" s="1"/>
  <c r="G17" i="48"/>
  <c r="J75" i="48"/>
  <c r="J18" i="48" s="1"/>
  <c r="I18" i="48"/>
  <c r="G31" i="48"/>
  <c r="H88" i="48"/>
  <c r="H31" i="48" s="1"/>
  <c r="H82" i="48"/>
  <c r="H25" i="48" s="1"/>
  <c r="H76" i="48"/>
  <c r="H19" i="48" s="1"/>
  <c r="G66" i="48"/>
  <c r="P23" i="48"/>
  <c r="H90" i="48"/>
  <c r="H33" i="48" s="1"/>
  <c r="G33" i="48"/>
  <c r="H84" i="48"/>
  <c r="H27" i="48" s="1"/>
  <c r="G27" i="48"/>
  <c r="P33" i="48"/>
  <c r="G30" i="48"/>
  <c r="P14" i="48"/>
  <c r="P27" i="48"/>
  <c r="H86" i="48"/>
  <c r="H29" i="48" s="1"/>
  <c r="G21" i="48"/>
  <c r="H78" i="48"/>
  <c r="H21" i="48" s="1"/>
  <c r="J70" i="48"/>
  <c r="J13" i="48" s="1"/>
  <c r="I13" i="48"/>
  <c r="C199" i="49"/>
  <c r="C172" i="49"/>
  <c r="C173" i="49" s="1"/>
  <c r="C174" i="49" s="1"/>
  <c r="C175" i="49" s="1"/>
  <c r="C176" i="49" s="1"/>
  <c r="C177" i="49" s="1"/>
  <c r="C178" i="49" s="1"/>
  <c r="C179" i="49" s="1"/>
  <c r="C180" i="49" s="1"/>
  <c r="C181" i="49" s="1"/>
  <c r="C182" i="49" s="1"/>
  <c r="C183" i="49" s="1"/>
  <c r="C184" i="49" s="1"/>
  <c r="C185" i="49" s="1"/>
  <c r="C186" i="49" s="1"/>
  <c r="C187" i="49" s="1"/>
  <c r="C188" i="49" s="1"/>
  <c r="C189" i="49" s="1"/>
  <c r="C190" i="49" s="1"/>
  <c r="C191" i="49" s="1"/>
  <c r="C192" i="49" s="1"/>
  <c r="K173" i="49"/>
  <c r="J174" i="49"/>
  <c r="J288" i="49"/>
  <c r="K287" i="49"/>
  <c r="K87" i="49"/>
  <c r="J88" i="49"/>
  <c r="J260" i="49"/>
  <c r="K259" i="49"/>
  <c r="J202" i="49"/>
  <c r="K201" i="49"/>
  <c r="K315" i="49"/>
  <c r="J316" i="49"/>
  <c r="J347" i="49"/>
  <c r="K346" i="49"/>
  <c r="K229" i="49"/>
  <c r="J230" i="49"/>
  <c r="K142" i="49"/>
  <c r="K55" i="49" s="1"/>
  <c r="J143" i="49"/>
  <c r="J56" i="49" s="1"/>
  <c r="J116" i="49"/>
  <c r="K115" i="49"/>
  <c r="P34" i="48" l="1"/>
  <c r="I14" i="48"/>
  <c r="I15" i="48"/>
  <c r="I16" i="48"/>
  <c r="J77" i="48"/>
  <c r="J20" i="48" s="1"/>
  <c r="J80" i="48"/>
  <c r="J23" i="48" s="1"/>
  <c r="K70" i="48"/>
  <c r="N70" i="48" s="1"/>
  <c r="N13" i="48" s="1"/>
  <c r="I89" i="48"/>
  <c r="I32" i="48" s="1"/>
  <c r="H26" i="48"/>
  <c r="I83" i="48"/>
  <c r="I22" i="48"/>
  <c r="I85" i="48"/>
  <c r="J85" i="48" s="1"/>
  <c r="J28" i="48" s="1"/>
  <c r="I24" i="48"/>
  <c r="J81" i="48"/>
  <c r="J24" i="48" s="1"/>
  <c r="I82" i="48"/>
  <c r="I74" i="48"/>
  <c r="K45" i="48"/>
  <c r="I78" i="48"/>
  <c r="I88" i="48"/>
  <c r="I86" i="48"/>
  <c r="I84" i="48"/>
  <c r="I76" i="48"/>
  <c r="I87" i="48"/>
  <c r="I90" i="48"/>
  <c r="K260" i="49"/>
  <c r="J261" i="49"/>
  <c r="J348" i="49"/>
  <c r="K347" i="49"/>
  <c r="C200" i="49"/>
  <c r="C201" i="49" s="1"/>
  <c r="C202" i="49" s="1"/>
  <c r="C203" i="49" s="1"/>
  <c r="C204" i="49" s="1"/>
  <c r="C205" i="49" s="1"/>
  <c r="C206" i="49" s="1"/>
  <c r="C207" i="49" s="1"/>
  <c r="C208" i="49" s="1"/>
  <c r="C209" i="49" s="1"/>
  <c r="C210" i="49" s="1"/>
  <c r="C211" i="49" s="1"/>
  <c r="C212" i="49" s="1"/>
  <c r="C213" i="49" s="1"/>
  <c r="C214" i="49" s="1"/>
  <c r="C215" i="49" s="1"/>
  <c r="C216" i="49" s="1"/>
  <c r="C217" i="49" s="1"/>
  <c r="C218" i="49" s="1"/>
  <c r="C219" i="49" s="1"/>
  <c r="C220" i="49" s="1"/>
  <c r="C227" i="49"/>
  <c r="J317" i="49"/>
  <c r="K316" i="49"/>
  <c r="J89" i="49"/>
  <c r="K88" i="49"/>
  <c r="K116" i="49"/>
  <c r="J117" i="49"/>
  <c r="K143" i="49"/>
  <c r="K56" i="49" s="1"/>
  <c r="J144" i="49"/>
  <c r="J289" i="49"/>
  <c r="K288" i="49"/>
  <c r="K230" i="49"/>
  <c r="J231" i="49"/>
  <c r="J203" i="49"/>
  <c r="K202" i="49"/>
  <c r="K174" i="49"/>
  <c r="J175" i="49"/>
  <c r="K71" i="48" l="1"/>
  <c r="K72" i="48" s="1"/>
  <c r="J89" i="48"/>
  <c r="J32" i="48" s="1"/>
  <c r="K13" i="48"/>
  <c r="I28" i="48"/>
  <c r="J83" i="48"/>
  <c r="J26" i="48" s="1"/>
  <c r="I26" i="48"/>
  <c r="H66" i="48"/>
  <c r="J87" i="48"/>
  <c r="J30" i="48" s="1"/>
  <c r="I30" i="48"/>
  <c r="J88" i="48"/>
  <c r="J31" i="48" s="1"/>
  <c r="I31" i="48"/>
  <c r="J76" i="48"/>
  <c r="J19" i="48" s="1"/>
  <c r="I19" i="48"/>
  <c r="J78" i="48"/>
  <c r="J21" i="48" s="1"/>
  <c r="I21" i="48"/>
  <c r="I17" i="48"/>
  <c r="J74" i="48"/>
  <c r="J17" i="48" s="1"/>
  <c r="I27" i="48"/>
  <c r="J84" i="48"/>
  <c r="J27" i="48" s="1"/>
  <c r="J82" i="48"/>
  <c r="J25" i="48" s="1"/>
  <c r="I25" i="48"/>
  <c r="J90" i="48"/>
  <c r="J33" i="48" s="1"/>
  <c r="I33" i="48"/>
  <c r="J86" i="48"/>
  <c r="J29" i="48" s="1"/>
  <c r="I29" i="48"/>
  <c r="K46" i="48"/>
  <c r="J176" i="49"/>
  <c r="K175" i="49"/>
  <c r="J145" i="49"/>
  <c r="K144" i="49"/>
  <c r="K57" i="49" s="1"/>
  <c r="J318" i="49"/>
  <c r="K317" i="49"/>
  <c r="C228" i="49"/>
  <c r="C229" i="49" s="1"/>
  <c r="C230" i="49" s="1"/>
  <c r="C231" i="49" s="1"/>
  <c r="C232" i="49" s="1"/>
  <c r="C233" i="49" s="1"/>
  <c r="C234" i="49" s="1"/>
  <c r="C235" i="49" s="1"/>
  <c r="C236" i="49" s="1"/>
  <c r="C237" i="49" s="1"/>
  <c r="C238" i="49" s="1"/>
  <c r="C239" i="49" s="1"/>
  <c r="C240" i="49" s="1"/>
  <c r="C241" i="49" s="1"/>
  <c r="C242" i="49" s="1"/>
  <c r="C243" i="49" s="1"/>
  <c r="C244" i="49" s="1"/>
  <c r="C245" i="49" s="1"/>
  <c r="C246" i="49" s="1"/>
  <c r="C247" i="49" s="1"/>
  <c r="C248" i="49" s="1"/>
  <c r="C257" i="49"/>
  <c r="K203" i="49"/>
  <c r="J204" i="49"/>
  <c r="K117" i="49"/>
  <c r="J118" i="49"/>
  <c r="J232" i="49"/>
  <c r="K231" i="49"/>
  <c r="J57" i="49"/>
  <c r="K348" i="49"/>
  <c r="J349" i="49"/>
  <c r="K261" i="49"/>
  <c r="J262" i="49"/>
  <c r="K289" i="49"/>
  <c r="J290" i="49"/>
  <c r="K89" i="49"/>
  <c r="J90" i="49"/>
  <c r="K14" i="48" l="1"/>
  <c r="K47" i="48"/>
  <c r="K73" i="48"/>
  <c r="K15" i="48"/>
  <c r="J233" i="49"/>
  <c r="K232" i="49"/>
  <c r="K318" i="49"/>
  <c r="J319" i="49"/>
  <c r="J263" i="49"/>
  <c r="K262" i="49"/>
  <c r="J119" i="49"/>
  <c r="K118" i="49"/>
  <c r="J146" i="49"/>
  <c r="K145" i="49"/>
  <c r="K58" i="49" s="1"/>
  <c r="K204" i="49"/>
  <c r="J205" i="49"/>
  <c r="J58" i="49"/>
  <c r="K349" i="49"/>
  <c r="J350" i="49"/>
  <c r="J177" i="49"/>
  <c r="K176" i="49"/>
  <c r="J59" i="49"/>
  <c r="J91" i="49"/>
  <c r="K90" i="49"/>
  <c r="C285" i="49"/>
  <c r="C258" i="49"/>
  <c r="C259" i="49" s="1"/>
  <c r="C260" i="49" s="1"/>
  <c r="C261" i="49" s="1"/>
  <c r="C262" i="49" s="1"/>
  <c r="C263" i="49" s="1"/>
  <c r="C264" i="49" s="1"/>
  <c r="C265" i="49" s="1"/>
  <c r="C266" i="49" s="1"/>
  <c r="C267" i="49" s="1"/>
  <c r="C268" i="49" s="1"/>
  <c r="C269" i="49" s="1"/>
  <c r="C270" i="49" s="1"/>
  <c r="C271" i="49" s="1"/>
  <c r="C272" i="49" s="1"/>
  <c r="C273" i="49" s="1"/>
  <c r="C274" i="49" s="1"/>
  <c r="C275" i="49" s="1"/>
  <c r="C276" i="49" s="1"/>
  <c r="C277" i="49" s="1"/>
  <c r="C278" i="49" s="1"/>
  <c r="K290" i="49"/>
  <c r="J291" i="49"/>
  <c r="K48" i="48" l="1"/>
  <c r="K74" i="48"/>
  <c r="K16" i="48"/>
  <c r="A110" i="48"/>
  <c r="J66" i="48"/>
  <c r="K263" i="49"/>
  <c r="J264" i="49"/>
  <c r="J206" i="49"/>
  <c r="K205" i="49"/>
  <c r="K319" i="49"/>
  <c r="J320" i="49"/>
  <c r="J92" i="49"/>
  <c r="K91" i="49"/>
  <c r="J60" i="49"/>
  <c r="J292" i="49"/>
  <c r="K291" i="49"/>
  <c r="K146" i="49"/>
  <c r="K59" i="49" s="1"/>
  <c r="J147" i="49"/>
  <c r="K233" i="49"/>
  <c r="J234" i="49"/>
  <c r="J178" i="49"/>
  <c r="K177" i="49"/>
  <c r="J351" i="49"/>
  <c r="K350" i="49"/>
  <c r="K119" i="49"/>
  <c r="J120" i="49"/>
  <c r="C313" i="49"/>
  <c r="C286" i="49"/>
  <c r="C287" i="49" s="1"/>
  <c r="C288" i="49" s="1"/>
  <c r="C289" i="49" s="1"/>
  <c r="C290" i="49" s="1"/>
  <c r="C291" i="49" s="1"/>
  <c r="C292" i="49" s="1"/>
  <c r="C293" i="49" s="1"/>
  <c r="C294" i="49" s="1"/>
  <c r="C295" i="49" s="1"/>
  <c r="C296" i="49" s="1"/>
  <c r="C297" i="49" s="1"/>
  <c r="C298" i="49" s="1"/>
  <c r="C299" i="49" s="1"/>
  <c r="C300" i="49" s="1"/>
  <c r="C301" i="49" s="1"/>
  <c r="C302" i="49" s="1"/>
  <c r="C303" i="49" s="1"/>
  <c r="C304" i="49" s="1"/>
  <c r="C305" i="49" s="1"/>
  <c r="C306" i="49" s="1"/>
  <c r="K49" i="48" l="1"/>
  <c r="K75" i="48"/>
  <c r="K17" i="48"/>
  <c r="A111" i="48"/>
  <c r="A112" i="48" s="1"/>
  <c r="A113" i="48" s="1"/>
  <c r="A114" i="48" s="1"/>
  <c r="A115" i="48" s="1"/>
  <c r="A116" i="48" s="1"/>
  <c r="A117" i="48" s="1"/>
  <c r="A118" i="48" s="1"/>
  <c r="A119" i="48" s="1"/>
  <c r="A120" i="48" s="1"/>
  <c r="A121" i="48" s="1"/>
  <c r="J207" i="49"/>
  <c r="K206" i="49"/>
  <c r="J352" i="49"/>
  <c r="K351" i="49"/>
  <c r="J293" i="49"/>
  <c r="K292" i="49"/>
  <c r="K264" i="49"/>
  <c r="J265" i="49"/>
  <c r="K178" i="49"/>
  <c r="J179" i="49"/>
  <c r="K60" i="49"/>
  <c r="K234" i="49"/>
  <c r="J235" i="49"/>
  <c r="J61" i="49"/>
  <c r="J93" i="49"/>
  <c r="K92" i="49"/>
  <c r="C314" i="49"/>
  <c r="C315" i="49" s="1"/>
  <c r="C316" i="49" s="1"/>
  <c r="C317" i="49" s="1"/>
  <c r="C318" i="49" s="1"/>
  <c r="C319" i="49" s="1"/>
  <c r="C320" i="49" s="1"/>
  <c r="C321" i="49" s="1"/>
  <c r="C322" i="49" s="1"/>
  <c r="C323" i="49" s="1"/>
  <c r="C324" i="49" s="1"/>
  <c r="C325" i="49" s="1"/>
  <c r="C326" i="49" s="1"/>
  <c r="C327" i="49" s="1"/>
  <c r="C328" i="49" s="1"/>
  <c r="C329" i="49" s="1"/>
  <c r="C330" i="49" s="1"/>
  <c r="C331" i="49" s="1"/>
  <c r="C332" i="49" s="1"/>
  <c r="C333" i="49" s="1"/>
  <c r="C334" i="49" s="1"/>
  <c r="C343" i="49"/>
  <c r="C344" i="49" s="1"/>
  <c r="C345" i="49" s="1"/>
  <c r="C346" i="49" s="1"/>
  <c r="C347" i="49" s="1"/>
  <c r="C348" i="49" s="1"/>
  <c r="C349" i="49" s="1"/>
  <c r="C350" i="49" s="1"/>
  <c r="C351" i="49" s="1"/>
  <c r="C352" i="49" s="1"/>
  <c r="C353" i="49" s="1"/>
  <c r="C354" i="49" s="1"/>
  <c r="C355" i="49" s="1"/>
  <c r="C356" i="49" s="1"/>
  <c r="C357" i="49" s="1"/>
  <c r="C358" i="49" s="1"/>
  <c r="C359" i="49" s="1"/>
  <c r="C360" i="49" s="1"/>
  <c r="C361" i="49" s="1"/>
  <c r="C362" i="49" s="1"/>
  <c r="C363" i="49" s="1"/>
  <c r="C364" i="49" s="1"/>
  <c r="J321" i="49"/>
  <c r="K320" i="49"/>
  <c r="J121" i="49"/>
  <c r="K120" i="49"/>
  <c r="K147" i="49"/>
  <c r="J148" i="49"/>
  <c r="F121" i="48" l="1"/>
  <c r="A122" i="48"/>
  <c r="A123" i="48" s="1"/>
  <c r="A124" i="48" s="1"/>
  <c r="F122" i="48"/>
  <c r="K76" i="48"/>
  <c r="K18" i="48"/>
  <c r="K50" i="48"/>
  <c r="K121" i="49"/>
  <c r="J122" i="49"/>
  <c r="J149" i="49"/>
  <c r="K148" i="49"/>
  <c r="K61" i="49"/>
  <c r="J266" i="49"/>
  <c r="K265" i="49"/>
  <c r="J94" i="49"/>
  <c r="K93" i="49"/>
  <c r="J236" i="49"/>
  <c r="K235" i="49"/>
  <c r="J322" i="49"/>
  <c r="K321" i="49"/>
  <c r="K352" i="49"/>
  <c r="J353" i="49"/>
  <c r="K293" i="49"/>
  <c r="J294" i="49"/>
  <c r="K179" i="49"/>
  <c r="J180" i="49"/>
  <c r="K207" i="49"/>
  <c r="J208" i="49"/>
  <c r="K51" i="48" l="1"/>
  <c r="K77" i="48"/>
  <c r="K19" i="48"/>
  <c r="J209" i="49"/>
  <c r="K208" i="49"/>
  <c r="J267" i="49"/>
  <c r="K266" i="49"/>
  <c r="K322" i="49"/>
  <c r="J323" i="49"/>
  <c r="J181" i="49"/>
  <c r="K180" i="49"/>
  <c r="J237" i="49"/>
  <c r="K236" i="49"/>
  <c r="J150" i="49"/>
  <c r="K149" i="49"/>
  <c r="K62" i="49" s="1"/>
  <c r="K294" i="49"/>
  <c r="J295" i="49"/>
  <c r="J62" i="49"/>
  <c r="K122" i="49"/>
  <c r="J123" i="49"/>
  <c r="K353" i="49"/>
  <c r="J354" i="49"/>
  <c r="J95" i="49"/>
  <c r="J63" i="49"/>
  <c r="K94" i="49"/>
  <c r="K78" i="48" l="1"/>
  <c r="K20" i="48"/>
  <c r="K52" i="48"/>
  <c r="J296" i="49"/>
  <c r="K295" i="49"/>
  <c r="K323" i="49"/>
  <c r="J324" i="49"/>
  <c r="K95" i="49"/>
  <c r="J96" i="49"/>
  <c r="J355" i="49"/>
  <c r="K354" i="49"/>
  <c r="J151" i="49"/>
  <c r="J64" i="49" s="1"/>
  <c r="K150" i="49"/>
  <c r="K63" i="49" s="1"/>
  <c r="J268" i="49"/>
  <c r="K267" i="49"/>
  <c r="J124" i="49"/>
  <c r="K123" i="49"/>
  <c r="K237" i="49"/>
  <c r="J238" i="49"/>
  <c r="J210" i="49"/>
  <c r="K209" i="49"/>
  <c r="J182" i="49"/>
  <c r="K181" i="49"/>
  <c r="K53" i="48" l="1"/>
  <c r="K79" i="48"/>
  <c r="K21" i="48"/>
  <c r="K182" i="49"/>
  <c r="J183" i="49"/>
  <c r="J325" i="49"/>
  <c r="K324" i="49"/>
  <c r="J125" i="49"/>
  <c r="K124" i="49"/>
  <c r="J356" i="49"/>
  <c r="K355" i="49"/>
  <c r="J297" i="49"/>
  <c r="K296" i="49"/>
  <c r="K210" i="49"/>
  <c r="J211" i="49"/>
  <c r="K268" i="49"/>
  <c r="J269" i="49"/>
  <c r="K238" i="49"/>
  <c r="J239" i="49"/>
  <c r="K96" i="49"/>
  <c r="J97" i="49"/>
  <c r="K151" i="49"/>
  <c r="J152" i="49"/>
  <c r="K64" i="49"/>
  <c r="K80" i="48" l="1"/>
  <c r="K22" i="48"/>
  <c r="K54" i="48"/>
  <c r="K97" i="49"/>
  <c r="J98" i="49"/>
  <c r="J66" i="49"/>
  <c r="J326" i="49"/>
  <c r="K325" i="49"/>
  <c r="K297" i="49"/>
  <c r="J298" i="49"/>
  <c r="K183" i="49"/>
  <c r="J184" i="49"/>
  <c r="J240" i="49"/>
  <c r="K239" i="49"/>
  <c r="K356" i="49"/>
  <c r="J357" i="49"/>
  <c r="K152" i="49"/>
  <c r="K65" i="49" s="1"/>
  <c r="J153" i="49"/>
  <c r="K269" i="49"/>
  <c r="J270" i="49"/>
  <c r="J126" i="49"/>
  <c r="K125" i="49"/>
  <c r="J65" i="49"/>
  <c r="K211" i="49"/>
  <c r="J212" i="49"/>
  <c r="K81" i="48" l="1"/>
  <c r="K23" i="48"/>
  <c r="K55" i="48"/>
  <c r="K126" i="49"/>
  <c r="J127" i="49"/>
  <c r="K326" i="49"/>
  <c r="J327" i="49"/>
  <c r="J271" i="49"/>
  <c r="K270" i="49"/>
  <c r="J241" i="49"/>
  <c r="K240" i="49"/>
  <c r="J99" i="49"/>
  <c r="K98" i="49"/>
  <c r="K212" i="49"/>
  <c r="J213" i="49"/>
  <c r="J154" i="49"/>
  <c r="K153" i="49"/>
  <c r="K66" i="49" s="1"/>
  <c r="K184" i="49"/>
  <c r="J185" i="49"/>
  <c r="K357" i="49"/>
  <c r="J358" i="49"/>
  <c r="K298" i="49"/>
  <c r="J299" i="49"/>
  <c r="K82" i="48" l="1"/>
  <c r="K24" i="48"/>
  <c r="K56" i="48"/>
  <c r="J359" i="49"/>
  <c r="K358" i="49"/>
  <c r="J100" i="49"/>
  <c r="K99" i="49"/>
  <c r="J155" i="49"/>
  <c r="K154" i="49"/>
  <c r="K67" i="49" s="1"/>
  <c r="J272" i="49"/>
  <c r="K271" i="49"/>
  <c r="J186" i="49"/>
  <c r="K185" i="49"/>
  <c r="J67" i="49"/>
  <c r="K127" i="49"/>
  <c r="J128" i="49"/>
  <c r="J214" i="49"/>
  <c r="K213" i="49"/>
  <c r="K327" i="49"/>
  <c r="J328" i="49"/>
  <c r="J300" i="49"/>
  <c r="K299" i="49"/>
  <c r="K241" i="49"/>
  <c r="J242" i="49"/>
  <c r="K83" i="48" l="1"/>
  <c r="K25" i="48"/>
  <c r="K57" i="48"/>
  <c r="J156" i="49"/>
  <c r="K155" i="49"/>
  <c r="K68" i="49" s="1"/>
  <c r="J129" i="49"/>
  <c r="K128" i="49"/>
  <c r="J329" i="49"/>
  <c r="K328" i="49"/>
  <c r="J301" i="49"/>
  <c r="K300" i="49"/>
  <c r="K100" i="49"/>
  <c r="J69" i="49"/>
  <c r="J101" i="49"/>
  <c r="K242" i="49"/>
  <c r="J243" i="49"/>
  <c r="J215" i="49"/>
  <c r="K214" i="49"/>
  <c r="J68" i="49"/>
  <c r="J187" i="49"/>
  <c r="K186" i="49"/>
  <c r="K272" i="49"/>
  <c r="J273" i="49"/>
  <c r="J360" i="49"/>
  <c r="K359" i="49"/>
  <c r="K84" i="48" l="1"/>
  <c r="K26" i="48"/>
  <c r="K58" i="48"/>
  <c r="K301" i="49"/>
  <c r="J302" i="49"/>
  <c r="J330" i="49"/>
  <c r="K329" i="49"/>
  <c r="K215" i="49"/>
  <c r="J216" i="49"/>
  <c r="J244" i="49"/>
  <c r="K243" i="49"/>
  <c r="J102" i="49"/>
  <c r="K101" i="49"/>
  <c r="K360" i="49"/>
  <c r="J361" i="49"/>
  <c r="K273" i="49"/>
  <c r="J274" i="49"/>
  <c r="J188" i="49"/>
  <c r="K187" i="49"/>
  <c r="K129" i="49"/>
  <c r="J130" i="49"/>
  <c r="K156" i="49"/>
  <c r="K69" i="49" s="1"/>
  <c r="J157" i="49"/>
  <c r="K59" i="48" l="1"/>
  <c r="K85" i="48"/>
  <c r="K27" i="48"/>
  <c r="J245" i="49"/>
  <c r="K244" i="49"/>
  <c r="J158" i="49"/>
  <c r="K157" i="49"/>
  <c r="K70" i="49" s="1"/>
  <c r="J217" i="49"/>
  <c r="K216" i="49"/>
  <c r="K130" i="49"/>
  <c r="J131" i="49"/>
  <c r="J70" i="49"/>
  <c r="K302" i="49"/>
  <c r="J303" i="49"/>
  <c r="J275" i="49"/>
  <c r="K274" i="49"/>
  <c r="K361" i="49"/>
  <c r="J362" i="49"/>
  <c r="K330" i="49"/>
  <c r="J331" i="49"/>
  <c r="J189" i="49"/>
  <c r="K188" i="49"/>
  <c r="J103" i="49"/>
  <c r="J71" i="49"/>
  <c r="K102" i="49"/>
  <c r="K60" i="48" l="1"/>
  <c r="K86" i="48"/>
  <c r="K28" i="48"/>
  <c r="J363" i="49"/>
  <c r="K362" i="49"/>
  <c r="J218" i="49"/>
  <c r="K217" i="49"/>
  <c r="K103" i="49"/>
  <c r="J104" i="49"/>
  <c r="J304" i="49"/>
  <c r="K303" i="49"/>
  <c r="K189" i="49"/>
  <c r="J190" i="49"/>
  <c r="K331" i="49"/>
  <c r="J332" i="49"/>
  <c r="K131" i="49"/>
  <c r="J132" i="49"/>
  <c r="J276" i="49"/>
  <c r="K275" i="49"/>
  <c r="J159" i="49"/>
  <c r="J72" i="49" s="1"/>
  <c r="K158" i="49"/>
  <c r="K71" i="49" s="1"/>
  <c r="K245" i="49"/>
  <c r="J246" i="49"/>
  <c r="K61" i="48" l="1"/>
  <c r="K87" i="48"/>
  <c r="K29" i="48"/>
  <c r="K104" i="49"/>
  <c r="J105" i="49"/>
  <c r="K190" i="49"/>
  <c r="J191" i="49"/>
  <c r="K159" i="49"/>
  <c r="K72" i="49" s="1"/>
  <c r="J160" i="49"/>
  <c r="K132" i="49"/>
  <c r="J133" i="49"/>
  <c r="K246" i="49"/>
  <c r="J247" i="49"/>
  <c r="J333" i="49"/>
  <c r="K332" i="49"/>
  <c r="K218" i="49"/>
  <c r="J219" i="49"/>
  <c r="K276" i="49"/>
  <c r="J277" i="49"/>
  <c r="J305" i="49"/>
  <c r="K304" i="49"/>
  <c r="J364" i="49"/>
  <c r="K364" i="49" s="1"/>
  <c r="K365" i="49" s="1"/>
  <c r="K363" i="49"/>
  <c r="K88" i="48" l="1"/>
  <c r="K30" i="48"/>
  <c r="K62" i="48"/>
  <c r="J161" i="49"/>
  <c r="K160" i="49"/>
  <c r="J248" i="49"/>
  <c r="K248" i="49" s="1"/>
  <c r="K247" i="49"/>
  <c r="K305" i="49"/>
  <c r="J306" i="49"/>
  <c r="K306" i="49" s="1"/>
  <c r="K307" i="49" s="1"/>
  <c r="K277" i="49"/>
  <c r="J278" i="49"/>
  <c r="K278" i="49" s="1"/>
  <c r="K279" i="49" s="1"/>
  <c r="J134" i="49"/>
  <c r="K134" i="49" s="1"/>
  <c r="K135" i="49" s="1"/>
  <c r="K133" i="49"/>
  <c r="K105" i="49"/>
  <c r="J106" i="49"/>
  <c r="J74" i="49"/>
  <c r="K219" i="49"/>
  <c r="J220" i="49"/>
  <c r="K220" i="49" s="1"/>
  <c r="J192" i="49"/>
  <c r="K192" i="49" s="1"/>
  <c r="K193" i="49" s="1"/>
  <c r="K191" i="49"/>
  <c r="J334" i="49"/>
  <c r="K334" i="49" s="1"/>
  <c r="K333" i="49"/>
  <c r="J73" i="49"/>
  <c r="K73" i="49"/>
  <c r="K221" i="49" l="1"/>
  <c r="K89" i="48"/>
  <c r="K31" i="48"/>
  <c r="K249" i="49"/>
  <c r="K335" i="49"/>
  <c r="K106" i="49"/>
  <c r="K161" i="49"/>
  <c r="K74" i="49" s="1"/>
  <c r="J162" i="49"/>
  <c r="K162" i="49" s="1"/>
  <c r="K163" i="49" s="1"/>
  <c r="K90" i="48" l="1"/>
  <c r="K32" i="48"/>
  <c r="J75" i="49"/>
  <c r="K75" i="49"/>
  <c r="K76" i="49" s="1"/>
  <c r="K107" i="49"/>
  <c r="C42" i="57" l="1"/>
  <c r="D82" i="7"/>
  <c r="K33" i="48"/>
  <c r="I124" i="1" l="1"/>
  <c r="G328" i="15" l="1"/>
  <c r="G329" i="15" s="1"/>
  <c r="G320" i="15"/>
  <c r="G321" i="15" s="1"/>
  <c r="D298" i="15"/>
  <c r="I283" i="15"/>
  <c r="A283" i="15"/>
  <c r="I281" i="15"/>
  <c r="H281" i="15"/>
  <c r="G281" i="15"/>
  <c r="F281" i="15"/>
  <c r="E277" i="15"/>
  <c r="E276" i="15"/>
  <c r="E275" i="15"/>
  <c r="E274" i="15"/>
  <c r="E273" i="15"/>
  <c r="E272" i="15"/>
  <c r="E271" i="15"/>
  <c r="E270" i="15"/>
  <c r="E269" i="15"/>
  <c r="E268" i="15"/>
  <c r="E267" i="15"/>
  <c r="E266" i="15"/>
  <c r="A266" i="15"/>
  <c r="A267" i="15" s="1"/>
  <c r="A268" i="15" s="1"/>
  <c r="A269" i="15" s="1"/>
  <c r="A270" i="15" s="1"/>
  <c r="A271" i="15" s="1"/>
  <c r="A272" i="15" s="1"/>
  <c r="A273" i="15" s="1"/>
  <c r="A274" i="15" s="1"/>
  <c r="A275" i="15" s="1"/>
  <c r="A276" i="15" s="1"/>
  <c r="A277" i="15" s="1"/>
  <c r="A278" i="15" s="1"/>
  <c r="D265" i="15"/>
  <c r="I261" i="15"/>
  <c r="E258" i="15"/>
  <c r="E257" i="15"/>
  <c r="E255" i="15"/>
  <c r="E254" i="15"/>
  <c r="E253" i="15"/>
  <c r="E252" i="15"/>
  <c r="E251" i="15"/>
  <c r="E250" i="15"/>
  <c r="E249" i="15"/>
  <c r="E248" i="15"/>
  <c r="E247" i="15"/>
  <c r="E246" i="15"/>
  <c r="E244" i="15"/>
  <c r="E243" i="15"/>
  <c r="E242" i="15"/>
  <c r="E241" i="15"/>
  <c r="E240" i="15"/>
  <c r="E239" i="15"/>
  <c r="E238" i="15"/>
  <c r="E237" i="15"/>
  <c r="E236" i="15"/>
  <c r="E235" i="15"/>
  <c r="E234" i="15"/>
  <c r="E233" i="15"/>
  <c r="E232" i="15"/>
  <c r="E231" i="15"/>
  <c r="E230" i="15"/>
  <c r="E223" i="15"/>
  <c r="E222" i="15"/>
  <c r="E221" i="15"/>
  <c r="E220" i="15"/>
  <c r="E219" i="15"/>
  <c r="E218" i="15"/>
  <c r="E216" i="15"/>
  <c r="E215" i="15"/>
  <c r="D214" i="15"/>
  <c r="E214" i="15" s="1"/>
  <c r="E213" i="15"/>
  <c r="E212" i="15"/>
  <c r="E211" i="15"/>
  <c r="E210" i="15"/>
  <c r="E209" i="15"/>
  <c r="E208" i="15"/>
  <c r="E207" i="15"/>
  <c r="E206" i="15"/>
  <c r="E205" i="15"/>
  <c r="E204" i="15"/>
  <c r="E203" i="15"/>
  <c r="E202" i="15"/>
  <c r="E201" i="15"/>
  <c r="E200" i="15"/>
  <c r="E199" i="15"/>
  <c r="E198" i="15"/>
  <c r="E197" i="15"/>
  <c r="E196" i="15"/>
  <c r="E195" i="15"/>
  <c r="E194" i="15"/>
  <c r="E193" i="15"/>
  <c r="G192" i="15"/>
  <c r="E191" i="15"/>
  <c r="E189" i="15"/>
  <c r="E188" i="15"/>
  <c r="D187" i="15"/>
  <c r="E187" i="15" s="1"/>
  <c r="E186" i="15"/>
  <c r="E185" i="15"/>
  <c r="A185" i="15"/>
  <c r="A186" i="15" s="1"/>
  <c r="A187" i="15" s="1"/>
  <c r="A188" i="15" s="1"/>
  <c r="A189" i="15" s="1"/>
  <c r="A190" i="15" s="1"/>
  <c r="A191" i="15" s="1"/>
  <c r="A192" i="15" s="1"/>
  <c r="A193" i="15" s="1"/>
  <c r="A194" i="15" s="1"/>
  <c r="A195" i="15" s="1"/>
  <c r="A196" i="15" s="1"/>
  <c r="A197" i="15" s="1"/>
  <c r="A198" i="15" s="1"/>
  <c r="A199" i="15" s="1"/>
  <c r="A200" i="15" s="1"/>
  <c r="A201" i="15" s="1"/>
  <c r="A202" i="15" s="1"/>
  <c r="A203" i="15" s="1"/>
  <c r="A204" i="15" s="1"/>
  <c r="A205" i="15" s="1"/>
  <c r="A206" i="15" s="1"/>
  <c r="A207" i="15" s="1"/>
  <c r="A208" i="15" s="1"/>
  <c r="A209" i="15" s="1"/>
  <c r="A210" i="15" s="1"/>
  <c r="A211" i="15" s="1"/>
  <c r="A212" i="15" s="1"/>
  <c r="A213" i="15" s="1"/>
  <c r="A214" i="15" s="1"/>
  <c r="A215" i="15" s="1"/>
  <c r="A216" i="15" s="1"/>
  <c r="A217" i="15" s="1"/>
  <c r="A218" i="15" s="1"/>
  <c r="A219" i="15" s="1"/>
  <c r="A220" i="15" s="1"/>
  <c r="A221" i="15" s="1"/>
  <c r="A222" i="15" s="1"/>
  <c r="A223" i="15" s="1"/>
  <c r="A230" i="15" s="1"/>
  <c r="A231" i="15" s="1"/>
  <c r="A232" i="15" s="1"/>
  <c r="A233" i="15" s="1"/>
  <c r="A234" i="15" s="1"/>
  <c r="A235" i="15" s="1"/>
  <c r="A236" i="15" s="1"/>
  <c r="A237" i="15" s="1"/>
  <c r="A238" i="15" s="1"/>
  <c r="A239" i="15" s="1"/>
  <c r="A240" i="15" s="1"/>
  <c r="A241" i="15" s="1"/>
  <c r="A242" i="15" s="1"/>
  <c r="A243" i="15" s="1"/>
  <c r="A244" i="15" s="1"/>
  <c r="A245" i="15" s="1"/>
  <c r="A246" i="15" s="1"/>
  <c r="A247" i="15" s="1"/>
  <c r="A248" i="15" s="1"/>
  <c r="A249" i="15" s="1"/>
  <c r="A250" i="15" s="1"/>
  <c r="A251" i="15" s="1"/>
  <c r="A252" i="15" s="1"/>
  <c r="A253" i="15" s="1"/>
  <c r="A254" i="15" s="1"/>
  <c r="A255" i="15" s="1"/>
  <c r="A256" i="15" s="1"/>
  <c r="A257" i="15" s="1"/>
  <c r="A258" i="15" s="1"/>
  <c r="A259" i="15" s="1"/>
  <c r="E176" i="15"/>
  <c r="A172" i="15"/>
  <c r="A173" i="15" s="1"/>
  <c r="I171" i="15"/>
  <c r="H171" i="15"/>
  <c r="D171" i="15"/>
  <c r="G167" i="15"/>
  <c r="E166" i="15"/>
  <c r="E165" i="15"/>
  <c r="F164" i="15"/>
  <c r="E163" i="15"/>
  <c r="C163" i="15"/>
  <c r="B163" i="15"/>
  <c r="E162" i="15"/>
  <c r="E161" i="15"/>
  <c r="E160" i="15"/>
  <c r="F159" i="15"/>
  <c r="E158" i="15"/>
  <c r="G157" i="15"/>
  <c r="E156" i="15"/>
  <c r="E155" i="15"/>
  <c r="E154" i="15"/>
  <c r="E153" i="15"/>
  <c r="E152" i="15"/>
  <c r="F151" i="15"/>
  <c r="E150" i="15"/>
  <c r="E149" i="15"/>
  <c r="A149" i="15"/>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E148" i="15"/>
  <c r="I137" i="15"/>
  <c r="A137" i="15"/>
  <c r="E142" i="15" s="1"/>
  <c r="I135" i="15"/>
  <c r="H135" i="15"/>
  <c r="G135" i="15"/>
  <c r="F135" i="15"/>
  <c r="D135" i="15"/>
  <c r="E131" i="15"/>
  <c r="E130" i="15"/>
  <c r="E129" i="15"/>
  <c r="E128" i="15"/>
  <c r="E127" i="15"/>
  <c r="E126" i="15"/>
  <c r="E125" i="15"/>
  <c r="E124" i="15"/>
  <c r="E123" i="15"/>
  <c r="E122" i="15"/>
  <c r="E121" i="15"/>
  <c r="E120" i="15"/>
  <c r="E119" i="15"/>
  <c r="A119" i="15"/>
  <c r="A120" i="15" s="1"/>
  <c r="A121" i="15" s="1"/>
  <c r="A122" i="15" s="1"/>
  <c r="A123" i="15" s="1"/>
  <c r="A124" i="15" s="1"/>
  <c r="A125" i="15" s="1"/>
  <c r="A126" i="15" s="1"/>
  <c r="A127" i="15" s="1"/>
  <c r="A128" i="15" s="1"/>
  <c r="A129" i="15" s="1"/>
  <c r="A130" i="15" s="1"/>
  <c r="A131" i="15" s="1"/>
  <c r="A132" i="15" s="1"/>
  <c r="E118" i="15"/>
  <c r="D114" i="15"/>
  <c r="E111" i="15"/>
  <c r="E110" i="15"/>
  <c r="E109" i="15"/>
  <c r="E108" i="15"/>
  <c r="E107" i="15"/>
  <c r="E106" i="15"/>
  <c r="E105" i="15"/>
  <c r="E104" i="15"/>
  <c r="E103" i="15"/>
  <c r="E102" i="15"/>
  <c r="E101" i="15"/>
  <c r="E100" i="15"/>
  <c r="E99" i="15"/>
  <c r="E98" i="15"/>
  <c r="E97" i="15"/>
  <c r="E96" i="15"/>
  <c r="E95" i="15"/>
  <c r="E93" i="15"/>
  <c r="E91" i="15"/>
  <c r="E90" i="15"/>
  <c r="E89" i="15"/>
  <c r="E88" i="15"/>
  <c r="E87" i="15"/>
  <c r="E86" i="15"/>
  <c r="E85" i="15"/>
  <c r="E84" i="15"/>
  <c r="E83" i="15"/>
  <c r="E82" i="15"/>
  <c r="E81" i="15"/>
  <c r="E80" i="15"/>
  <c r="E79" i="15"/>
  <c r="E72" i="15"/>
  <c r="E71" i="15"/>
  <c r="E70" i="15"/>
  <c r="G68" i="15"/>
  <c r="E67" i="15"/>
  <c r="E66" i="15"/>
  <c r="H66" i="15" s="1"/>
  <c r="E64" i="15"/>
  <c r="E63" i="15"/>
  <c r="E62" i="15"/>
  <c r="E60" i="15"/>
  <c r="E59" i="15"/>
  <c r="E58" i="15"/>
  <c r="E57" i="15"/>
  <c r="E54" i="15"/>
  <c r="E53" i="15"/>
  <c r="E52" i="15"/>
  <c r="E51" i="15"/>
  <c r="E49" i="15"/>
  <c r="H48" i="15"/>
  <c r="E47" i="15"/>
  <c r="E46" i="15"/>
  <c r="E45" i="15"/>
  <c r="E44" i="15"/>
  <c r="E43" i="15"/>
  <c r="F41" i="15"/>
  <c r="F114" i="15" s="1"/>
  <c r="E40" i="15"/>
  <c r="E39" i="15"/>
  <c r="E37" i="15"/>
  <c r="E36" i="15"/>
  <c r="E35" i="15"/>
  <c r="E34" i="15"/>
  <c r="E32" i="15"/>
  <c r="A31" i="15"/>
  <c r="A11" i="15"/>
  <c r="A12" i="15" s="1"/>
  <c r="A13" i="15" s="1"/>
  <c r="F171" i="15" l="1"/>
  <c r="F173" i="15" s="1"/>
  <c r="I173" i="15"/>
  <c r="E14" i="15"/>
  <c r="A14" i="15"/>
  <c r="E19" i="15" s="1"/>
  <c r="E171" i="15"/>
  <c r="A284" i="15"/>
  <c r="A285" i="15" s="1"/>
  <c r="E12" i="15" s="1"/>
  <c r="D137" i="15"/>
  <c r="G171" i="15"/>
  <c r="E56" i="15"/>
  <c r="H56" i="15" s="1"/>
  <c r="E55" i="15"/>
  <c r="E38" i="15"/>
  <c r="H38" i="15" s="1"/>
  <c r="A15" i="15"/>
  <c r="A16" i="15" s="1"/>
  <c r="A17" i="15" s="1"/>
  <c r="A18" i="15" s="1"/>
  <c r="A19" i="15" s="1"/>
  <c r="A20" i="15" s="1"/>
  <c r="A21" i="15" s="1"/>
  <c r="A22" i="15" s="1"/>
  <c r="A23" i="15" s="1"/>
  <c r="A24" i="15" s="1"/>
  <c r="E135" i="15"/>
  <c r="F137" i="15"/>
  <c r="F139" i="15" s="1"/>
  <c r="A32" i="15"/>
  <c r="A33" i="15" s="1"/>
  <c r="A34" i="15" s="1"/>
  <c r="A35" i="15" s="1"/>
  <c r="A36" i="15" s="1"/>
  <c r="A37" i="15" s="1"/>
  <c r="A38" i="15" s="1"/>
  <c r="A39"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I114" i="15"/>
  <c r="D281" i="15"/>
  <c r="E265" i="15"/>
  <c r="E281" i="15" s="1"/>
  <c r="E65" i="15"/>
  <c r="H65" i="15" s="1"/>
  <c r="E61" i="15"/>
  <c r="H61" i="15" s="1"/>
  <c r="E190" i="15"/>
  <c r="H190" i="15" s="1"/>
  <c r="H261" i="15" s="1"/>
  <c r="H283" i="15" s="1"/>
  <c r="E94" i="15"/>
  <c r="H94" i="15" s="1"/>
  <c r="H55" i="15"/>
  <c r="A176" i="15"/>
  <c r="E11" i="15"/>
  <c r="E92" i="15"/>
  <c r="G92" i="15" s="1"/>
  <c r="E42" i="15"/>
  <c r="G42" i="15" s="1"/>
  <c r="E217" i="15"/>
  <c r="G217" i="15" s="1"/>
  <c r="E256" i="15"/>
  <c r="G256" i="15" s="1"/>
  <c r="E184" i="15"/>
  <c r="E50" i="15"/>
  <c r="G50" i="15" s="1"/>
  <c r="E31" i="15"/>
  <c r="E69" i="15"/>
  <c r="G69" i="15" s="1"/>
  <c r="E33" i="15"/>
  <c r="G33" i="15" s="1"/>
  <c r="D261" i="15"/>
  <c r="A138" i="15"/>
  <c r="A139" i="15" s="1"/>
  <c r="E288" i="15"/>
  <c r="E24" i="15" l="1"/>
  <c r="A288" i="15"/>
  <c r="A296" i="15" s="1"/>
  <c r="G261" i="15"/>
  <c r="G283" i="15" s="1"/>
  <c r="I285" i="15"/>
  <c r="E114" i="15"/>
  <c r="E137" i="15" s="1"/>
  <c r="G31" i="15"/>
  <c r="G114" i="15" s="1"/>
  <c r="G137" i="15" s="1"/>
  <c r="H114" i="15"/>
  <c r="H137" i="15" s="1"/>
  <c r="A142" i="15"/>
  <c r="E10" i="15"/>
  <c r="D283" i="15"/>
  <c r="I139" i="15"/>
  <c r="F184" i="15"/>
  <c r="F261" i="15" s="1"/>
  <c r="F283" i="15" s="1"/>
  <c r="F285" i="15" s="1"/>
  <c r="E261" i="15"/>
  <c r="E283" i="15" s="1"/>
  <c r="A297" i="15"/>
  <c r="A298" i="15" s="1"/>
  <c r="A299" i="15" l="1"/>
  <c r="A300" i="15" s="1"/>
  <c r="E13" i="15" s="1"/>
  <c r="I300" i="15"/>
  <c r="I298" i="15"/>
  <c r="A62" i="2" l="1"/>
  <c r="E42" i="30" l="1"/>
  <c r="E22" i="30" s="1"/>
  <c r="E41" i="30"/>
  <c r="D22" i="30" s="1"/>
  <c r="F119" i="46" l="1"/>
  <c r="F118" i="46"/>
  <c r="F116" i="46"/>
  <c r="F117" i="46"/>
  <c r="H42" i="8" l="1"/>
  <c r="H33" i="8"/>
  <c r="F102" i="8"/>
  <c r="F97" i="8"/>
  <c r="F83" i="8"/>
  <c r="E83" i="8"/>
  <c r="E86" i="8" s="1"/>
  <c r="F95" i="8"/>
  <c r="F94" i="8"/>
  <c r="E72" i="7"/>
  <c r="G79" i="46"/>
  <c r="G78" i="46"/>
  <c r="J10" i="28" l="1"/>
  <c r="C12" i="72"/>
  <c r="L10" i="28" s="1"/>
  <c r="F23" i="22" l="1"/>
  <c r="G23" i="22"/>
  <c r="A11" i="22"/>
  <c r="A12" i="22" s="1"/>
  <c r="A13" i="22" s="1"/>
  <c r="A14" i="22" s="1"/>
  <c r="A15" i="22" s="1"/>
  <c r="A16" i="22" s="1"/>
  <c r="A17" i="22" s="1"/>
  <c r="A18" i="22" s="1"/>
  <c r="A19" i="22" s="1"/>
  <c r="A20" i="22" s="1"/>
  <c r="A10" i="22"/>
  <c r="A21" i="22" l="1"/>
  <c r="A67" i="44" l="1"/>
  <c r="A68" i="44" s="1"/>
  <c r="A69" i="44" s="1"/>
  <c r="A70" i="44" s="1"/>
  <c r="A30" i="44"/>
  <c r="A18" i="44"/>
  <c r="G81" i="44" l="1"/>
  <c r="A77" i="44"/>
  <c r="I108" i="1"/>
  <c r="A108" i="1" l="1"/>
  <c r="K108" i="1" l="1"/>
  <c r="E73" i="7" l="1"/>
  <c r="H183" i="61" l="1"/>
  <c r="N183" i="61" l="1"/>
  <c r="M183" i="61"/>
  <c r="I183" i="61"/>
  <c r="G183" i="61"/>
  <c r="F183" i="61"/>
  <c r="A63" i="2" l="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D125" i="2" l="1"/>
  <c r="D126" i="2" s="1"/>
  <c r="F163" i="46" s="1"/>
  <c r="D119" i="2"/>
  <c r="D120" i="2" s="1"/>
  <c r="F162" i="46" s="1"/>
  <c r="D113" i="2"/>
  <c r="D114" i="2" s="1"/>
  <c r="F161" i="46" s="1"/>
  <c r="D107" i="2"/>
  <c r="D108" i="2" s="1"/>
  <c r="F145" i="46" s="1"/>
  <c r="D101" i="2"/>
  <c r="D102" i="2" s="1"/>
  <c r="F141" i="46" s="1"/>
  <c r="D95" i="2"/>
  <c r="D96" i="2" s="1"/>
  <c r="F136" i="46" s="1"/>
  <c r="D89" i="2"/>
  <c r="D90" i="2" s="1"/>
  <c r="F134" i="46" s="1"/>
  <c r="D83" i="2"/>
  <c r="D84" i="2" s="1"/>
  <c r="F133" i="46" s="1"/>
  <c r="D77" i="2"/>
  <c r="D78" i="2" s="1"/>
  <c r="F132" i="46" s="1"/>
  <c r="D71" i="2"/>
  <c r="D72" i="2" s="1"/>
  <c r="F122" i="46" s="1"/>
  <c r="D65" i="2"/>
  <c r="D66" i="2" s="1"/>
  <c r="F121" i="46" s="1"/>
  <c r="D59" i="2"/>
  <c r="D60" i="2" s="1"/>
  <c r="D53" i="2"/>
  <c r="D54" i="2" s="1"/>
  <c r="D47" i="2"/>
  <c r="D48" i="2" s="1"/>
  <c r="F106" i="46" s="1"/>
  <c r="D41" i="2"/>
  <c r="D42" i="2" s="1"/>
  <c r="F105" i="46" s="1"/>
  <c r="D36" i="2"/>
  <c r="D35" i="2"/>
  <c r="F143" i="46" l="1"/>
  <c r="F109" i="46"/>
  <c r="F100" i="46"/>
  <c r="F101" i="46"/>
  <c r="F99" i="46"/>
  <c r="F108" i="46"/>
  <c r="F140" i="46"/>
  <c r="F139" i="46"/>
  <c r="F138" i="46"/>
  <c r="C29" i="46"/>
  <c r="L29" i="46"/>
  <c r="E115" i="46" s="1"/>
  <c r="K29" i="46"/>
  <c r="G29" i="46"/>
  <c r="J29" i="46" l="1"/>
  <c r="C115" i="46" s="1"/>
  <c r="D115" i="46"/>
  <c r="L40" i="28"/>
  <c r="L39" i="28" l="1"/>
  <c r="E45" i="21"/>
  <c r="E44" i="21"/>
  <c r="B190" i="71" l="1"/>
  <c r="B187" i="71"/>
  <c r="E21" i="2"/>
  <c r="E20" i="2"/>
  <c r="E12" i="2"/>
  <c r="E11" i="2"/>
  <c r="E41" i="71"/>
  <c r="H27" i="8"/>
  <c r="H25" i="8"/>
  <c r="H23" i="8"/>
  <c r="H9" i="8"/>
  <c r="H8" i="8"/>
  <c r="G40" i="32"/>
  <c r="G34" i="32"/>
  <c r="G28" i="32"/>
  <c r="G20" i="32"/>
  <c r="G14" i="32"/>
  <c r="G41" i="32"/>
  <c r="G35" i="32"/>
  <c r="G29" i="32"/>
  <c r="G21" i="32"/>
  <c r="G15" i="32"/>
  <c r="B37" i="31"/>
  <c r="G10" i="31"/>
  <c r="G9" i="31"/>
  <c r="B99" i="44"/>
  <c r="B194" i="71"/>
  <c r="B184" i="71"/>
  <c r="B183" i="71"/>
  <c r="F141" i="71"/>
  <c r="F140" i="71"/>
  <c r="F114" i="71"/>
  <c r="F54" i="71"/>
  <c r="F47" i="71"/>
  <c r="D87" i="46"/>
  <c r="G90" i="12"/>
  <c r="J49" i="28"/>
  <c r="J47" i="28"/>
  <c r="J46" i="28"/>
  <c r="J32" i="28"/>
  <c r="J8" i="28"/>
  <c r="G68" i="8"/>
  <c r="G70" i="8"/>
  <c r="H61" i="8"/>
  <c r="E58" i="7"/>
  <c r="E54" i="7"/>
  <c r="E51" i="7"/>
  <c r="E39" i="7"/>
  <c r="I135" i="1"/>
  <c r="I134" i="1"/>
  <c r="I133" i="1"/>
  <c r="I130" i="1"/>
  <c r="I128" i="1"/>
  <c r="I126" i="1"/>
  <c r="I100" i="1"/>
  <c r="I32" i="1"/>
  <c r="I30" i="1"/>
  <c r="I26" i="1"/>
  <c r="I22" i="1"/>
  <c r="I12" i="1"/>
  <c r="I11" i="1"/>
  <c r="D71" i="17" l="1"/>
  <c r="D7" i="17" s="1"/>
  <c r="F199" i="61" l="1"/>
  <c r="F200" i="61"/>
  <c r="F197" i="61"/>
  <c r="F203" i="61"/>
  <c r="G31" i="57" l="1"/>
  <c r="F48" i="71"/>
  <c r="F55" i="71"/>
  <c r="C36" i="71"/>
  <c r="F34" i="71"/>
  <c r="J45" i="8" l="1"/>
  <c r="E70" i="8" l="1"/>
  <c r="C108" i="26" l="1"/>
  <c r="G98" i="12"/>
  <c r="E19" i="55"/>
  <c r="E17" i="55"/>
  <c r="E18" i="55"/>
  <c r="G33" i="57"/>
  <c r="A33" i="57"/>
  <c r="A34" i="57" s="1"/>
  <c r="A35" i="57" s="1"/>
  <c r="A36" i="57" s="1"/>
  <c r="A37" i="57" s="1"/>
  <c r="A38" i="57" s="1"/>
  <c r="A39" i="57" s="1"/>
  <c r="A40" i="57" s="1"/>
  <c r="A41" i="57" s="1"/>
  <c r="A42" i="57" s="1"/>
  <c r="A43" i="57" s="1"/>
  <c r="A44" i="57" s="1"/>
  <c r="A45" i="57" s="1"/>
  <c r="A46" i="57" s="1"/>
  <c r="A47" i="57" s="1"/>
  <c r="A32" i="57"/>
  <c r="G21" i="45"/>
  <c r="I21" i="45"/>
  <c r="L23" i="4" l="1"/>
  <c r="L24" i="64" s="1"/>
  <c r="C119" i="48" s="1"/>
  <c r="E119" i="48" s="1"/>
  <c r="K23" i="4"/>
  <c r="K24" i="64" s="1"/>
  <c r="C118" i="48" s="1"/>
  <c r="E118" i="48" s="1"/>
  <c r="J23" i="4"/>
  <c r="J24" i="64" s="1"/>
  <c r="C117" i="48" s="1"/>
  <c r="E117" i="48" s="1"/>
  <c r="I23" i="4"/>
  <c r="I24" i="64" s="1"/>
  <c r="C116" i="48" s="1"/>
  <c r="E116" i="48" s="1"/>
  <c r="H23" i="4"/>
  <c r="H24" i="64" s="1"/>
  <c r="C115" i="48" s="1"/>
  <c r="E115" i="48" s="1"/>
  <c r="G23" i="4"/>
  <c r="G24" i="64" s="1"/>
  <c r="C114" i="48" s="1"/>
  <c r="E114" i="48" s="1"/>
  <c r="F23" i="4"/>
  <c r="F24" i="64" s="1"/>
  <c r="C113" i="48" s="1"/>
  <c r="E113" i="48" s="1"/>
  <c r="E23" i="4"/>
  <c r="E24" i="64" s="1"/>
  <c r="C112" i="48" s="1"/>
  <c r="E122" i="48" l="1"/>
  <c r="E112" i="48"/>
  <c r="E121" i="48" s="1"/>
  <c r="F70" i="26"/>
  <c r="H57" i="26"/>
  <c r="F64" i="26"/>
  <c r="E124" i="48" l="1"/>
  <c r="L45" i="48"/>
  <c r="L71" i="48"/>
  <c r="M71" i="48" s="1"/>
  <c r="N71" i="48" s="1"/>
  <c r="L46" i="48"/>
  <c r="L43" i="48"/>
  <c r="L44" i="48"/>
  <c r="L47" i="48"/>
  <c r="L72" i="48"/>
  <c r="L73" i="48"/>
  <c r="L74" i="48"/>
  <c r="L48" i="48"/>
  <c r="L49" i="48"/>
  <c r="L75" i="48"/>
  <c r="L50" i="48"/>
  <c r="L76" i="48"/>
  <c r="L19" i="48" s="1"/>
  <c r="L51" i="48"/>
  <c r="L77" i="48"/>
  <c r="L52" i="48"/>
  <c r="L78" i="48"/>
  <c r="L79" i="48"/>
  <c r="L22" i="48" s="1"/>
  <c r="L53" i="48"/>
  <c r="L54" i="48"/>
  <c r="L80" i="48"/>
  <c r="L81" i="48"/>
  <c r="L55" i="48"/>
  <c r="L56" i="48"/>
  <c r="L82" i="48"/>
  <c r="L83" i="48"/>
  <c r="L57" i="48"/>
  <c r="L84" i="48"/>
  <c r="L27" i="48" s="1"/>
  <c r="L58" i="48"/>
  <c r="L59" i="48"/>
  <c r="L85" i="48"/>
  <c r="L28" i="48" s="1"/>
  <c r="L60" i="48"/>
  <c r="L86" i="48"/>
  <c r="L29" i="48" s="1"/>
  <c r="L61" i="48"/>
  <c r="L87" i="48"/>
  <c r="L62" i="48"/>
  <c r="L88" i="48"/>
  <c r="L89" i="48"/>
  <c r="L32" i="48" s="1"/>
  <c r="L90" i="48"/>
  <c r="G63" i="22"/>
  <c r="G69" i="22"/>
  <c r="G46" i="22"/>
  <c r="G34" i="22"/>
  <c r="C57" i="22"/>
  <c r="L18" i="48" l="1"/>
  <c r="L31" i="48"/>
  <c r="L25" i="48"/>
  <c r="L23" i="48"/>
  <c r="L21" i="48"/>
  <c r="L33" i="48"/>
  <c r="L30" i="48"/>
  <c r="L20" i="48"/>
  <c r="L16" i="48"/>
  <c r="M43" i="48"/>
  <c r="L14" i="48"/>
  <c r="L26" i="48"/>
  <c r="L24" i="48"/>
  <c r="M72" i="48"/>
  <c r="L17" i="48"/>
  <c r="L15" i="48"/>
  <c r="F69" i="22"/>
  <c r="F46" i="22" s="1"/>
  <c r="F63" i="22"/>
  <c r="F34" i="22" s="1"/>
  <c r="F49" i="22" s="1"/>
  <c r="M73" i="48" l="1"/>
  <c r="N72" i="48"/>
  <c r="M14" i="48"/>
  <c r="M44" i="48"/>
  <c r="N43" i="48"/>
  <c r="N14" i="48" s="1"/>
  <c r="N180" i="61"/>
  <c r="J180" i="61"/>
  <c r="M180" i="61" s="1"/>
  <c r="G180" i="61"/>
  <c r="I180" i="61" s="1"/>
  <c r="E186" i="61"/>
  <c r="M45" i="48" l="1"/>
  <c r="M15" i="48"/>
  <c r="N44" i="48"/>
  <c r="N15" i="48" s="1"/>
  <c r="N73" i="48"/>
  <c r="M74" i="48"/>
  <c r="K44" i="1"/>
  <c r="K52" i="1" s="1"/>
  <c r="B112" i="12"/>
  <c r="E129" i="21"/>
  <c r="M75" i="48" l="1"/>
  <c r="N74" i="48"/>
  <c r="M46" i="48"/>
  <c r="M16" i="48"/>
  <c r="N45" i="48"/>
  <c r="N16" i="48" s="1"/>
  <c r="K133" i="1"/>
  <c r="N46" i="48" l="1"/>
  <c r="N17" i="48" s="1"/>
  <c r="M47" i="48"/>
  <c r="M17" i="48"/>
  <c r="N75" i="48"/>
  <c r="M76" i="48"/>
  <c r="C8" i="72"/>
  <c r="L8" i="28" s="1"/>
  <c r="A34" i="72"/>
  <c r="J50" i="28" s="1"/>
  <c r="A26" i="72"/>
  <c r="C32" i="72"/>
  <c r="L49" i="28" s="1"/>
  <c r="A22" i="72"/>
  <c r="A10" i="72"/>
  <c r="C34" i="72"/>
  <c r="L50" i="28" s="1"/>
  <c r="C30" i="72"/>
  <c r="L46" i="28" s="1"/>
  <c r="L48" i="28"/>
  <c r="C24" i="72"/>
  <c r="C14" i="72"/>
  <c r="L11" i="28" s="1"/>
  <c r="C10" i="72"/>
  <c r="L9" i="28" s="1"/>
  <c r="M18" i="48" l="1"/>
  <c r="N47" i="48"/>
  <c r="N18" i="48" s="1"/>
  <c r="M48" i="48"/>
  <c r="N76" i="48"/>
  <c r="M77" i="48"/>
  <c r="L16" i="28"/>
  <c r="A14" i="72"/>
  <c r="J9" i="28"/>
  <c r="L32" i="28"/>
  <c r="L47" i="28"/>
  <c r="A28" i="72"/>
  <c r="M19" i="48" l="1"/>
  <c r="M49" i="48"/>
  <c r="N48" i="48"/>
  <c r="N19" i="48" s="1"/>
  <c r="N77" i="48"/>
  <c r="M78" i="48"/>
  <c r="A16" i="72"/>
  <c r="J11" i="28"/>
  <c r="M20" i="48" l="1"/>
  <c r="N49" i="48"/>
  <c r="N20" i="48" s="1"/>
  <c r="M50" i="48"/>
  <c r="M79" i="48"/>
  <c r="N78" i="48"/>
  <c r="A18" i="72"/>
  <c r="F36" i="53"/>
  <c r="E36" i="53"/>
  <c r="M51" i="48" l="1"/>
  <c r="N50" i="48"/>
  <c r="N21" i="48" s="1"/>
  <c r="M21" i="48"/>
  <c r="N79" i="48"/>
  <c r="M80" i="48"/>
  <c r="L41" i="28"/>
  <c r="A9" i="28"/>
  <c r="N80" i="48" l="1"/>
  <c r="M81" i="48"/>
  <c r="N51" i="48"/>
  <c r="N22" i="48" s="1"/>
  <c r="M52" i="48"/>
  <c r="M22" i="48"/>
  <c r="A11" i="28"/>
  <c r="A12" i="28" s="1"/>
  <c r="A13" i="28" s="1"/>
  <c r="L51" i="28"/>
  <c r="L35" i="28"/>
  <c r="L43" i="28" s="1"/>
  <c r="M53" i="48" l="1"/>
  <c r="N52" i="48"/>
  <c r="N23" i="48" s="1"/>
  <c r="M23" i="48"/>
  <c r="M82" i="48"/>
  <c r="N81" i="48"/>
  <c r="J16" i="28"/>
  <c r="A14" i="28"/>
  <c r="E41" i="57"/>
  <c r="N82" i="48" l="1"/>
  <c r="M83" i="48"/>
  <c r="M54" i="48"/>
  <c r="M24" i="48"/>
  <c r="N53" i="48"/>
  <c r="N24" i="48" s="1"/>
  <c r="E51" i="63"/>
  <c r="E50" i="63"/>
  <c r="E49" i="63"/>
  <c r="E48" i="63"/>
  <c r="E45" i="63"/>
  <c r="E44" i="63"/>
  <c r="E43" i="63"/>
  <c r="E42" i="63"/>
  <c r="E41" i="63"/>
  <c r="E40" i="63"/>
  <c r="E39" i="63"/>
  <c r="E38" i="63"/>
  <c r="E37" i="63"/>
  <c r="E36" i="63"/>
  <c r="E35" i="63"/>
  <c r="E34" i="63"/>
  <c r="E33" i="63"/>
  <c r="E32" i="63"/>
  <c r="E31" i="63"/>
  <c r="E30" i="63"/>
  <c r="E29" i="63"/>
  <c r="M25" i="48" l="1"/>
  <c r="M55" i="48"/>
  <c r="N54" i="48"/>
  <c r="N25" i="48" s="1"/>
  <c r="M84" i="48"/>
  <c r="N83" i="48"/>
  <c r="E27" i="12"/>
  <c r="E26" i="12"/>
  <c r="E25" i="12"/>
  <c r="N84" i="48" l="1"/>
  <c r="M85" i="48"/>
  <c r="M26" i="48"/>
  <c r="N55" i="48"/>
  <c r="N26" i="48" s="1"/>
  <c r="M56" i="48"/>
  <c r="A15" i="28"/>
  <c r="N85" i="48" l="1"/>
  <c r="M86" i="48"/>
  <c r="N56" i="48"/>
  <c r="N27" i="48" s="1"/>
  <c r="M57" i="48"/>
  <c r="M27" i="48"/>
  <c r="A16" i="28"/>
  <c r="I63" i="1" s="1"/>
  <c r="M28" i="48" l="1"/>
  <c r="N57" i="48"/>
  <c r="N28" i="48" s="1"/>
  <c r="M58" i="48"/>
  <c r="M87" i="48"/>
  <c r="N86" i="48"/>
  <c r="A19" i="28"/>
  <c r="J27" i="28" s="1"/>
  <c r="N87" i="48" l="1"/>
  <c r="M88" i="48"/>
  <c r="N58" i="48"/>
  <c r="N29" i="48" s="1"/>
  <c r="M59" i="48"/>
  <c r="M29" i="48"/>
  <c r="A20" i="28"/>
  <c r="A21" i="28" s="1"/>
  <c r="A22" i="28" s="1"/>
  <c r="A23" i="28" s="1"/>
  <c r="A25" i="28" s="1"/>
  <c r="A26" i="28" s="1"/>
  <c r="A27" i="28" s="1"/>
  <c r="I64" i="1" s="1"/>
  <c r="M60" i="48" l="1"/>
  <c r="M30" i="48"/>
  <c r="N59" i="48"/>
  <c r="N30" i="48" s="1"/>
  <c r="N88" i="48"/>
  <c r="M89" i="48"/>
  <c r="A29" i="28"/>
  <c r="I65" i="1" s="1"/>
  <c r="J29" i="28"/>
  <c r="A32" i="28"/>
  <c r="A33" i="28" s="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69" i="11"/>
  <c r="G169" i="11"/>
  <c r="G84" i="11" s="1"/>
  <c r="H168" i="11"/>
  <c r="G168" i="11"/>
  <c r="G83" i="11" s="1"/>
  <c r="H167" i="11"/>
  <c r="G167" i="11"/>
  <c r="G82" i="11" s="1"/>
  <c r="H166" i="11"/>
  <c r="G166" i="11"/>
  <c r="G81" i="11" s="1"/>
  <c r="H165" i="11"/>
  <c r="G165" i="11"/>
  <c r="G80" i="11" s="1"/>
  <c r="H164" i="11"/>
  <c r="G164" i="11"/>
  <c r="G79" i="11" s="1"/>
  <c r="H163" i="11"/>
  <c r="G163" i="11"/>
  <c r="G78" i="11" s="1"/>
  <c r="H162" i="11"/>
  <c r="G162" i="11"/>
  <c r="G77" i="11" s="1"/>
  <c r="H161" i="11"/>
  <c r="G161" i="11"/>
  <c r="G76" i="11" s="1"/>
  <c r="H160" i="11"/>
  <c r="G160" i="11"/>
  <c r="G75" i="11" s="1"/>
  <c r="H159" i="11"/>
  <c r="G159" i="11"/>
  <c r="G74" i="11" s="1"/>
  <c r="H158" i="11"/>
  <c r="G158" i="11"/>
  <c r="G73" i="11" s="1"/>
  <c r="H157" i="11"/>
  <c r="G157" i="11"/>
  <c r="G72" i="11" s="1"/>
  <c r="H149" i="11"/>
  <c r="G149" i="11"/>
  <c r="H84" i="11" s="1"/>
  <c r="H148" i="11"/>
  <c r="G148" i="11"/>
  <c r="H83" i="11" s="1"/>
  <c r="H147" i="11"/>
  <c r="G147" i="11"/>
  <c r="H82" i="11" s="1"/>
  <c r="H146" i="11"/>
  <c r="G146" i="11"/>
  <c r="H81" i="11" s="1"/>
  <c r="H145" i="11"/>
  <c r="G145" i="11"/>
  <c r="H80" i="11" s="1"/>
  <c r="H144" i="11"/>
  <c r="G144" i="11"/>
  <c r="H79" i="11" s="1"/>
  <c r="H143" i="11"/>
  <c r="G143" i="11"/>
  <c r="H78" i="11" s="1"/>
  <c r="H142" i="11"/>
  <c r="G142" i="11"/>
  <c r="H77" i="11" s="1"/>
  <c r="H141" i="11"/>
  <c r="G141" i="11"/>
  <c r="H76" i="11" s="1"/>
  <c r="H140" i="11"/>
  <c r="G140" i="11"/>
  <c r="H75" i="11" s="1"/>
  <c r="H139" i="11"/>
  <c r="G139" i="11"/>
  <c r="H74" i="11" s="1"/>
  <c r="H138" i="11"/>
  <c r="G138" i="11"/>
  <c r="H73" i="11" s="1"/>
  <c r="H137" i="11"/>
  <c r="G137" i="11"/>
  <c r="H72" i="11" s="1"/>
  <c r="H129" i="11"/>
  <c r="G129" i="11"/>
  <c r="F84" i="11" s="1"/>
  <c r="H128" i="11"/>
  <c r="G128" i="11"/>
  <c r="F83" i="11" s="1"/>
  <c r="H127" i="11"/>
  <c r="G127" i="11"/>
  <c r="F82" i="11" s="1"/>
  <c r="H126" i="11"/>
  <c r="G126" i="11"/>
  <c r="F81" i="11" s="1"/>
  <c r="H125" i="11"/>
  <c r="G125" i="11"/>
  <c r="F80" i="11" s="1"/>
  <c r="H124" i="11"/>
  <c r="G124" i="11"/>
  <c r="F79" i="11" s="1"/>
  <c r="H123" i="11"/>
  <c r="G123" i="11"/>
  <c r="F78" i="11" s="1"/>
  <c r="H122" i="11"/>
  <c r="G122" i="11"/>
  <c r="F77" i="11" s="1"/>
  <c r="H121" i="11"/>
  <c r="G121" i="11"/>
  <c r="F76" i="11" s="1"/>
  <c r="H120" i="11"/>
  <c r="G120" i="11"/>
  <c r="F75" i="11" s="1"/>
  <c r="H119" i="11"/>
  <c r="G119" i="11"/>
  <c r="F74" i="11" s="1"/>
  <c r="H118" i="11"/>
  <c r="G118" i="11"/>
  <c r="F73" i="11" s="1"/>
  <c r="H117" i="11"/>
  <c r="G117" i="11"/>
  <c r="F72" i="11" s="1"/>
  <c r="F107" i="11"/>
  <c r="E106" i="11"/>
  <c r="G106" i="11" s="1"/>
  <c r="E105" i="11"/>
  <c r="G105" i="11" s="1"/>
  <c r="E104" i="11"/>
  <c r="G104" i="11" s="1"/>
  <c r="E103" i="11"/>
  <c r="G103" i="11" s="1"/>
  <c r="E102" i="11"/>
  <c r="G102" i="11" s="1"/>
  <c r="E101" i="11"/>
  <c r="G101" i="11" s="1"/>
  <c r="E100" i="11"/>
  <c r="G100" i="11" s="1"/>
  <c r="E99" i="11"/>
  <c r="G99" i="11" s="1"/>
  <c r="E98" i="11"/>
  <c r="G98" i="11" s="1"/>
  <c r="E97" i="11"/>
  <c r="G97" i="11" s="1"/>
  <c r="E96" i="11"/>
  <c r="G96" i="11" s="1"/>
  <c r="E95" i="11"/>
  <c r="G95" i="11" s="1"/>
  <c r="E94" i="11"/>
  <c r="G94" i="11" s="1"/>
  <c r="G107" i="11" s="1"/>
  <c r="N89" i="48" l="1"/>
  <c r="M90" i="48"/>
  <c r="N90" i="48" s="1"/>
  <c r="N60" i="48"/>
  <c r="N31" i="48" s="1"/>
  <c r="M61" i="48"/>
  <c r="M31" i="48"/>
  <c r="I47" i="28"/>
  <c r="A34" i="28"/>
  <c r="B57" i="28" s="1"/>
  <c r="E107" i="11"/>
  <c r="M62" i="48" l="1"/>
  <c r="M32" i="48"/>
  <c r="N61" i="48"/>
  <c r="N32" i="48" s="1"/>
  <c r="I48" i="28"/>
  <c r="A35" i="28"/>
  <c r="I68" i="1" s="1"/>
  <c r="J35" i="28"/>
  <c r="N62" i="48" l="1"/>
  <c r="N33" i="48" s="1"/>
  <c r="N34" i="48" s="1"/>
  <c r="D78" i="7" s="1"/>
  <c r="M33" i="48"/>
  <c r="A38" i="28"/>
  <c r="A39" i="28" s="1"/>
  <c r="A40" i="28" s="1"/>
  <c r="A41" i="28" s="1"/>
  <c r="I69" i="1" s="1"/>
  <c r="B170" i="21"/>
  <c r="D156" i="21"/>
  <c r="M129" i="21"/>
  <c r="L129" i="21"/>
  <c r="K129" i="21"/>
  <c r="J129" i="21"/>
  <c r="I129" i="21"/>
  <c r="H129" i="21"/>
  <c r="G129" i="21"/>
  <c r="F129" i="21"/>
  <c r="D129" i="21"/>
  <c r="M83" i="21"/>
  <c r="L83" i="21"/>
  <c r="K83" i="21"/>
  <c r="J83" i="21"/>
  <c r="I83" i="21"/>
  <c r="H83" i="21"/>
  <c r="G83" i="21"/>
  <c r="F83" i="21"/>
  <c r="E83" i="21"/>
  <c r="D83" i="21"/>
  <c r="N82" i="21"/>
  <c r="N81" i="21"/>
  <c r="N80" i="21"/>
  <c r="N79" i="21"/>
  <c r="N78" i="21"/>
  <c r="N77" i="21"/>
  <c r="N76" i="21"/>
  <c r="N75" i="21"/>
  <c r="N74" i="21"/>
  <c r="N73" i="21"/>
  <c r="N72" i="21"/>
  <c r="N71" i="21"/>
  <c r="F58" i="21"/>
  <c r="E46" i="21"/>
  <c r="F51" i="21" s="1"/>
  <c r="F35" i="21"/>
  <c r="E35" i="21"/>
  <c r="D35" i="21"/>
  <c r="A35" i="21"/>
  <c r="H19" i="8" s="1"/>
  <c r="G34" i="21"/>
  <c r="G33" i="21"/>
  <c r="D25" i="21"/>
  <c r="N24" i="21"/>
  <c r="A13" i="21"/>
  <c r="A14" i="21" s="1"/>
  <c r="A15" i="21" s="1"/>
  <c r="A16" i="21" s="1"/>
  <c r="A17" i="21" s="1"/>
  <c r="A18" i="21" s="1"/>
  <c r="A19" i="21" s="1"/>
  <c r="A20" i="21" s="1"/>
  <c r="A21" i="21" s="1"/>
  <c r="A22" i="21" s="1"/>
  <c r="A23" i="21" s="1"/>
  <c r="A24" i="21" s="1"/>
  <c r="N12" i="21"/>
  <c r="M11" i="4"/>
  <c r="A12" i="4"/>
  <c r="A13" i="4" s="1"/>
  <c r="A14" i="4" s="1"/>
  <c r="A15" i="4" s="1"/>
  <c r="A16" i="4" s="1"/>
  <c r="A17" i="4" s="1"/>
  <c r="A18" i="4" s="1"/>
  <c r="A19" i="4" s="1"/>
  <c r="A20" i="4" s="1"/>
  <c r="A21" i="4" s="1"/>
  <c r="A22" i="4" s="1"/>
  <c r="A23" i="4" s="1"/>
  <c r="E36" i="7" s="1"/>
  <c r="M23" i="4"/>
  <c r="M24" i="64" s="1"/>
  <c r="F34" i="4"/>
  <c r="F35" i="4"/>
  <c r="D37" i="7" s="1"/>
  <c r="C36" i="4"/>
  <c r="D36" i="4"/>
  <c r="E36" i="4"/>
  <c r="H52" i="4"/>
  <c r="H53" i="4"/>
  <c r="F61" i="4" s="1"/>
  <c r="M74" i="4"/>
  <c r="M75" i="4"/>
  <c r="M76" i="4"/>
  <c r="M77" i="4"/>
  <c r="M78" i="4"/>
  <c r="M79" i="4"/>
  <c r="M80" i="4"/>
  <c r="M81" i="4"/>
  <c r="M82" i="4"/>
  <c r="M83" i="4"/>
  <c r="M84" i="4"/>
  <c r="M85" i="4"/>
  <c r="C86" i="4"/>
  <c r="D86" i="4"/>
  <c r="E86" i="4"/>
  <c r="F86" i="4"/>
  <c r="G86" i="4"/>
  <c r="H86" i="4"/>
  <c r="I86" i="4"/>
  <c r="J86" i="4"/>
  <c r="K86" i="4"/>
  <c r="L86" i="4"/>
  <c r="M94" i="4"/>
  <c r="M95" i="4"/>
  <c r="M96" i="4"/>
  <c r="M97" i="4"/>
  <c r="M98" i="4"/>
  <c r="M99" i="4"/>
  <c r="M100" i="4"/>
  <c r="M101" i="4"/>
  <c r="M102" i="4"/>
  <c r="M103" i="4"/>
  <c r="M104" i="4"/>
  <c r="M105" i="4"/>
  <c r="C106" i="4"/>
  <c r="D106" i="4"/>
  <c r="D135" i="4" s="1"/>
  <c r="E106" i="4"/>
  <c r="E135" i="4" s="1"/>
  <c r="F106" i="4"/>
  <c r="F135" i="4" s="1"/>
  <c r="G106" i="4"/>
  <c r="H106" i="4"/>
  <c r="H135" i="4" s="1"/>
  <c r="I106" i="4"/>
  <c r="I135" i="4" s="1"/>
  <c r="J106" i="4"/>
  <c r="J135" i="4" s="1"/>
  <c r="K106" i="4"/>
  <c r="L106" i="4"/>
  <c r="L135" i="4" s="1"/>
  <c r="C114" i="4"/>
  <c r="D114" i="4"/>
  <c r="E114" i="4"/>
  <c r="F114" i="4"/>
  <c r="G114" i="4"/>
  <c r="H114" i="4"/>
  <c r="I114" i="4"/>
  <c r="J114" i="4"/>
  <c r="K114" i="4"/>
  <c r="L114" i="4"/>
  <c r="C115" i="4"/>
  <c r="D115" i="4"/>
  <c r="E115" i="4"/>
  <c r="F115" i="4"/>
  <c r="G115" i="4"/>
  <c r="H115" i="4"/>
  <c r="I115" i="4"/>
  <c r="J115" i="4"/>
  <c r="K115" i="4"/>
  <c r="L115" i="4"/>
  <c r="C116" i="4"/>
  <c r="D116" i="4"/>
  <c r="E116" i="4"/>
  <c r="F116" i="4"/>
  <c r="G116" i="4"/>
  <c r="H116" i="4"/>
  <c r="I116" i="4"/>
  <c r="J116" i="4"/>
  <c r="K116" i="4"/>
  <c r="L116" i="4"/>
  <c r="C117" i="4"/>
  <c r="D117" i="4"/>
  <c r="E117" i="4"/>
  <c r="F117" i="4"/>
  <c r="G117" i="4"/>
  <c r="H117" i="4"/>
  <c r="I117" i="4"/>
  <c r="J117" i="4"/>
  <c r="K117" i="4"/>
  <c r="L117" i="4"/>
  <c r="C118" i="4"/>
  <c r="D118" i="4"/>
  <c r="E118" i="4"/>
  <c r="F118" i="4"/>
  <c r="G118" i="4"/>
  <c r="H118" i="4"/>
  <c r="I118" i="4"/>
  <c r="J118" i="4"/>
  <c r="K118" i="4"/>
  <c r="L118" i="4"/>
  <c r="C119" i="4"/>
  <c r="D119" i="4"/>
  <c r="E119" i="4"/>
  <c r="F119" i="4"/>
  <c r="G119" i="4"/>
  <c r="H119" i="4"/>
  <c r="I119" i="4"/>
  <c r="J119" i="4"/>
  <c r="K119" i="4"/>
  <c r="L119" i="4"/>
  <c r="C120" i="4"/>
  <c r="D120" i="4"/>
  <c r="E120" i="4"/>
  <c r="F120" i="4"/>
  <c r="G120" i="4"/>
  <c r="H120" i="4"/>
  <c r="I120" i="4"/>
  <c r="J120" i="4"/>
  <c r="K120" i="4"/>
  <c r="L120" i="4"/>
  <c r="C121" i="4"/>
  <c r="D121" i="4"/>
  <c r="E121" i="4"/>
  <c r="F121" i="4"/>
  <c r="G121" i="4"/>
  <c r="H121" i="4"/>
  <c r="I121" i="4"/>
  <c r="J121" i="4"/>
  <c r="K121" i="4"/>
  <c r="L121" i="4"/>
  <c r="C122" i="4"/>
  <c r="D122" i="4"/>
  <c r="E122" i="4"/>
  <c r="F122" i="4"/>
  <c r="G122" i="4"/>
  <c r="H122" i="4"/>
  <c r="I122" i="4"/>
  <c r="J122" i="4"/>
  <c r="K122" i="4"/>
  <c r="L122" i="4"/>
  <c r="C123" i="4"/>
  <c r="D123" i="4"/>
  <c r="E123" i="4"/>
  <c r="F123" i="4"/>
  <c r="G123" i="4"/>
  <c r="H123" i="4"/>
  <c r="I123" i="4"/>
  <c r="J123" i="4"/>
  <c r="K123" i="4"/>
  <c r="L123" i="4"/>
  <c r="C124" i="4"/>
  <c r="D124" i="4"/>
  <c r="E124" i="4"/>
  <c r="F124" i="4"/>
  <c r="G124" i="4"/>
  <c r="H124" i="4"/>
  <c r="I124" i="4"/>
  <c r="J124" i="4"/>
  <c r="K124" i="4"/>
  <c r="L124" i="4"/>
  <c r="C125" i="4"/>
  <c r="D125" i="4"/>
  <c r="E125" i="4"/>
  <c r="F125" i="4"/>
  <c r="G125" i="4"/>
  <c r="H125" i="4"/>
  <c r="I125" i="4"/>
  <c r="J125" i="4"/>
  <c r="K125" i="4"/>
  <c r="L125" i="4"/>
  <c r="E126" i="4"/>
  <c r="I126" i="4"/>
  <c r="C131" i="4"/>
  <c r="D131" i="4"/>
  <c r="E131" i="4"/>
  <c r="F131" i="4"/>
  <c r="G131" i="4"/>
  <c r="H131" i="4"/>
  <c r="I131" i="4"/>
  <c r="J131" i="4"/>
  <c r="K131" i="4"/>
  <c r="L131" i="4"/>
  <c r="C135" i="4"/>
  <c r="G135" i="4"/>
  <c r="K135" i="4"/>
  <c r="G24" i="2"/>
  <c r="G22" i="2"/>
  <c r="J126" i="4" l="1"/>
  <c r="H126" i="4"/>
  <c r="F126" i="4"/>
  <c r="L126" i="4"/>
  <c r="L152" i="4" s="1"/>
  <c r="D126" i="4"/>
  <c r="K126" i="4"/>
  <c r="G126" i="4"/>
  <c r="C126" i="4"/>
  <c r="C150" i="4" s="1"/>
  <c r="D43" i="4"/>
  <c r="F36" i="4"/>
  <c r="M131" i="4"/>
  <c r="M12" i="64"/>
  <c r="D139" i="4"/>
  <c r="D146" i="4" s="1"/>
  <c r="D12" i="4" s="1"/>
  <c r="B176" i="4"/>
  <c r="L139" i="4"/>
  <c r="L146" i="4" s="1"/>
  <c r="L12" i="4" s="1"/>
  <c r="E38" i="7"/>
  <c r="I21" i="1"/>
  <c r="H139" i="4"/>
  <c r="H146" i="4" s="1"/>
  <c r="H12" i="4" s="1"/>
  <c r="H13" i="64" s="1"/>
  <c r="H50" i="64" s="1"/>
  <c r="M106" i="4"/>
  <c r="M135" i="4" s="1"/>
  <c r="M139" i="4" s="1"/>
  <c r="F139" i="4"/>
  <c r="F149" i="4" s="1"/>
  <c r="L149" i="4"/>
  <c r="L156" i="4"/>
  <c r="J139" i="4"/>
  <c r="J149" i="4" s="1"/>
  <c r="L155" i="4"/>
  <c r="L147" i="4"/>
  <c r="K139" i="4"/>
  <c r="I139" i="4"/>
  <c r="I149" i="4" s="1"/>
  <c r="G139" i="4"/>
  <c r="G149" i="4" s="1"/>
  <c r="E139" i="4"/>
  <c r="E149" i="4" s="1"/>
  <c r="C139" i="4"/>
  <c r="F56" i="4"/>
  <c r="G35" i="21"/>
  <c r="J19" i="8" s="1"/>
  <c r="M86" i="4"/>
  <c r="A44" i="21"/>
  <c r="A45" i="21" s="1"/>
  <c r="H46" i="21" s="1"/>
  <c r="A25" i="21"/>
  <c r="B174" i="21"/>
  <c r="K22" i="1"/>
  <c r="D39" i="7"/>
  <c r="N83" i="21"/>
  <c r="J41" i="28"/>
  <c r="J43" i="28"/>
  <c r="A43" i="28"/>
  <c r="I70" i="1" s="1"/>
  <c r="I147" i="4"/>
  <c r="G148" i="4"/>
  <c r="G152" i="4"/>
  <c r="E153" i="4"/>
  <c r="M125" i="4"/>
  <c r="M124" i="4"/>
  <c r="M123" i="4"/>
  <c r="M122" i="4"/>
  <c r="M121" i="4"/>
  <c r="M120" i="4"/>
  <c r="M119" i="4"/>
  <c r="M118" i="4"/>
  <c r="M117" i="4"/>
  <c r="M116" i="4"/>
  <c r="M115" i="4"/>
  <c r="M114" i="4"/>
  <c r="L148" i="4"/>
  <c r="A24" i="4"/>
  <c r="N129" i="21"/>
  <c r="K9" i="1"/>
  <c r="I150" i="4" l="1"/>
  <c r="F148" i="4"/>
  <c r="I151" i="4"/>
  <c r="L153" i="4"/>
  <c r="L154" i="4"/>
  <c r="I154" i="4"/>
  <c r="C151" i="4"/>
  <c r="K149" i="4"/>
  <c r="C157" i="4"/>
  <c r="J150" i="4"/>
  <c r="C149" i="4"/>
  <c r="H151" i="4"/>
  <c r="D157" i="4"/>
  <c r="D148" i="4"/>
  <c r="L150" i="4"/>
  <c r="E148" i="4"/>
  <c r="G151" i="4"/>
  <c r="L151" i="4"/>
  <c r="L158" i="4" s="1"/>
  <c r="L157" i="4"/>
  <c r="C148" i="4"/>
  <c r="C155" i="4"/>
  <c r="C147" i="4"/>
  <c r="K152" i="4"/>
  <c r="D147" i="4"/>
  <c r="D154" i="4"/>
  <c r="D150" i="4"/>
  <c r="C154" i="4"/>
  <c r="C146" i="4"/>
  <c r="C12" i="4" s="1"/>
  <c r="C13" i="64" s="1"/>
  <c r="C50" i="64" s="1"/>
  <c r="D92" i="21" s="1"/>
  <c r="C153" i="4"/>
  <c r="E156" i="4"/>
  <c r="I155" i="4"/>
  <c r="K156" i="4"/>
  <c r="D155" i="4"/>
  <c r="F150" i="4"/>
  <c r="C152" i="4"/>
  <c r="C156" i="4"/>
  <c r="K151" i="4"/>
  <c r="L13" i="4"/>
  <c r="L14" i="64" s="1"/>
  <c r="L51" i="64" s="1"/>
  <c r="M93" i="21" s="1"/>
  <c r="L13" i="64"/>
  <c r="L50" i="64" s="1"/>
  <c r="D13" i="4"/>
  <c r="D14" i="64" s="1"/>
  <c r="D51" i="64" s="1"/>
  <c r="E93" i="21" s="1"/>
  <c r="D13" i="64"/>
  <c r="D50" i="64" s="1"/>
  <c r="E146" i="4"/>
  <c r="E12" i="4" s="1"/>
  <c r="E151" i="4"/>
  <c r="H147" i="4"/>
  <c r="H13" i="4" s="1"/>
  <c r="H157" i="4"/>
  <c r="H148" i="4"/>
  <c r="E152" i="4"/>
  <c r="E157" i="4"/>
  <c r="E147" i="4"/>
  <c r="G156" i="4"/>
  <c r="D153" i="4"/>
  <c r="H155" i="4"/>
  <c r="D152" i="4"/>
  <c r="J148" i="4"/>
  <c r="H150" i="4"/>
  <c r="E150" i="4"/>
  <c r="E155" i="4"/>
  <c r="G154" i="4"/>
  <c r="G155" i="4"/>
  <c r="I146" i="4"/>
  <c r="I12" i="4" s="1"/>
  <c r="D151" i="4"/>
  <c r="H153" i="4"/>
  <c r="F147" i="4"/>
  <c r="D149" i="4"/>
  <c r="D156" i="4"/>
  <c r="I92" i="21"/>
  <c r="E154" i="4"/>
  <c r="I156" i="4"/>
  <c r="I152" i="4"/>
  <c r="I148" i="4"/>
  <c r="I157" i="4"/>
  <c r="I153" i="4"/>
  <c r="F155" i="4"/>
  <c r="J155" i="4"/>
  <c r="G147" i="4"/>
  <c r="K148" i="4"/>
  <c r="K155" i="4"/>
  <c r="F151" i="4"/>
  <c r="M151" i="4" s="1"/>
  <c r="F152" i="4"/>
  <c r="H152" i="4"/>
  <c r="G150" i="4"/>
  <c r="G146" i="4"/>
  <c r="G12" i="4" s="1"/>
  <c r="G157" i="4"/>
  <c r="G153" i="4"/>
  <c r="K154" i="4"/>
  <c r="K150" i="4"/>
  <c r="K146" i="4"/>
  <c r="K12" i="4" s="1"/>
  <c r="K157" i="4"/>
  <c r="K153" i="4"/>
  <c r="K147" i="4"/>
  <c r="F153" i="4"/>
  <c r="F157" i="4"/>
  <c r="F156" i="4"/>
  <c r="F146" i="4"/>
  <c r="F12" i="4" s="1"/>
  <c r="J152" i="4"/>
  <c r="H156" i="4"/>
  <c r="J147" i="4"/>
  <c r="J156" i="4"/>
  <c r="J146" i="4"/>
  <c r="J12" i="4" s="1"/>
  <c r="J13" i="64" s="1"/>
  <c r="J50" i="64" s="1"/>
  <c r="F154" i="4"/>
  <c r="J153" i="4"/>
  <c r="J157" i="4"/>
  <c r="J151" i="4"/>
  <c r="J154" i="4"/>
  <c r="H149" i="4"/>
  <c r="H154" i="4"/>
  <c r="A33" i="21"/>
  <c r="H18" i="8"/>
  <c r="M126" i="4"/>
  <c r="A46" i="28"/>
  <c r="A47" i="28" s="1"/>
  <c r="A48" i="28" s="1"/>
  <c r="A49" i="28" s="1"/>
  <c r="H35" i="21"/>
  <c r="B169" i="21"/>
  <c r="C13" i="4"/>
  <c r="C14" i="64" s="1"/>
  <c r="C51" i="64" s="1"/>
  <c r="A34" i="4"/>
  <c r="G58" i="21"/>
  <c r="A46" i="21"/>
  <c r="F100" i="12"/>
  <c r="B108" i="12"/>
  <c r="D14" i="4" l="1"/>
  <c r="G13" i="64"/>
  <c r="G50" i="64" s="1"/>
  <c r="G13" i="4"/>
  <c r="G14" i="4" s="1"/>
  <c r="M148" i="4"/>
  <c r="D158" i="4"/>
  <c r="M150" i="4"/>
  <c r="M146" i="4"/>
  <c r="C158" i="4"/>
  <c r="H158" i="4"/>
  <c r="M157" i="4"/>
  <c r="G158" i="4"/>
  <c r="J158" i="4"/>
  <c r="M156" i="4"/>
  <c r="F158" i="4"/>
  <c r="M152" i="4"/>
  <c r="M154" i="4"/>
  <c r="M147" i="4"/>
  <c r="M155" i="4"/>
  <c r="M153" i="4"/>
  <c r="I13" i="64"/>
  <c r="I50" i="64" s="1"/>
  <c r="I13" i="4"/>
  <c r="H14" i="64"/>
  <c r="H51" i="64" s="1"/>
  <c r="H14" i="4"/>
  <c r="H15" i="64" s="1"/>
  <c r="H52" i="64" s="1"/>
  <c r="I94" i="21" s="1"/>
  <c r="K13" i="64"/>
  <c r="K50" i="64" s="1"/>
  <c r="K13" i="4"/>
  <c r="D93" i="21"/>
  <c r="D15" i="4"/>
  <c r="D15" i="64"/>
  <c r="D52" i="64" s="1"/>
  <c r="E94" i="21" s="1"/>
  <c r="M92" i="21"/>
  <c r="E158" i="4"/>
  <c r="K158" i="4"/>
  <c r="M149" i="4"/>
  <c r="F13" i="4"/>
  <c r="F13" i="64"/>
  <c r="F50" i="64" s="1"/>
  <c r="I158" i="4"/>
  <c r="E13" i="4"/>
  <c r="E13" i="64"/>
  <c r="E50" i="64" s="1"/>
  <c r="L14" i="4"/>
  <c r="E92" i="21"/>
  <c r="K92" i="21"/>
  <c r="H92" i="21"/>
  <c r="J13" i="4"/>
  <c r="B171" i="4"/>
  <c r="A50" i="28"/>
  <c r="C14" i="4"/>
  <c r="C15" i="64" s="1"/>
  <c r="C52" i="64" s="1"/>
  <c r="M12" i="4"/>
  <c r="M13" i="64" s="1"/>
  <c r="A35" i="4"/>
  <c r="G51" i="21"/>
  <c r="A51" i="21"/>
  <c r="M50" i="64" l="1"/>
  <c r="G14" i="64"/>
  <c r="G51" i="64" s="1"/>
  <c r="H93" i="21" s="1"/>
  <c r="H15" i="4"/>
  <c r="H16" i="4" s="1"/>
  <c r="M13" i="4"/>
  <c r="M14" i="64" s="1"/>
  <c r="M158" i="4"/>
  <c r="K14" i="4"/>
  <c r="K14" i="64"/>
  <c r="K51" i="64" s="1"/>
  <c r="L93" i="21" s="1"/>
  <c r="I14" i="4"/>
  <c r="I14" i="64"/>
  <c r="I51" i="64" s="1"/>
  <c r="J93" i="21" s="1"/>
  <c r="H16" i="64"/>
  <c r="H53" i="64" s="1"/>
  <c r="I95" i="21" s="1"/>
  <c r="L15" i="4"/>
  <c r="L15" i="64"/>
  <c r="L52" i="64" s="1"/>
  <c r="G92" i="21"/>
  <c r="D16" i="4"/>
  <c r="D16" i="64"/>
  <c r="D53" i="64" s="1"/>
  <c r="E95" i="21" s="1"/>
  <c r="L92" i="21"/>
  <c r="J92" i="21"/>
  <c r="J14" i="4"/>
  <c r="J14" i="64"/>
  <c r="J51" i="64" s="1"/>
  <c r="F92" i="21"/>
  <c r="F14" i="64"/>
  <c r="F51" i="64" s="1"/>
  <c r="G93" i="21" s="1"/>
  <c r="F14" i="4"/>
  <c r="D94" i="21"/>
  <c r="G15" i="4"/>
  <c r="G15" i="64"/>
  <c r="G52" i="64" s="1"/>
  <c r="E14" i="4"/>
  <c r="E14" i="64"/>
  <c r="E51" i="64" s="1"/>
  <c r="I93" i="21"/>
  <c r="E37" i="7"/>
  <c r="B172" i="4"/>
  <c r="A51" i="28"/>
  <c r="I73" i="1" s="1"/>
  <c r="J51" i="28"/>
  <c r="C15" i="4"/>
  <c r="C16" i="64" s="1"/>
  <c r="C53" i="64" s="1"/>
  <c r="A36" i="4"/>
  <c r="E43" i="4"/>
  <c r="A52" i="21"/>
  <c r="A53" i="21" s="1"/>
  <c r="H20" i="8" s="1"/>
  <c r="F15" i="4" l="1"/>
  <c r="F15" i="64"/>
  <c r="F52" i="64" s="1"/>
  <c r="G94" i="21" s="1"/>
  <c r="H17" i="4"/>
  <c r="H17" i="64"/>
  <c r="H54" i="64" s="1"/>
  <c r="K15" i="4"/>
  <c r="K15" i="64"/>
  <c r="K52" i="64" s="1"/>
  <c r="H94" i="21"/>
  <c r="J15" i="4"/>
  <c r="J15" i="64"/>
  <c r="J52" i="64" s="1"/>
  <c r="K94" i="21" s="1"/>
  <c r="D95" i="21"/>
  <c r="F93" i="21"/>
  <c r="M51" i="64"/>
  <c r="G16" i="4"/>
  <c r="G16" i="64"/>
  <c r="G53" i="64" s="1"/>
  <c r="H95" i="21" s="1"/>
  <c r="D17" i="4"/>
  <c r="D17" i="64"/>
  <c r="D54" i="64" s="1"/>
  <c r="L16" i="64"/>
  <c r="L53" i="64" s="1"/>
  <c r="M95" i="21" s="1"/>
  <c r="L16" i="4"/>
  <c r="I15" i="4"/>
  <c r="I15" i="64"/>
  <c r="I52" i="64" s="1"/>
  <c r="M14" i="4"/>
  <c r="M15" i="64" s="1"/>
  <c r="E15" i="4"/>
  <c r="M15" i="4" s="1"/>
  <c r="M16" i="64" s="1"/>
  <c r="E15" i="64"/>
  <c r="E52" i="64" s="1"/>
  <c r="K93" i="21"/>
  <c r="M94" i="21"/>
  <c r="A58" i="21"/>
  <c r="G53" i="21"/>
  <c r="C16" i="4"/>
  <c r="C17" i="64" s="1"/>
  <c r="C54" i="64" s="1"/>
  <c r="A42" i="4"/>
  <c r="E42" i="4"/>
  <c r="A59" i="21"/>
  <c r="A60" i="21" s="1"/>
  <c r="I23" i="1" s="1"/>
  <c r="H18" i="4" l="1"/>
  <c r="H18" i="64"/>
  <c r="H55" i="64" s="1"/>
  <c r="I97" i="21" s="1"/>
  <c r="D96" i="21"/>
  <c r="J94" i="21"/>
  <c r="E96" i="21"/>
  <c r="L94" i="21"/>
  <c r="F94" i="21"/>
  <c r="M52" i="64"/>
  <c r="I16" i="4"/>
  <c r="I16" i="64"/>
  <c r="I53" i="64" s="1"/>
  <c r="J95" i="21" s="1"/>
  <c r="D18" i="4"/>
  <c r="D18" i="64"/>
  <c r="D55" i="64" s="1"/>
  <c r="E97" i="21" s="1"/>
  <c r="J16" i="4"/>
  <c r="J16" i="64"/>
  <c r="J53" i="64" s="1"/>
  <c r="K16" i="4"/>
  <c r="K16" i="64"/>
  <c r="K53" i="64" s="1"/>
  <c r="L95" i="21" s="1"/>
  <c r="E16" i="4"/>
  <c r="E16" i="64"/>
  <c r="E53" i="64" s="1"/>
  <c r="L17" i="4"/>
  <c r="L17" i="64"/>
  <c r="L54" i="64" s="1"/>
  <c r="M96" i="21" s="1"/>
  <c r="G17" i="4"/>
  <c r="G17" i="64"/>
  <c r="G54" i="64" s="1"/>
  <c r="I96" i="21"/>
  <c r="F16" i="4"/>
  <c r="F16" i="64"/>
  <c r="F53" i="64" s="1"/>
  <c r="A43" i="4"/>
  <c r="H6" i="8"/>
  <c r="G60" i="21"/>
  <c r="A71" i="21"/>
  <c r="C17" i="4"/>
  <c r="C18" i="64" s="1"/>
  <c r="C55" i="64" s="1"/>
  <c r="M16" i="4" l="1"/>
  <c r="M17" i="64" s="1"/>
  <c r="L18" i="4"/>
  <c r="L18" i="64"/>
  <c r="L55" i="64" s="1"/>
  <c r="G95" i="21"/>
  <c r="F95" i="21"/>
  <c r="M53" i="64"/>
  <c r="D19" i="4"/>
  <c r="D19" i="64"/>
  <c r="D56" i="64" s="1"/>
  <c r="E98" i="21" s="1"/>
  <c r="F17" i="4"/>
  <c r="F17" i="64"/>
  <c r="F54" i="64" s="1"/>
  <c r="G96" i="21" s="1"/>
  <c r="G18" i="4"/>
  <c r="G18" i="64"/>
  <c r="G55" i="64" s="1"/>
  <c r="H97" i="21" s="1"/>
  <c r="E17" i="4"/>
  <c r="E17" i="64"/>
  <c r="E54" i="64" s="1"/>
  <c r="J17" i="4"/>
  <c r="J17" i="64"/>
  <c r="J54" i="64" s="1"/>
  <c r="K96" i="21" s="1"/>
  <c r="H19" i="4"/>
  <c r="H19" i="64"/>
  <c r="H56" i="64" s="1"/>
  <c r="I98" i="21" s="1"/>
  <c r="D97" i="21"/>
  <c r="I17" i="4"/>
  <c r="I17" i="64"/>
  <c r="I54" i="64" s="1"/>
  <c r="J96" i="21" s="1"/>
  <c r="K17" i="4"/>
  <c r="K17" i="64"/>
  <c r="K54" i="64" s="1"/>
  <c r="H96" i="21"/>
  <c r="K95" i="21"/>
  <c r="A52" i="4"/>
  <c r="A53" i="4" s="1"/>
  <c r="A56" i="4" s="1"/>
  <c r="I9" i="1"/>
  <c r="A72" i="21"/>
  <c r="A73" i="21" s="1"/>
  <c r="A74" i="21" s="1"/>
  <c r="A75" i="21" s="1"/>
  <c r="A76" i="21" s="1"/>
  <c r="A77" i="21" s="1"/>
  <c r="A78" i="21" s="1"/>
  <c r="A79" i="21" s="1"/>
  <c r="A80" i="21" s="1"/>
  <c r="A81" i="21" s="1"/>
  <c r="A82" i="21" s="1"/>
  <c r="A83" i="21" s="1"/>
  <c r="A91" i="21" s="1"/>
  <c r="C18" i="4"/>
  <c r="C19" i="64" s="1"/>
  <c r="C56" i="64" s="1"/>
  <c r="H20" i="4" l="1"/>
  <c r="H20" i="64"/>
  <c r="H57" i="64" s="1"/>
  <c r="J18" i="4"/>
  <c r="J18" i="64"/>
  <c r="J55" i="64" s="1"/>
  <c r="K97" i="21" s="1"/>
  <c r="G19" i="4"/>
  <c r="G19" i="64"/>
  <c r="G56" i="64" s="1"/>
  <c r="D20" i="4"/>
  <c r="D20" i="64"/>
  <c r="D57" i="64" s="1"/>
  <c r="M97" i="21"/>
  <c r="D98" i="21"/>
  <c r="K18" i="4"/>
  <c r="K18" i="64"/>
  <c r="K55" i="64" s="1"/>
  <c r="L97" i="21" s="1"/>
  <c r="E18" i="4"/>
  <c r="M18" i="4" s="1"/>
  <c r="M19" i="64" s="1"/>
  <c r="E18" i="64"/>
  <c r="E55" i="64" s="1"/>
  <c r="F18" i="4"/>
  <c r="F18" i="64"/>
  <c r="F55" i="64" s="1"/>
  <c r="G97" i="21" s="1"/>
  <c r="M17" i="4"/>
  <c r="M18" i="64" s="1"/>
  <c r="G61" i="4"/>
  <c r="L96" i="21"/>
  <c r="I18" i="4"/>
  <c r="I18" i="64"/>
  <c r="I55" i="64" s="1"/>
  <c r="J97" i="21" s="1"/>
  <c r="F96" i="21"/>
  <c r="M54" i="64"/>
  <c r="L19" i="4"/>
  <c r="L19" i="64"/>
  <c r="L56" i="64" s="1"/>
  <c r="M98" i="21" s="1"/>
  <c r="G56" i="4"/>
  <c r="E24" i="2"/>
  <c r="E22" i="2"/>
  <c r="A92" i="21"/>
  <c r="A93" i="21" s="1"/>
  <c r="A94" i="21" s="1"/>
  <c r="A95" i="21" s="1"/>
  <c r="A96" i="21" s="1"/>
  <c r="A97" i="21" s="1"/>
  <c r="A98" i="21" s="1"/>
  <c r="A99" i="21" s="1"/>
  <c r="A100" i="21" s="1"/>
  <c r="A101" i="21" s="1"/>
  <c r="A102" i="21" s="1"/>
  <c r="A103" i="21" s="1"/>
  <c r="C19" i="4"/>
  <c r="C20" i="64" s="1"/>
  <c r="C57" i="64" s="1"/>
  <c r="A57" i="4"/>
  <c r="A58" i="4" s="1"/>
  <c r="I19" i="4" l="1"/>
  <c r="I19" i="64"/>
  <c r="I56" i="64" s="1"/>
  <c r="E19" i="4"/>
  <c r="E19" i="64"/>
  <c r="E56" i="64" s="1"/>
  <c r="E99" i="21"/>
  <c r="H21" i="4"/>
  <c r="H21" i="64"/>
  <c r="H58" i="64" s="1"/>
  <c r="I100" i="21" s="1"/>
  <c r="F19" i="4"/>
  <c r="F19" i="64"/>
  <c r="F56" i="64" s="1"/>
  <c r="G98" i="21" s="1"/>
  <c r="D21" i="4"/>
  <c r="D21" i="64"/>
  <c r="D58" i="64" s="1"/>
  <c r="E100" i="21" s="1"/>
  <c r="J19" i="4"/>
  <c r="J19" i="64"/>
  <c r="J56" i="64" s="1"/>
  <c r="L20" i="4"/>
  <c r="L20" i="64"/>
  <c r="L57" i="64" s="1"/>
  <c r="M99" i="21" s="1"/>
  <c r="K19" i="4"/>
  <c r="K19" i="64"/>
  <c r="K56" i="64" s="1"/>
  <c r="H98" i="21"/>
  <c r="D99" i="21"/>
  <c r="F97" i="21"/>
  <c r="M55" i="64"/>
  <c r="G20" i="4"/>
  <c r="G20" i="64"/>
  <c r="G57" i="64" s="1"/>
  <c r="H99" i="21" s="1"/>
  <c r="I99" i="21"/>
  <c r="A61" i="4"/>
  <c r="A62" i="4" s="1"/>
  <c r="A63" i="4" s="1"/>
  <c r="H7" i="8"/>
  <c r="B175" i="21"/>
  <c r="A111" i="21"/>
  <c r="B173" i="21"/>
  <c r="C20" i="4"/>
  <c r="C21" i="64" s="1"/>
  <c r="C58" i="64" s="1"/>
  <c r="G58" i="4"/>
  <c r="M19" i="4" l="1"/>
  <c r="M20" i="64" s="1"/>
  <c r="K98" i="21"/>
  <c r="D22" i="4"/>
  <c r="D23" i="64" s="1"/>
  <c r="D60" i="64" s="1"/>
  <c r="D22" i="64"/>
  <c r="D59" i="64" s="1"/>
  <c r="E101" i="21" s="1"/>
  <c r="F98" i="21"/>
  <c r="M56" i="64"/>
  <c r="I20" i="4"/>
  <c r="I20" i="64"/>
  <c r="I57" i="64" s="1"/>
  <c r="J99" i="21" s="1"/>
  <c r="L98" i="21"/>
  <c r="J20" i="4"/>
  <c r="J20" i="64"/>
  <c r="J57" i="64" s="1"/>
  <c r="K99" i="21" s="1"/>
  <c r="H22" i="4"/>
  <c r="H23" i="64" s="1"/>
  <c r="H60" i="64" s="1"/>
  <c r="H22" i="64"/>
  <c r="H59" i="64" s="1"/>
  <c r="I101" i="21" s="1"/>
  <c r="E20" i="4"/>
  <c r="E20" i="64"/>
  <c r="E57" i="64" s="1"/>
  <c r="G21" i="4"/>
  <c r="G21" i="64"/>
  <c r="G58" i="64" s="1"/>
  <c r="H100" i="21" s="1"/>
  <c r="K20" i="4"/>
  <c r="K20" i="64"/>
  <c r="K57" i="64" s="1"/>
  <c r="L99" i="21" s="1"/>
  <c r="L21" i="4"/>
  <c r="L21" i="64"/>
  <c r="L58" i="64" s="1"/>
  <c r="M100" i="21" s="1"/>
  <c r="D100" i="21"/>
  <c r="F20" i="4"/>
  <c r="F20" i="64"/>
  <c r="F57" i="64" s="1"/>
  <c r="G99" i="21" s="1"/>
  <c r="J98" i="21"/>
  <c r="A74" i="4"/>
  <c r="A75" i="4" s="1"/>
  <c r="A76" i="4" s="1"/>
  <c r="A77" i="4" s="1"/>
  <c r="A78" i="4" s="1"/>
  <c r="A79" i="4" s="1"/>
  <c r="A80" i="4" s="1"/>
  <c r="A81" i="4" s="1"/>
  <c r="A82" i="4" s="1"/>
  <c r="A83" i="4" s="1"/>
  <c r="A84" i="4" s="1"/>
  <c r="A85" i="4" s="1"/>
  <c r="A86" i="4" s="1"/>
  <c r="A94" i="4" s="1"/>
  <c r="I10" i="1"/>
  <c r="A112" i="21"/>
  <c r="A113" i="21" s="1"/>
  <c r="A114" i="21" s="1"/>
  <c r="A115" i="21" s="1"/>
  <c r="A116" i="21" s="1"/>
  <c r="A117" i="21" s="1"/>
  <c r="A118" i="21" s="1"/>
  <c r="A119" i="21" s="1"/>
  <c r="A120" i="21" s="1"/>
  <c r="A121" i="21" s="1"/>
  <c r="A122" i="21" s="1"/>
  <c r="A123" i="21" s="1"/>
  <c r="A129" i="21" s="1"/>
  <c r="C21" i="4"/>
  <c r="C22" i="64" s="1"/>
  <c r="C59" i="64" s="1"/>
  <c r="G63" i="4"/>
  <c r="D24" i="4" l="1"/>
  <c r="H24" i="4"/>
  <c r="K21" i="4"/>
  <c r="K21" i="64"/>
  <c r="K58" i="64" s="1"/>
  <c r="F99" i="21"/>
  <c r="M57" i="64"/>
  <c r="D101" i="21"/>
  <c r="F21" i="4"/>
  <c r="F21" i="64"/>
  <c r="F58" i="64" s="1"/>
  <c r="G100" i="21" s="1"/>
  <c r="E21" i="4"/>
  <c r="E21" i="64"/>
  <c r="E58" i="64" s="1"/>
  <c r="J21" i="4"/>
  <c r="J21" i="64"/>
  <c r="J58" i="64" s="1"/>
  <c r="K100" i="21" s="1"/>
  <c r="I21" i="4"/>
  <c r="I21" i="64"/>
  <c r="I58" i="64" s="1"/>
  <c r="J100" i="21" s="1"/>
  <c r="M20" i="4"/>
  <c r="M21" i="64" s="1"/>
  <c r="L22" i="4"/>
  <c r="L23" i="64" s="1"/>
  <c r="L60" i="64" s="1"/>
  <c r="L22" i="64"/>
  <c r="L59" i="64" s="1"/>
  <c r="M101" i="21" s="1"/>
  <c r="E102" i="21"/>
  <c r="D61" i="64"/>
  <c r="G22" i="4"/>
  <c r="G22" i="64"/>
  <c r="G59" i="64" s="1"/>
  <c r="H101" i="21" s="1"/>
  <c r="I102" i="21"/>
  <c r="H61" i="64"/>
  <c r="B178" i="21"/>
  <c r="A133" i="21"/>
  <c r="A136" i="21" s="1"/>
  <c r="C22" i="4"/>
  <c r="C23" i="64" s="1"/>
  <c r="C60" i="64" s="1"/>
  <c r="A95" i="4"/>
  <c r="A96" i="4" s="1"/>
  <c r="A97" i="4" s="1"/>
  <c r="A98" i="4" s="1"/>
  <c r="A99" i="4" s="1"/>
  <c r="A100" i="4" s="1"/>
  <c r="A101" i="4" s="1"/>
  <c r="A102" i="4" s="1"/>
  <c r="A103" i="4" s="1"/>
  <c r="A104" i="4" s="1"/>
  <c r="A105" i="4" s="1"/>
  <c r="A106" i="4" s="1"/>
  <c r="G23" i="64" l="1"/>
  <c r="G60" i="64" s="1"/>
  <c r="G24" i="4"/>
  <c r="F100" i="21"/>
  <c r="M58" i="64"/>
  <c r="L100" i="21"/>
  <c r="D102" i="21"/>
  <c r="C61" i="64"/>
  <c r="M102" i="21"/>
  <c r="L61" i="64"/>
  <c r="I22" i="4"/>
  <c r="I22" i="64"/>
  <c r="I59" i="64" s="1"/>
  <c r="J101" i="21" s="1"/>
  <c r="E22" i="4"/>
  <c r="E22" i="64"/>
  <c r="E59" i="64" s="1"/>
  <c r="K22" i="4"/>
  <c r="K22" i="64"/>
  <c r="K59" i="64" s="1"/>
  <c r="L101" i="21" s="1"/>
  <c r="M21" i="4"/>
  <c r="M22" i="64" s="1"/>
  <c r="L24" i="4"/>
  <c r="J22" i="4"/>
  <c r="J22" i="64"/>
  <c r="J59" i="64" s="1"/>
  <c r="K101" i="21" s="1"/>
  <c r="F22" i="4"/>
  <c r="F22" i="64"/>
  <c r="F59" i="64" s="1"/>
  <c r="G101" i="21" s="1"/>
  <c r="A144" i="21"/>
  <c r="A145" i="21" s="1"/>
  <c r="A146" i="21" s="1"/>
  <c r="A147" i="21" s="1"/>
  <c r="A148" i="21" s="1"/>
  <c r="A149" i="21" s="1"/>
  <c r="A150" i="21" s="1"/>
  <c r="A151" i="21" s="1"/>
  <c r="A152" i="21" s="1"/>
  <c r="A153" i="21" s="1"/>
  <c r="A154" i="21" s="1"/>
  <c r="A155" i="21" s="1"/>
  <c r="A156" i="21" s="1"/>
  <c r="B177" i="21"/>
  <c r="B176" i="21"/>
  <c r="C24" i="4"/>
  <c r="B175" i="4"/>
  <c r="A114" i="4"/>
  <c r="B177" i="4"/>
  <c r="F23" i="64" l="1"/>
  <c r="F60" i="64" s="1"/>
  <c r="F24" i="4"/>
  <c r="E23" i="64"/>
  <c r="E60" i="64" s="1"/>
  <c r="E24" i="4"/>
  <c r="H102" i="21"/>
  <c r="G61" i="64"/>
  <c r="M22" i="4"/>
  <c r="J23" i="64"/>
  <c r="J60" i="64" s="1"/>
  <c r="J24" i="4"/>
  <c r="K23" i="64"/>
  <c r="K60" i="64" s="1"/>
  <c r="K24" i="4"/>
  <c r="I23" i="64"/>
  <c r="I60" i="64" s="1"/>
  <c r="I24" i="4"/>
  <c r="F101" i="21"/>
  <c r="M59" i="64"/>
  <c r="B179" i="21"/>
  <c r="A115" i="4"/>
  <c r="A116" i="4" s="1"/>
  <c r="A117" i="4" s="1"/>
  <c r="A118" i="4" s="1"/>
  <c r="A119" i="4" s="1"/>
  <c r="A120" i="4" s="1"/>
  <c r="A121" i="4" s="1"/>
  <c r="A122" i="4" s="1"/>
  <c r="A123" i="4" s="1"/>
  <c r="A124" i="4" s="1"/>
  <c r="A125" i="4" s="1"/>
  <c r="A126" i="4" s="1"/>
  <c r="A131" i="4" s="1"/>
  <c r="L102" i="21" l="1"/>
  <c r="K61" i="64"/>
  <c r="G102" i="21"/>
  <c r="F61" i="64"/>
  <c r="J102" i="21"/>
  <c r="I61" i="64"/>
  <c r="K102" i="21"/>
  <c r="J61" i="64"/>
  <c r="M24" i="4"/>
  <c r="D42" i="4" s="1"/>
  <c r="J6" i="8" s="1"/>
  <c r="M23" i="64"/>
  <c r="F102" i="21"/>
  <c r="E61" i="64"/>
  <c r="M60" i="64"/>
  <c r="M62" i="64" s="1"/>
  <c r="F92" i="64" s="1"/>
  <c r="B180" i="4"/>
  <c r="A135" i="4"/>
  <c r="A139" i="4" s="1"/>
  <c r="G224" i="53"/>
  <c r="F224" i="53"/>
  <c r="E224" i="53"/>
  <c r="G222" i="53"/>
  <c r="F222" i="53"/>
  <c r="E222" i="53"/>
  <c r="G221" i="53"/>
  <c r="F221" i="53"/>
  <c r="E221" i="53"/>
  <c r="G220" i="53"/>
  <c r="F220" i="53"/>
  <c r="E220" i="53"/>
  <c r="G219" i="53"/>
  <c r="F219" i="53"/>
  <c r="E219" i="53"/>
  <c r="G217" i="53"/>
  <c r="F217" i="53"/>
  <c r="G216" i="53"/>
  <c r="F216" i="53"/>
  <c r="E216" i="53"/>
  <c r="G215" i="53"/>
  <c r="F215" i="53"/>
  <c r="E215" i="53"/>
  <c r="G214" i="53"/>
  <c r="F214" i="53"/>
  <c r="E214" i="53"/>
  <c r="G212" i="53"/>
  <c r="F212" i="53"/>
  <c r="E212" i="53"/>
  <c r="G211" i="53"/>
  <c r="F211" i="53"/>
  <c r="E211" i="53"/>
  <c r="G210" i="53"/>
  <c r="F210" i="53"/>
  <c r="E210" i="53"/>
  <c r="G209" i="53"/>
  <c r="F209" i="53"/>
  <c r="E209" i="53"/>
  <c r="G207" i="53"/>
  <c r="F207" i="53"/>
  <c r="F226" i="53" s="1"/>
  <c r="E207" i="53"/>
  <c r="G192" i="53"/>
  <c r="F192" i="53"/>
  <c r="G191" i="53"/>
  <c r="F191" i="53"/>
  <c r="G190" i="53"/>
  <c r="F190" i="53"/>
  <c r="G189" i="53"/>
  <c r="F189" i="53"/>
  <c r="G188" i="53"/>
  <c r="F188" i="53"/>
  <c r="H179" i="53"/>
  <c r="E179" i="53"/>
  <c r="D179" i="53"/>
  <c r="C179" i="53"/>
  <c r="I170" i="53"/>
  <c r="F170" i="53"/>
  <c r="I169" i="53"/>
  <c r="F169" i="53"/>
  <c r="I168" i="53"/>
  <c r="F168" i="53"/>
  <c r="I167" i="53"/>
  <c r="F167" i="53"/>
  <c r="I166" i="53"/>
  <c r="F166" i="53"/>
  <c r="I165" i="53"/>
  <c r="F165" i="53"/>
  <c r="I164" i="53"/>
  <c r="F164" i="53"/>
  <c r="I163" i="53"/>
  <c r="F163" i="53"/>
  <c r="I162" i="53"/>
  <c r="F162" i="53"/>
  <c r="I161" i="53"/>
  <c r="F161" i="53"/>
  <c r="I160" i="53"/>
  <c r="F160" i="53"/>
  <c r="I159" i="53"/>
  <c r="F159" i="53"/>
  <c r="I158" i="53"/>
  <c r="I179" i="53" s="1"/>
  <c r="F158" i="53"/>
  <c r="F179" i="53" s="1"/>
  <c r="E80" i="53"/>
  <c r="G79" i="53"/>
  <c r="G78" i="53"/>
  <c r="G77" i="53"/>
  <c r="G76" i="53"/>
  <c r="G75" i="53"/>
  <c r="G74" i="53"/>
  <c r="G72" i="53"/>
  <c r="G71" i="53"/>
  <c r="G70" i="53"/>
  <c r="G69" i="53"/>
  <c r="A56" i="53"/>
  <c r="A57" i="53" s="1"/>
  <c r="A58" i="53" s="1"/>
  <c r="A60" i="53" s="1"/>
  <c r="A61" i="53" s="1"/>
  <c r="A62" i="53" s="1"/>
  <c r="A63" i="53" s="1"/>
  <c r="A64" i="53" s="1"/>
  <c r="A65" i="53" s="1"/>
  <c r="H51" i="53"/>
  <c r="E51" i="53"/>
  <c r="D51" i="53"/>
  <c r="E50" i="53"/>
  <c r="D50" i="53"/>
  <c r="H49" i="53"/>
  <c r="H50" i="53" s="1"/>
  <c r="E49" i="53"/>
  <c r="D49" i="53"/>
  <c r="H48" i="53"/>
  <c r="E48" i="53"/>
  <c r="D48" i="53"/>
  <c r="H47" i="53"/>
  <c r="E47" i="53"/>
  <c r="D47" i="53"/>
  <c r="E44" i="53"/>
  <c r="D44" i="53"/>
  <c r="A37" i="53"/>
  <c r="A38" i="53" s="1"/>
  <c r="A39" i="53" s="1"/>
  <c r="A40" i="53" s="1"/>
  <c r="A41" i="53" s="1"/>
  <c r="A42" i="53" s="1"/>
  <c r="A43" i="53" s="1"/>
  <c r="A44" i="53" s="1"/>
  <c r="A45" i="53" s="1"/>
  <c r="A46" i="53" s="1"/>
  <c r="G36" i="53"/>
  <c r="K9" i="53"/>
  <c r="J9" i="53"/>
  <c r="A146" i="4" l="1"/>
  <c r="B179" i="4"/>
  <c r="J159" i="53"/>
  <c r="J160" i="53"/>
  <c r="J161" i="53"/>
  <c r="J162" i="53"/>
  <c r="J163" i="53"/>
  <c r="J164" i="53"/>
  <c r="J165" i="53"/>
  <c r="J166" i="53"/>
  <c r="J167" i="53"/>
  <c r="J168" i="53"/>
  <c r="J169" i="53"/>
  <c r="J170" i="53"/>
  <c r="E226" i="53"/>
  <c r="G226" i="53"/>
  <c r="A147" i="4"/>
  <c r="A148" i="4" s="1"/>
  <c r="A149" i="4" s="1"/>
  <c r="A150" i="4" s="1"/>
  <c r="A151" i="4" s="1"/>
  <c r="A152" i="4" s="1"/>
  <c r="A153" i="4" s="1"/>
  <c r="A154" i="4" s="1"/>
  <c r="A155" i="4" s="1"/>
  <c r="A156" i="4" s="1"/>
  <c r="A157" i="4" s="1"/>
  <c r="A158" i="4" s="1"/>
  <c r="B178" i="4"/>
  <c r="J158" i="53"/>
  <c r="B181" i="4" l="1"/>
  <c r="J179" i="53"/>
  <c r="K158" i="53" s="1"/>
  <c r="K160" i="53" l="1"/>
  <c r="C19" i="53" s="1"/>
  <c r="K162" i="53"/>
  <c r="C21" i="53" s="1"/>
  <c r="K164" i="53"/>
  <c r="C23" i="53" s="1"/>
  <c r="K166" i="53"/>
  <c r="C25" i="53" s="1"/>
  <c r="K168" i="53"/>
  <c r="C27" i="53" s="1"/>
  <c r="K170" i="53"/>
  <c r="C29" i="53" s="1"/>
  <c r="K159" i="53"/>
  <c r="C18" i="53" s="1"/>
  <c r="K161" i="53"/>
  <c r="C20" i="53" s="1"/>
  <c r="K163" i="53"/>
  <c r="C22" i="53" s="1"/>
  <c r="K165" i="53"/>
  <c r="C24" i="53" s="1"/>
  <c r="K167" i="53"/>
  <c r="C26" i="53" s="1"/>
  <c r="K169" i="53"/>
  <c r="C28" i="53" s="1"/>
  <c r="K179" i="53"/>
  <c r="C17" i="53"/>
  <c r="C207" i="53" l="1"/>
  <c r="C36" i="53"/>
  <c r="C222" i="53"/>
  <c r="C216" i="53"/>
  <c r="C211" i="53"/>
  <c r="C224" i="53"/>
  <c r="C219" i="53"/>
  <c r="C212" i="53"/>
  <c r="C220" i="53"/>
  <c r="C214" i="53"/>
  <c r="C209" i="53"/>
  <c r="C221" i="53"/>
  <c r="C215" i="53"/>
  <c r="C210" i="53"/>
  <c r="C226" i="53" l="1"/>
  <c r="D33" i="31" l="1"/>
  <c r="K69" i="1" l="1"/>
  <c r="K64" i="1"/>
  <c r="K73" i="1" l="1"/>
  <c r="K70" i="1" l="1"/>
  <c r="K84" i="1" s="1"/>
  <c r="K68" i="1"/>
  <c r="L55" i="46" l="1"/>
  <c r="E141" i="46" s="1"/>
  <c r="I141" i="46" s="1"/>
  <c r="K55" i="46"/>
  <c r="D141" i="46" s="1"/>
  <c r="H141" i="46" s="1"/>
  <c r="E62" i="46"/>
  <c r="D62" i="46"/>
  <c r="G55" i="46"/>
  <c r="C55" i="46"/>
  <c r="G141" i="46" l="1"/>
  <c r="J55" i="46"/>
  <c r="C141" i="46" s="1"/>
  <c r="B34" i="31" l="1"/>
  <c r="F44" i="26" l="1"/>
  <c r="F46" i="71" l="1"/>
  <c r="D19" i="71"/>
  <c r="D18" i="71"/>
  <c r="D53" i="71"/>
  <c r="A10" i="71"/>
  <c r="A11" i="71" s="1"/>
  <c r="A12" i="71" s="1"/>
  <c r="A13" i="71" s="1"/>
  <c r="A14" i="71" s="1"/>
  <c r="A15" i="71" s="1"/>
  <c r="A16" i="71" s="1"/>
  <c r="A17" i="71" s="1"/>
  <c r="A18" i="71" s="1"/>
  <c r="A19" i="71" s="1"/>
  <c r="D46" i="71"/>
  <c r="F53" i="71"/>
  <c r="D38" i="7"/>
  <c r="E118" i="61"/>
  <c r="E31" i="61"/>
  <c r="F69" i="61"/>
  <c r="G69" i="61" s="1"/>
  <c r="F39" i="61"/>
  <c r="J39" i="61" s="1"/>
  <c r="G12" i="2"/>
  <c r="C87" i="46"/>
  <c r="G57" i="26"/>
  <c r="E64" i="26"/>
  <c r="G11" i="2" s="1"/>
  <c r="H80" i="44"/>
  <c r="H77" i="44"/>
  <c r="H55" i="44"/>
  <c r="I34" i="44"/>
  <c r="H34" i="44"/>
  <c r="A14" i="44"/>
  <c r="A15" i="44" s="1"/>
  <c r="A16" i="44" s="1"/>
  <c r="A17" i="44" s="1"/>
  <c r="K21" i="1"/>
  <c r="E81" i="46"/>
  <c r="D81" i="46"/>
  <c r="C79" i="46"/>
  <c r="J79" i="46" s="1"/>
  <c r="I81" i="46"/>
  <c r="L80" i="46"/>
  <c r="E166" i="46" s="1"/>
  <c r="I166" i="46" s="1"/>
  <c r="K79" i="46"/>
  <c r="D165" i="46" s="1"/>
  <c r="H165" i="46" s="1"/>
  <c r="K78" i="46"/>
  <c r="L78" i="46"/>
  <c r="E164" i="46" s="1"/>
  <c r="C78" i="46"/>
  <c r="G77" i="46"/>
  <c r="L77" i="46"/>
  <c r="K77" i="46"/>
  <c r="D163" i="46" s="1"/>
  <c r="H163" i="46" s="1"/>
  <c r="C77" i="46"/>
  <c r="G76" i="46"/>
  <c r="L76" i="46"/>
  <c r="K76" i="46"/>
  <c r="D162" i="46" s="1"/>
  <c r="H162" i="46" s="1"/>
  <c r="C76" i="46"/>
  <c r="G75" i="46"/>
  <c r="L75" i="46"/>
  <c r="K75" i="46"/>
  <c r="D161" i="46" s="1"/>
  <c r="H161" i="46" s="1"/>
  <c r="J213" i="46" s="1"/>
  <c r="C75" i="46"/>
  <c r="G74" i="46"/>
  <c r="L74" i="46"/>
  <c r="K74" i="46"/>
  <c r="D160" i="46" s="1"/>
  <c r="C74" i="46"/>
  <c r="G73" i="46"/>
  <c r="L73" i="46"/>
  <c r="K73" i="46"/>
  <c r="D159" i="46" s="1"/>
  <c r="C73" i="46"/>
  <c r="G72" i="46"/>
  <c r="L72" i="46"/>
  <c r="K72" i="46"/>
  <c r="D158" i="46" s="1"/>
  <c r="C72" i="46"/>
  <c r="G71" i="46"/>
  <c r="L79" i="46"/>
  <c r="E165" i="46" s="1"/>
  <c r="I165" i="46" s="1"/>
  <c r="K71" i="46"/>
  <c r="C71" i="46"/>
  <c r="C81" i="46" s="1"/>
  <c r="C165" i="46"/>
  <c r="I62" i="46"/>
  <c r="L61" i="46"/>
  <c r="E147" i="46" s="1"/>
  <c r="G60" i="46"/>
  <c r="G59" i="46"/>
  <c r="L59" i="46"/>
  <c r="E145" i="46" s="1"/>
  <c r="I145" i="46" s="1"/>
  <c r="C59" i="46"/>
  <c r="K58" i="46"/>
  <c r="G58" i="46"/>
  <c r="L58" i="46"/>
  <c r="E144" i="46" s="1"/>
  <c r="I144" i="46" s="1"/>
  <c r="C58" i="46"/>
  <c r="G57" i="46"/>
  <c r="L57" i="46"/>
  <c r="E143" i="46" s="1"/>
  <c r="I143" i="46" s="1"/>
  <c r="C57" i="46"/>
  <c r="K56" i="46"/>
  <c r="G56" i="46"/>
  <c r="L56" i="46"/>
  <c r="E142" i="46" s="1"/>
  <c r="I142" i="46" s="1"/>
  <c r="C56" i="46"/>
  <c r="G54" i="46"/>
  <c r="L54" i="46"/>
  <c r="E140" i="46" s="1"/>
  <c r="I140" i="46" s="1"/>
  <c r="C54" i="46"/>
  <c r="K53" i="46"/>
  <c r="G53" i="46"/>
  <c r="L53" i="46"/>
  <c r="E139" i="46" s="1"/>
  <c r="I139" i="46" s="1"/>
  <c r="C53" i="46"/>
  <c r="G52" i="46"/>
  <c r="L52" i="46"/>
  <c r="E138" i="46" s="1"/>
  <c r="I138" i="46" s="1"/>
  <c r="C52" i="46"/>
  <c r="K51" i="46"/>
  <c r="D137" i="46" s="1"/>
  <c r="H137" i="46" s="1"/>
  <c r="G51" i="46"/>
  <c r="L51" i="46"/>
  <c r="E137" i="46" s="1"/>
  <c r="I137" i="46" s="1"/>
  <c r="C51" i="46"/>
  <c r="G50" i="46"/>
  <c r="L50" i="46"/>
  <c r="E136" i="46" s="1"/>
  <c r="I136" i="46" s="1"/>
  <c r="C50" i="46"/>
  <c r="K49" i="46"/>
  <c r="G49" i="46"/>
  <c r="L49" i="46"/>
  <c r="E135" i="46" s="1"/>
  <c r="C49" i="46"/>
  <c r="G48" i="46"/>
  <c r="L48" i="46"/>
  <c r="E134" i="46" s="1"/>
  <c r="I134" i="46" s="1"/>
  <c r="C48" i="46"/>
  <c r="K47" i="46"/>
  <c r="D133" i="46" s="1"/>
  <c r="H133" i="46" s="1"/>
  <c r="G47" i="46"/>
  <c r="L47" i="46"/>
  <c r="E133" i="46" s="1"/>
  <c r="I133" i="46" s="1"/>
  <c r="C47" i="46"/>
  <c r="G46" i="46"/>
  <c r="L46" i="46"/>
  <c r="E132" i="46" s="1"/>
  <c r="I132" i="46" s="1"/>
  <c r="C46" i="46"/>
  <c r="K45" i="46"/>
  <c r="G45" i="46"/>
  <c r="L45" i="46"/>
  <c r="E131" i="46" s="1"/>
  <c r="I131" i="46" s="1"/>
  <c r="C45" i="46"/>
  <c r="G44" i="46"/>
  <c r="L44" i="46"/>
  <c r="E130" i="46" s="1"/>
  <c r="C44" i="46"/>
  <c r="K43" i="46"/>
  <c r="D129" i="46" s="1"/>
  <c r="G43" i="46"/>
  <c r="L43" i="46"/>
  <c r="E129" i="46" s="1"/>
  <c r="C43" i="46"/>
  <c r="G42" i="46"/>
  <c r="L42" i="46"/>
  <c r="E128" i="46" s="1"/>
  <c r="C42" i="46"/>
  <c r="K41" i="46"/>
  <c r="G41" i="46"/>
  <c r="L41" i="46"/>
  <c r="E127" i="46" s="1"/>
  <c r="C41" i="46"/>
  <c r="G40" i="46"/>
  <c r="L40" i="46"/>
  <c r="E126" i="46" s="1"/>
  <c r="I126" i="46" s="1"/>
  <c r="C40" i="46"/>
  <c r="K39" i="46"/>
  <c r="G39" i="46"/>
  <c r="L39" i="46"/>
  <c r="E125" i="46" s="1"/>
  <c r="C39" i="46"/>
  <c r="G38" i="46"/>
  <c r="L38" i="46"/>
  <c r="E124" i="46" s="1"/>
  <c r="I124" i="46" s="1"/>
  <c r="C38" i="46"/>
  <c r="K37" i="46"/>
  <c r="G37" i="46"/>
  <c r="L37" i="46"/>
  <c r="E123" i="46" s="1"/>
  <c r="I123" i="46" s="1"/>
  <c r="C37" i="46"/>
  <c r="G36" i="46"/>
  <c r="L36" i="46"/>
  <c r="E122" i="46" s="1"/>
  <c r="I122" i="46" s="1"/>
  <c r="C36" i="46"/>
  <c r="K35" i="46"/>
  <c r="G35" i="46"/>
  <c r="L35" i="46"/>
  <c r="E121" i="46" s="1"/>
  <c r="I121" i="46" s="1"/>
  <c r="C35" i="46"/>
  <c r="G34" i="46"/>
  <c r="L34" i="46"/>
  <c r="E120" i="46" s="1"/>
  <c r="I120" i="46" s="1"/>
  <c r="C34" i="46"/>
  <c r="K33" i="46"/>
  <c r="G33" i="46"/>
  <c r="L33" i="46"/>
  <c r="E119" i="46" s="1"/>
  <c r="I119" i="46" s="1"/>
  <c r="C33" i="46"/>
  <c r="G32" i="46"/>
  <c r="L32" i="46"/>
  <c r="E118" i="46" s="1"/>
  <c r="I118" i="46" s="1"/>
  <c r="K32" i="46"/>
  <c r="C32" i="46"/>
  <c r="G31" i="46"/>
  <c r="L31" i="46"/>
  <c r="E117" i="46" s="1"/>
  <c r="I117" i="46" s="1"/>
  <c r="K31" i="46"/>
  <c r="C31" i="46"/>
  <c r="G30" i="46"/>
  <c r="L30" i="46"/>
  <c r="E116" i="46" s="1"/>
  <c r="I116" i="46" s="1"/>
  <c r="K30" i="46"/>
  <c r="C30" i="46"/>
  <c r="G28" i="46"/>
  <c r="L28" i="46"/>
  <c r="E114" i="46" s="1"/>
  <c r="K28" i="46"/>
  <c r="C28" i="46"/>
  <c r="G27" i="46"/>
  <c r="L27" i="46"/>
  <c r="E113" i="46" s="1"/>
  <c r="I113" i="46" s="1"/>
  <c r="K27" i="46"/>
  <c r="C27" i="46"/>
  <c r="G26" i="46"/>
  <c r="L26" i="46"/>
  <c r="E112" i="46" s="1"/>
  <c r="I112" i="46" s="1"/>
  <c r="K26" i="46"/>
  <c r="C26" i="46"/>
  <c r="G25" i="46"/>
  <c r="L25" i="46"/>
  <c r="E111" i="46" s="1"/>
  <c r="I111" i="46" s="1"/>
  <c r="K25" i="46"/>
  <c r="C25" i="46"/>
  <c r="G24" i="46"/>
  <c r="L24" i="46"/>
  <c r="E110" i="46" s="1"/>
  <c r="I110" i="46" s="1"/>
  <c r="K24" i="46"/>
  <c r="C24" i="46"/>
  <c r="G23" i="46"/>
  <c r="L23" i="46"/>
  <c r="E109" i="46" s="1"/>
  <c r="I109" i="46" s="1"/>
  <c r="K23" i="46"/>
  <c r="C23" i="46"/>
  <c r="G22" i="46"/>
  <c r="L22" i="46"/>
  <c r="K22" i="46"/>
  <c r="C22" i="46"/>
  <c r="G21" i="46"/>
  <c r="L21" i="46"/>
  <c r="K21" i="46"/>
  <c r="C21" i="46"/>
  <c r="G20" i="46"/>
  <c r="L20" i="46"/>
  <c r="K20" i="46"/>
  <c r="C20" i="46"/>
  <c r="G19" i="46"/>
  <c r="L19" i="46"/>
  <c r="K19" i="46"/>
  <c r="C19" i="46"/>
  <c r="G18" i="46"/>
  <c r="L18" i="46"/>
  <c r="K18" i="46"/>
  <c r="C18" i="46"/>
  <c r="G17" i="46"/>
  <c r="L17" i="46"/>
  <c r="K17" i="46"/>
  <c r="C17" i="46"/>
  <c r="G16" i="46"/>
  <c r="L16" i="46"/>
  <c r="K16" i="46"/>
  <c r="C16" i="46"/>
  <c r="G15" i="46"/>
  <c r="L15" i="46"/>
  <c r="K15" i="46"/>
  <c r="C15" i="46"/>
  <c r="G14" i="46"/>
  <c r="L14" i="46"/>
  <c r="E100" i="46" s="1"/>
  <c r="I100" i="46" s="1"/>
  <c r="K14" i="46"/>
  <c r="C14" i="46"/>
  <c r="G13" i="46"/>
  <c r="L13" i="46"/>
  <c r="E99" i="46" s="1"/>
  <c r="I99" i="46" s="1"/>
  <c r="K13" i="46"/>
  <c r="C13" i="46"/>
  <c r="G12" i="46"/>
  <c r="L12" i="46"/>
  <c r="E98" i="46" s="1"/>
  <c r="I98" i="46" s="1"/>
  <c r="K12" i="46"/>
  <c r="C12"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G11" i="46"/>
  <c r="C11" i="46"/>
  <c r="E16" i="57"/>
  <c r="E10" i="57"/>
  <c r="E53" i="71"/>
  <c r="L157" i="61"/>
  <c r="L84" i="61"/>
  <c r="L80" i="61"/>
  <c r="L90" i="61"/>
  <c r="L19" i="61"/>
  <c r="D122" i="21"/>
  <c r="D120" i="21"/>
  <c r="D118" i="21"/>
  <c r="D116" i="21"/>
  <c r="D114" i="21"/>
  <c r="D112" i="21"/>
  <c r="D46" i="17"/>
  <c r="D49" i="17"/>
  <c r="D48" i="17"/>
  <c r="D47" i="17"/>
  <c r="B54" i="54"/>
  <c r="C9" i="9"/>
  <c r="G64" i="65"/>
  <c r="G63" i="65"/>
  <c r="G62" i="65"/>
  <c r="G61" i="65"/>
  <c r="G60" i="65"/>
  <c r="G59" i="65"/>
  <c r="G58" i="65"/>
  <c r="G57" i="65"/>
  <c r="G56" i="65"/>
  <c r="G55" i="65"/>
  <c r="G54" i="65"/>
  <c r="G53" i="65"/>
  <c r="A5" i="31"/>
  <c r="L122" i="21"/>
  <c r="J122" i="21"/>
  <c r="H122" i="21"/>
  <c r="F122" i="21"/>
  <c r="L120" i="21"/>
  <c r="J120" i="21"/>
  <c r="H120" i="21"/>
  <c r="F120" i="21"/>
  <c r="L118" i="21"/>
  <c r="J118" i="21"/>
  <c r="H118" i="21"/>
  <c r="F118" i="21"/>
  <c r="L116" i="21"/>
  <c r="J116" i="21"/>
  <c r="H116" i="21"/>
  <c r="F116" i="21"/>
  <c r="L114" i="21"/>
  <c r="J114" i="21"/>
  <c r="H114" i="21"/>
  <c r="F114" i="21"/>
  <c r="L112" i="21"/>
  <c r="J112" i="21"/>
  <c r="H112" i="21"/>
  <c r="F112" i="21"/>
  <c r="D36" i="7"/>
  <c r="D94" i="65"/>
  <c r="E17" i="66"/>
  <c r="F17" i="66"/>
  <c r="F21" i="66"/>
  <c r="F14" i="66"/>
  <c r="F7" i="66"/>
  <c r="E70" i="26"/>
  <c r="F53" i="22"/>
  <c r="D58" i="7"/>
  <c r="D54" i="7"/>
  <c r="F41" i="54"/>
  <c r="F38" i="54"/>
  <c r="F29" i="54"/>
  <c r="E40" i="56"/>
  <c r="E42" i="56" s="1"/>
  <c r="E26" i="56"/>
  <c r="E12" i="56"/>
  <c r="H41" i="8"/>
  <c r="J9" i="8"/>
  <c r="G10" i="2"/>
  <c r="A8" i="2"/>
  <c r="K148" i="1"/>
  <c r="C8" i="9" s="1"/>
  <c r="K126" i="1"/>
  <c r="A11" i="7"/>
  <c r="A12" i="7" s="1"/>
  <c r="A13" i="7" s="1"/>
  <c r="A14" i="7" s="1"/>
  <c r="A15" i="7" s="1"/>
  <c r="A16" i="7" s="1"/>
  <c r="K32" i="1"/>
  <c r="E21" i="66"/>
  <c r="J25" i="8"/>
  <c r="E14" i="66"/>
  <c r="E7" i="66"/>
  <c r="I115" i="65"/>
  <c r="I114" i="65"/>
  <c r="I113" i="65"/>
  <c r="I111" i="65"/>
  <c r="I110" i="65"/>
  <c r="I109" i="65"/>
  <c r="I107" i="65"/>
  <c r="I106" i="65"/>
  <c r="G117" i="65"/>
  <c r="E117" i="65"/>
  <c r="C117" i="65"/>
  <c r="K64" i="65"/>
  <c r="E64" i="65"/>
  <c r="K63" i="65"/>
  <c r="E63" i="65"/>
  <c r="K62" i="65"/>
  <c r="E62" i="65"/>
  <c r="K61" i="65"/>
  <c r="E61" i="65"/>
  <c r="K60" i="65"/>
  <c r="E60" i="65"/>
  <c r="K59" i="65"/>
  <c r="E59" i="65"/>
  <c r="K58" i="65"/>
  <c r="E58" i="65"/>
  <c r="K57" i="65"/>
  <c r="E57" i="65"/>
  <c r="K56" i="65"/>
  <c r="E56" i="65"/>
  <c r="K55" i="65"/>
  <c r="E55" i="65"/>
  <c r="K54" i="65"/>
  <c r="E54" i="65"/>
  <c r="K53" i="65"/>
  <c r="E53" i="65"/>
  <c r="H44" i="65"/>
  <c r="H43" i="65"/>
  <c r="H42" i="65"/>
  <c r="H41" i="65"/>
  <c r="H40" i="65"/>
  <c r="H39" i="65"/>
  <c r="H38" i="65"/>
  <c r="H37" i="65"/>
  <c r="H36" i="65"/>
  <c r="F35" i="65"/>
  <c r="F34" i="65"/>
  <c r="H34" i="65" s="1"/>
  <c r="F33" i="65"/>
  <c r="H33" i="65" s="1"/>
  <c r="F32" i="65"/>
  <c r="H32" i="65" s="1"/>
  <c r="F31" i="65"/>
  <c r="H31" i="65" s="1"/>
  <c r="F30" i="65"/>
  <c r="H30" i="65" s="1"/>
  <c r="F29" i="65"/>
  <c r="H29" i="65" s="1"/>
  <c r="F28" i="65"/>
  <c r="H28" i="65" s="1"/>
  <c r="F27" i="65"/>
  <c r="H27" i="65" s="1"/>
  <c r="F26" i="65"/>
  <c r="H26" i="65" s="1"/>
  <c r="F25" i="65"/>
  <c r="H25" i="65" s="1"/>
  <c r="A14" i="65"/>
  <c r="A15" i="65" s="1"/>
  <c r="A16" i="65" s="1"/>
  <c r="A17" i="65" s="1"/>
  <c r="A18" i="65" s="1"/>
  <c r="A19" i="65" s="1"/>
  <c r="A20" i="65" s="1"/>
  <c r="A21" i="65" s="1"/>
  <c r="A22" i="65" s="1"/>
  <c r="A23" i="65" s="1"/>
  <c r="A24" i="65" s="1"/>
  <c r="B137" i="65" s="1"/>
  <c r="G65" i="65"/>
  <c r="I105" i="65"/>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E111" i="21"/>
  <c r="G122" i="21"/>
  <c r="G121" i="21"/>
  <c r="G120" i="21"/>
  <c r="G119" i="21"/>
  <c r="G118" i="21"/>
  <c r="G117" i="21"/>
  <c r="G116" i="21"/>
  <c r="G115" i="21"/>
  <c r="G114" i="21"/>
  <c r="G113" i="21"/>
  <c r="G112" i="21"/>
  <c r="I122" i="21"/>
  <c r="I121" i="21"/>
  <c r="I120" i="21"/>
  <c r="I119" i="21"/>
  <c r="I118" i="21"/>
  <c r="I117" i="21"/>
  <c r="I116" i="21"/>
  <c r="I115" i="21"/>
  <c r="I114" i="21"/>
  <c r="I113" i="21"/>
  <c r="I112" i="21"/>
  <c r="K122" i="21"/>
  <c r="K121" i="21"/>
  <c r="K120" i="21"/>
  <c r="K119" i="21"/>
  <c r="K118" i="21"/>
  <c r="K117" i="21"/>
  <c r="K116" i="21"/>
  <c r="K115" i="21"/>
  <c r="K114" i="21"/>
  <c r="K113" i="21"/>
  <c r="K112" i="21"/>
  <c r="M122" i="21"/>
  <c r="M121" i="21"/>
  <c r="M120" i="21"/>
  <c r="M119" i="21"/>
  <c r="M118" i="21"/>
  <c r="M117" i="21"/>
  <c r="M116" i="21"/>
  <c r="M115" i="21"/>
  <c r="M114" i="21"/>
  <c r="M113" i="21"/>
  <c r="M112" i="21"/>
  <c r="D121" i="21"/>
  <c r="D119" i="21"/>
  <c r="D117" i="21"/>
  <c r="D115" i="21"/>
  <c r="D113" i="21"/>
  <c r="F121" i="21"/>
  <c r="F119" i="21"/>
  <c r="F117" i="21"/>
  <c r="F115" i="21"/>
  <c r="F113" i="21"/>
  <c r="H121" i="21"/>
  <c r="H119" i="21"/>
  <c r="H117" i="21"/>
  <c r="H115" i="21"/>
  <c r="H113" i="21"/>
  <c r="J121" i="21"/>
  <c r="J119" i="21"/>
  <c r="J117" i="21"/>
  <c r="J115" i="21"/>
  <c r="J113" i="21"/>
  <c r="L121" i="21"/>
  <c r="L119" i="21"/>
  <c r="L117" i="21"/>
  <c r="L115" i="21"/>
  <c r="L113" i="21"/>
  <c r="G48" i="11"/>
  <c r="G47" i="11"/>
  <c r="G46" i="11"/>
  <c r="E46" i="11" s="1"/>
  <c r="E39" i="12" s="1"/>
  <c r="H85" i="11"/>
  <c r="G60" i="11" s="1"/>
  <c r="G85" i="11"/>
  <c r="G62" i="11" s="1"/>
  <c r="E70" i="12" s="1"/>
  <c r="F85" i="11"/>
  <c r="G61" i="11" s="1"/>
  <c r="E69" i="12" s="1"/>
  <c r="E84" i="11"/>
  <c r="E83" i="11"/>
  <c r="E82" i="11"/>
  <c r="E81" i="11"/>
  <c r="E80" i="11"/>
  <c r="E79" i="11"/>
  <c r="E78" i="11"/>
  <c r="E77" i="11"/>
  <c r="E76" i="11"/>
  <c r="E75" i="11"/>
  <c r="E74" i="11"/>
  <c r="E73" i="11"/>
  <c r="E72" i="11"/>
  <c r="A25" i="12"/>
  <c r="A26" i="12"/>
  <c r="E201" i="61"/>
  <c r="F182" i="61"/>
  <c r="G182" i="61"/>
  <c r="F181" i="61"/>
  <c r="G181" i="61" s="1"/>
  <c r="I181" i="61" s="1"/>
  <c r="F179" i="61"/>
  <c r="J179" i="61" s="1"/>
  <c r="L186" i="61"/>
  <c r="F178" i="61"/>
  <c r="N178" i="61" s="1"/>
  <c r="H173" i="61"/>
  <c r="E173" i="61"/>
  <c r="F170" i="61"/>
  <c r="J170" i="61" s="1"/>
  <c r="M170" i="61" s="1"/>
  <c r="F169" i="61"/>
  <c r="N169" i="61"/>
  <c r="F168" i="61"/>
  <c r="N168" i="61"/>
  <c r="F167" i="61"/>
  <c r="F166" i="61"/>
  <c r="J166" i="61" s="1"/>
  <c r="M166" i="61" s="1"/>
  <c r="F165" i="61"/>
  <c r="N165" i="61"/>
  <c r="F164" i="61"/>
  <c r="J164" i="61"/>
  <c r="M164" i="61" s="1"/>
  <c r="F163" i="61"/>
  <c r="F162" i="61"/>
  <c r="F161" i="61"/>
  <c r="J161" i="61" s="1"/>
  <c r="M161" i="61" s="1"/>
  <c r="F160" i="61"/>
  <c r="F159" i="61"/>
  <c r="N159" i="61" s="1"/>
  <c r="F158" i="61"/>
  <c r="N158" i="61" s="1"/>
  <c r="F157" i="61"/>
  <c r="N157" i="61" s="1"/>
  <c r="L173" i="61"/>
  <c r="F156" i="61"/>
  <c r="N152" i="61"/>
  <c r="M152" i="61"/>
  <c r="L152" i="61"/>
  <c r="J152" i="61"/>
  <c r="I152" i="61"/>
  <c r="H152" i="61"/>
  <c r="G152" i="61"/>
  <c r="E152" i="61"/>
  <c r="N147" i="61"/>
  <c r="M147" i="61"/>
  <c r="L147" i="61"/>
  <c r="J147" i="61"/>
  <c r="I147" i="61"/>
  <c r="H147" i="61"/>
  <c r="G147" i="61"/>
  <c r="E147" i="61"/>
  <c r="L142" i="61"/>
  <c r="E142" i="61"/>
  <c r="F139" i="61"/>
  <c r="F138" i="61"/>
  <c r="F137" i="61"/>
  <c r="F136" i="61"/>
  <c r="F135" i="61"/>
  <c r="F134" i="61"/>
  <c r="F133" i="61"/>
  <c r="N133" i="61" s="1"/>
  <c r="F132" i="61"/>
  <c r="N132" i="61" s="1"/>
  <c r="F131" i="61"/>
  <c r="N131" i="61" s="1"/>
  <c r="F130" i="61"/>
  <c r="N130" i="61" s="1"/>
  <c r="F129" i="61"/>
  <c r="N129" i="61" s="1"/>
  <c r="F128" i="61"/>
  <c r="N128" i="61" s="1"/>
  <c r="F127" i="61"/>
  <c r="G127" i="61" s="1"/>
  <c r="F126" i="61"/>
  <c r="N126" i="61" s="1"/>
  <c r="F125" i="61"/>
  <c r="N125" i="61" s="1"/>
  <c r="F124" i="61"/>
  <c r="N124" i="61" s="1"/>
  <c r="F123" i="61"/>
  <c r="N123" i="61" s="1"/>
  <c r="F122" i="61"/>
  <c r="N122" i="61" s="1"/>
  <c r="F121" i="61"/>
  <c r="G121" i="61" s="1"/>
  <c r="F115" i="61"/>
  <c r="N115" i="61" s="1"/>
  <c r="F114" i="61"/>
  <c r="N114" i="61" s="1"/>
  <c r="F113" i="61"/>
  <c r="N113" i="61" s="1"/>
  <c r="F112" i="61"/>
  <c r="N112" i="61" s="1"/>
  <c r="F111" i="61"/>
  <c r="N111" i="61" s="1"/>
  <c r="F110" i="61"/>
  <c r="G110" i="61" s="1"/>
  <c r="I110" i="61" s="1"/>
  <c r="F109" i="61"/>
  <c r="N109" i="61"/>
  <c r="F108" i="61"/>
  <c r="N108" i="61"/>
  <c r="F107" i="61"/>
  <c r="N107" i="61"/>
  <c r="F106" i="61"/>
  <c r="J106" i="61"/>
  <c r="M106" i="61" s="1"/>
  <c r="F105" i="61"/>
  <c r="J105" i="61" s="1"/>
  <c r="M105" i="61" s="1"/>
  <c r="F104" i="61"/>
  <c r="J104" i="61" s="1"/>
  <c r="M104" i="61" s="1"/>
  <c r="F103" i="61"/>
  <c r="J103" i="61" s="1"/>
  <c r="M103" i="61" s="1"/>
  <c r="F102" i="61"/>
  <c r="J102" i="61" s="1"/>
  <c r="M102" i="61" s="1"/>
  <c r="F101" i="61"/>
  <c r="J101" i="61" s="1"/>
  <c r="M101" i="61" s="1"/>
  <c r="F100" i="61"/>
  <c r="N100" i="61" s="1"/>
  <c r="F99" i="61"/>
  <c r="N99" i="61" s="1"/>
  <c r="F98" i="61"/>
  <c r="N98" i="61" s="1"/>
  <c r="F97" i="61"/>
  <c r="F96" i="61"/>
  <c r="F95" i="61"/>
  <c r="F94" i="61"/>
  <c r="F93" i="61"/>
  <c r="F92" i="61"/>
  <c r="F91" i="61"/>
  <c r="J91" i="61" s="1"/>
  <c r="M91" i="61" s="1"/>
  <c r="F90" i="61"/>
  <c r="N90" i="61" s="1"/>
  <c r="F89" i="61"/>
  <c r="J89" i="61" s="1"/>
  <c r="M89" i="61" s="1"/>
  <c r="F88" i="61"/>
  <c r="N88" i="61" s="1"/>
  <c r="F87" i="61"/>
  <c r="J87" i="61" s="1"/>
  <c r="M87" i="61" s="1"/>
  <c r="F86" i="61"/>
  <c r="N86" i="61" s="1"/>
  <c r="F85" i="61"/>
  <c r="N85" i="61" s="1"/>
  <c r="F84" i="61"/>
  <c r="F83" i="61"/>
  <c r="F82" i="61"/>
  <c r="F81" i="61"/>
  <c r="F80" i="61"/>
  <c r="J80" i="61" s="1"/>
  <c r="M80" i="61" s="1"/>
  <c r="F79" i="61"/>
  <c r="N79" i="61" s="1"/>
  <c r="L118" i="61"/>
  <c r="F78" i="61"/>
  <c r="J78" i="61" s="1"/>
  <c r="M78" i="61" s="1"/>
  <c r="F77" i="61"/>
  <c r="J77" i="61" s="1"/>
  <c r="M77" i="61" s="1"/>
  <c r="F76" i="61"/>
  <c r="J76" i="61" s="1"/>
  <c r="M76" i="61" s="1"/>
  <c r="F75" i="61"/>
  <c r="J75" i="61" s="1"/>
  <c r="F74" i="61"/>
  <c r="J74" i="61" s="1"/>
  <c r="M74" i="61" s="1"/>
  <c r="F73" i="61"/>
  <c r="N73" i="61" s="1"/>
  <c r="F72" i="61"/>
  <c r="N72" i="61" s="1"/>
  <c r="H71" i="61"/>
  <c r="G71" i="61" s="1"/>
  <c r="F71" i="61"/>
  <c r="H70" i="61"/>
  <c r="F70" i="61"/>
  <c r="G70" i="61" s="1"/>
  <c r="F68" i="61"/>
  <c r="N68" i="61" s="1"/>
  <c r="F67" i="61"/>
  <c r="N67" i="61" s="1"/>
  <c r="F66" i="61"/>
  <c r="N66" i="61" s="1"/>
  <c r="F65" i="61"/>
  <c r="N65" i="61" s="1"/>
  <c r="F64" i="61"/>
  <c r="N64" i="61" s="1"/>
  <c r="F63" i="61"/>
  <c r="J63" i="61" s="1"/>
  <c r="M63" i="61" s="1"/>
  <c r="F62" i="61"/>
  <c r="J62" i="61" s="1"/>
  <c r="M62" i="61" s="1"/>
  <c r="E59" i="61"/>
  <c r="F56" i="61"/>
  <c r="N56" i="61" s="1"/>
  <c r="F55" i="61"/>
  <c r="G55" i="61" s="1"/>
  <c r="I55" i="61" s="1"/>
  <c r="F54" i="61"/>
  <c r="J54" i="61" s="1"/>
  <c r="M54" i="61" s="1"/>
  <c r="F53" i="61"/>
  <c r="N53" i="61" s="1"/>
  <c r="F52" i="61"/>
  <c r="N52" i="61" s="1"/>
  <c r="F51" i="61"/>
  <c r="N51" i="61" s="1"/>
  <c r="F50" i="61"/>
  <c r="N50" i="61" s="1"/>
  <c r="F49" i="61"/>
  <c r="N49" i="61" s="1"/>
  <c r="H48" i="61"/>
  <c r="F48" i="61"/>
  <c r="G48" i="61" s="1"/>
  <c r="H47" i="61"/>
  <c r="G47" i="61" s="1"/>
  <c r="F47" i="61"/>
  <c r="J47" i="61" s="1"/>
  <c r="M47" i="61" s="1"/>
  <c r="H46" i="61"/>
  <c r="F46" i="61"/>
  <c r="G46" i="61" s="1"/>
  <c r="H45" i="61"/>
  <c r="H59" i="61" s="1"/>
  <c r="F45" i="61"/>
  <c r="F44" i="61"/>
  <c r="N44" i="61" s="1"/>
  <c r="F43" i="61"/>
  <c r="N43" i="61" s="1"/>
  <c r="F42" i="61"/>
  <c r="J42" i="61" s="1"/>
  <c r="M42" i="61" s="1"/>
  <c r="F41" i="61"/>
  <c r="J41" i="61" s="1"/>
  <c r="M41" i="61" s="1"/>
  <c r="L59" i="61"/>
  <c r="F40" i="61"/>
  <c r="J40" i="61" s="1"/>
  <c r="F38" i="61"/>
  <c r="N38" i="61" s="1"/>
  <c r="F37" i="61"/>
  <c r="N37" i="61" s="1"/>
  <c r="F36" i="61"/>
  <c r="N36" i="61" s="1"/>
  <c r="F35" i="61"/>
  <c r="N35" i="61" s="1"/>
  <c r="F34" i="61"/>
  <c r="N34" i="61" s="1"/>
  <c r="L31" i="61"/>
  <c r="H31" i="61"/>
  <c r="F28" i="61"/>
  <c r="F27" i="61"/>
  <c r="F26" i="61"/>
  <c r="H23" i="61"/>
  <c r="E23" i="61"/>
  <c r="F20" i="61"/>
  <c r="N20" i="61" s="1"/>
  <c r="L23" i="61"/>
  <c r="F19" i="61"/>
  <c r="G19" i="61" s="1"/>
  <c r="I19" i="61" s="1"/>
  <c r="F18" i="61"/>
  <c r="F17" i="61"/>
  <c r="F16" i="61"/>
  <c r="F15" i="61"/>
  <c r="F14" i="61"/>
  <c r="J14" i="61" s="1"/>
  <c r="F13" i="61"/>
  <c r="J13" i="61" s="1"/>
  <c r="M13" i="61" s="1"/>
  <c r="F12" i="61"/>
  <c r="J12" i="61" s="1"/>
  <c r="M12" i="61" s="1"/>
  <c r="L9" i="61"/>
  <c r="H9" i="61"/>
  <c r="E9" i="61"/>
  <c r="F6" i="61"/>
  <c r="F5" i="61"/>
  <c r="J5" i="61" s="1"/>
  <c r="M5" i="61" s="1"/>
  <c r="F4" i="61"/>
  <c r="G4" i="61" s="1"/>
  <c r="D16" i="57"/>
  <c r="E11" i="57"/>
  <c r="D11" i="57"/>
  <c r="D10" i="57"/>
  <c r="D17" i="57"/>
  <c r="F48" i="11"/>
  <c r="F62" i="11"/>
  <c r="E62" i="11" s="1"/>
  <c r="E56" i="12" s="1"/>
  <c r="E46" i="71"/>
  <c r="E24" i="54"/>
  <c r="D24" i="54"/>
  <c r="A8" i="17"/>
  <c r="A9" i="17" s="1"/>
  <c r="A10" i="17" s="1"/>
  <c r="A11" i="17" s="1"/>
  <c r="A12" i="17" s="1"/>
  <c r="A13" i="17" s="1"/>
  <c r="A14" i="17" s="1"/>
  <c r="I101" i="1" s="1"/>
  <c r="H43" i="26"/>
  <c r="D43" i="26" s="1"/>
  <c r="G12" i="26" s="1"/>
  <c r="H12" i="26" s="1"/>
  <c r="D50" i="26"/>
  <c r="G19" i="26" s="1"/>
  <c r="H19" i="26" s="1"/>
  <c r="D49" i="26"/>
  <c r="G18" i="26" s="1"/>
  <c r="H18" i="26" s="1"/>
  <c r="D48" i="26"/>
  <c r="G17" i="26" s="1"/>
  <c r="H17" i="26" s="1"/>
  <c r="D47" i="26"/>
  <c r="G16" i="26" s="1"/>
  <c r="H16" i="26" s="1"/>
  <c r="D46" i="26"/>
  <c r="G15" i="26" s="1"/>
  <c r="H15" i="26" s="1"/>
  <c r="D45" i="26"/>
  <c r="G14" i="26" s="1"/>
  <c r="H14" i="26" s="1"/>
  <c r="D44" i="26"/>
  <c r="G13" i="26" s="1"/>
  <c r="H13" i="26" s="1"/>
  <c r="D42" i="26"/>
  <c r="G11" i="26" s="1"/>
  <c r="H11" i="26" s="1"/>
  <c r="D41" i="26"/>
  <c r="G10" i="26" s="1"/>
  <c r="H10" i="26" s="1"/>
  <c r="D40" i="26"/>
  <c r="G9" i="26" s="1"/>
  <c r="H9" i="26" s="1"/>
  <c r="D39" i="26"/>
  <c r="G8" i="26" s="1"/>
  <c r="H8" i="26" s="1"/>
  <c r="D38" i="26"/>
  <c r="G7" i="26" s="1"/>
  <c r="H7" i="26" s="1"/>
  <c r="A10" i="57"/>
  <c r="A11" i="57" s="1"/>
  <c r="A12" i="57" s="1"/>
  <c r="A13" i="57" s="1"/>
  <c r="A14" i="57" s="1"/>
  <c r="A15" i="57" s="1"/>
  <c r="A16" i="57" s="1"/>
  <c r="A17" i="57" s="1"/>
  <c r="A18" i="57" s="1"/>
  <c r="A19" i="57" s="1"/>
  <c r="A20" i="57" s="1"/>
  <c r="A21" i="57" s="1"/>
  <c r="A22" i="57" s="1"/>
  <c r="A23" i="57" s="1"/>
  <c r="A24" i="57" s="1"/>
  <c r="A25" i="57" s="1"/>
  <c r="A26" i="57" s="1"/>
  <c r="A27" i="57" s="1"/>
  <c r="A28" i="57" s="1"/>
  <c r="A29" i="57" s="1"/>
  <c r="A30" i="57" s="1"/>
  <c r="A31" i="57" s="1"/>
  <c r="K18" i="57"/>
  <c r="J18" i="57"/>
  <c r="I18" i="57"/>
  <c r="H18" i="57"/>
  <c r="G18" i="57"/>
  <c r="E17" i="57"/>
  <c r="C17" i="57" s="1"/>
  <c r="C16" i="57"/>
  <c r="E15" i="57"/>
  <c r="D15" i="57"/>
  <c r="C11" i="57"/>
  <c r="C10" i="57"/>
  <c r="K12" i="57"/>
  <c r="J12" i="57"/>
  <c r="I12" i="57"/>
  <c r="H12" i="57"/>
  <c r="H20" i="57"/>
  <c r="D26" i="57" s="1"/>
  <c r="G12" i="57"/>
  <c r="G20" i="57" s="1"/>
  <c r="C26" i="57" s="1"/>
  <c r="E12" i="57"/>
  <c r="D12" i="57"/>
  <c r="F11" i="56"/>
  <c r="F10" i="56"/>
  <c r="A9" i="56"/>
  <c r="A10" i="56" s="1"/>
  <c r="C40" i="56"/>
  <c r="C42" i="56"/>
  <c r="F39" i="56"/>
  <c r="F38" i="56"/>
  <c r="F36" i="56"/>
  <c r="C26" i="56"/>
  <c r="F26" i="56" s="1"/>
  <c r="F25" i="56"/>
  <c r="F24" i="56"/>
  <c r="F23" i="56"/>
  <c r="F22" i="56"/>
  <c r="F21" i="56"/>
  <c r="F20" i="56"/>
  <c r="E17" i="56"/>
  <c r="C12" i="56"/>
  <c r="F12" i="56" s="1"/>
  <c r="F40" i="56"/>
  <c r="K30" i="1"/>
  <c r="K134" i="1"/>
  <c r="J58" i="8" s="1"/>
  <c r="A15" i="32"/>
  <c r="G16" i="32" s="1"/>
  <c r="A7" i="26"/>
  <c r="A8" i="26" s="1"/>
  <c r="A9" i="26" s="1"/>
  <c r="A10" i="26" s="1"/>
  <c r="A27" i="11"/>
  <c r="K100" i="1"/>
  <c r="A7" i="8"/>
  <c r="A8" i="8" s="1"/>
  <c r="A9" i="8" s="1"/>
  <c r="A33" i="8"/>
  <c r="H34" i="8" s="1"/>
  <c r="A34" i="8"/>
  <c r="A38" i="8" s="1"/>
  <c r="E41" i="32"/>
  <c r="E35" i="32"/>
  <c r="K12" i="1"/>
  <c r="K128" i="1"/>
  <c r="J52" i="8" s="1"/>
  <c r="F24" i="26"/>
  <c r="F7" i="42"/>
  <c r="E21" i="32" s="1"/>
  <c r="F27" i="12"/>
  <c r="F56" i="12" s="1"/>
  <c r="F26" i="12"/>
  <c r="F55" i="12" s="1"/>
  <c r="F25" i="12"/>
  <c r="F54" i="12" s="1"/>
  <c r="G58" i="26"/>
  <c r="G37" i="26" s="1"/>
  <c r="D37" i="26" s="1"/>
  <c r="G6" i="26" s="1"/>
  <c r="H6" i="26" s="1"/>
  <c r="J44" i="8"/>
  <c r="F22" i="31"/>
  <c r="E22" i="31"/>
  <c r="D22" i="31"/>
  <c r="E20" i="26"/>
  <c r="J50" i="8"/>
  <c r="E29" i="32"/>
  <c r="E15" i="32"/>
  <c r="C15" i="57"/>
  <c r="D18" i="57"/>
  <c r="D20" i="57" s="1"/>
  <c r="F15" i="56"/>
  <c r="K20" i="57"/>
  <c r="E31" i="57"/>
  <c r="J20" i="61"/>
  <c r="M20" i="61" s="1"/>
  <c r="G20" i="61"/>
  <c r="I20" i="61" s="1"/>
  <c r="N27" i="61"/>
  <c r="N26" i="61"/>
  <c r="J26" i="61"/>
  <c r="M26" i="61" s="1"/>
  <c r="G26" i="61"/>
  <c r="I26" i="61" s="1"/>
  <c r="N28" i="61"/>
  <c r="J28" i="61"/>
  <c r="M28" i="61" s="1"/>
  <c r="G28" i="61"/>
  <c r="I28" i="61" s="1"/>
  <c r="N40" i="61"/>
  <c r="N42" i="61"/>
  <c r="J46" i="61"/>
  <c r="M46" i="61" s="1"/>
  <c r="N46" i="61"/>
  <c r="N54" i="61"/>
  <c r="N74" i="61"/>
  <c r="J79" i="61"/>
  <c r="M79" i="61" s="1"/>
  <c r="G79" i="61"/>
  <c r="I79" i="61" s="1"/>
  <c r="N82" i="61"/>
  <c r="J82" i="61"/>
  <c r="M82" i="61" s="1"/>
  <c r="G82" i="61"/>
  <c r="I82" i="61" s="1"/>
  <c r="G90" i="61"/>
  <c r="I90" i="61" s="1"/>
  <c r="N93" i="61"/>
  <c r="J93" i="61"/>
  <c r="M93" i="61" s="1"/>
  <c r="G93" i="61"/>
  <c r="I93" i="61" s="1"/>
  <c r="N95" i="61"/>
  <c r="J95" i="61"/>
  <c r="M95" i="61" s="1"/>
  <c r="G95" i="61"/>
  <c r="I95" i="61" s="1"/>
  <c r="N97" i="61"/>
  <c r="J97" i="61"/>
  <c r="M97" i="61" s="1"/>
  <c r="G97" i="61"/>
  <c r="I97" i="61" s="1"/>
  <c r="E190" i="61"/>
  <c r="G34" i="61"/>
  <c r="I34" i="61" s="1"/>
  <c r="J34" i="61"/>
  <c r="M34" i="61" s="1"/>
  <c r="G35" i="61"/>
  <c r="I35" i="61" s="1"/>
  <c r="J35" i="61"/>
  <c r="M35" i="61" s="1"/>
  <c r="G36" i="61"/>
  <c r="I36" i="61" s="1"/>
  <c r="J36" i="61"/>
  <c r="M36" i="61" s="1"/>
  <c r="G37" i="61"/>
  <c r="I37" i="61" s="1"/>
  <c r="J37" i="61"/>
  <c r="M37" i="61" s="1"/>
  <c r="G38" i="61"/>
  <c r="I38" i="61" s="1"/>
  <c r="J38" i="61"/>
  <c r="M38" i="61" s="1"/>
  <c r="G40" i="61"/>
  <c r="I40" i="61" s="1"/>
  <c r="G42" i="61"/>
  <c r="I42" i="61" s="1"/>
  <c r="G44" i="61"/>
  <c r="I44" i="61" s="1"/>
  <c r="J44" i="61"/>
  <c r="M44" i="61" s="1"/>
  <c r="G45" i="61"/>
  <c r="J45" i="61"/>
  <c r="M45" i="61" s="1"/>
  <c r="J48" i="61"/>
  <c r="M48" i="61" s="1"/>
  <c r="G49" i="61"/>
  <c r="I49" i="61" s="1"/>
  <c r="J49" i="61"/>
  <c r="M49" i="61" s="1"/>
  <c r="G50" i="61"/>
  <c r="I50" i="61" s="1"/>
  <c r="J50" i="61"/>
  <c r="M50" i="61" s="1"/>
  <c r="G51" i="61"/>
  <c r="I51" i="61" s="1"/>
  <c r="J51" i="61"/>
  <c r="M51" i="61" s="1"/>
  <c r="G52" i="61"/>
  <c r="I52" i="61" s="1"/>
  <c r="J52" i="61"/>
  <c r="M52" i="61" s="1"/>
  <c r="G53" i="61"/>
  <c r="I53" i="61" s="1"/>
  <c r="J53" i="61"/>
  <c r="M53" i="61" s="1"/>
  <c r="G54" i="61"/>
  <c r="I54" i="61" s="1"/>
  <c r="H118" i="61"/>
  <c r="J70" i="61"/>
  <c r="M70" i="61" s="1"/>
  <c r="J71" i="61"/>
  <c r="M71" i="61" s="1"/>
  <c r="G72" i="61"/>
  <c r="I72" i="61" s="1"/>
  <c r="J72" i="61"/>
  <c r="M72" i="61" s="1"/>
  <c r="G73" i="61"/>
  <c r="I73" i="61" s="1"/>
  <c r="J73" i="61"/>
  <c r="M73" i="61" s="1"/>
  <c r="G74" i="61"/>
  <c r="I74" i="61" s="1"/>
  <c r="N81" i="61"/>
  <c r="J81" i="61"/>
  <c r="M81" i="61" s="1"/>
  <c r="G81" i="61"/>
  <c r="I81" i="61" s="1"/>
  <c r="N83" i="61"/>
  <c r="J83" i="61"/>
  <c r="M83" i="61" s="1"/>
  <c r="G83" i="61"/>
  <c r="I83" i="61" s="1"/>
  <c r="J88" i="61"/>
  <c r="M88" i="61" s="1"/>
  <c r="G88" i="61"/>
  <c r="I88" i="61" s="1"/>
  <c r="N92" i="61"/>
  <c r="J92" i="61"/>
  <c r="M92" i="61" s="1"/>
  <c r="G92" i="61"/>
  <c r="I92" i="61" s="1"/>
  <c r="N94" i="61"/>
  <c r="J94" i="61"/>
  <c r="M94" i="61" s="1"/>
  <c r="G94" i="61"/>
  <c r="I94" i="61" s="1"/>
  <c r="N96" i="61"/>
  <c r="J96" i="61"/>
  <c r="M96" i="61" s="1"/>
  <c r="G96" i="61"/>
  <c r="I96" i="61" s="1"/>
  <c r="N101" i="61"/>
  <c r="J127" i="61"/>
  <c r="M127" i="61" s="1"/>
  <c r="N127" i="61"/>
  <c r="N135" i="61"/>
  <c r="J135" i="61"/>
  <c r="M135" i="61" s="1"/>
  <c r="G135" i="61"/>
  <c r="I135" i="61" s="1"/>
  <c r="N137" i="61"/>
  <c r="J137" i="61"/>
  <c r="M137" i="61" s="1"/>
  <c r="G137" i="61"/>
  <c r="I137" i="61" s="1"/>
  <c r="N139" i="61"/>
  <c r="J139" i="61"/>
  <c r="M139" i="61" s="1"/>
  <c r="G139" i="61"/>
  <c r="I139" i="61" s="1"/>
  <c r="J156" i="61"/>
  <c r="G156" i="61"/>
  <c r="J160" i="61"/>
  <c r="M160" i="61" s="1"/>
  <c r="G160" i="61"/>
  <c r="I160" i="61" s="1"/>
  <c r="J163" i="61"/>
  <c r="M163" i="61" s="1"/>
  <c r="G163" i="61"/>
  <c r="I163" i="61" s="1"/>
  <c r="J167" i="61"/>
  <c r="M167" i="61" s="1"/>
  <c r="G167" i="61"/>
  <c r="I167" i="61" s="1"/>
  <c r="J181" i="61"/>
  <c r="M181" i="61" s="1"/>
  <c r="G98" i="61"/>
  <c r="I98" i="61" s="1"/>
  <c r="J98" i="61"/>
  <c r="M98" i="61" s="1"/>
  <c r="G99" i="61"/>
  <c r="I99" i="61" s="1"/>
  <c r="J99" i="61"/>
  <c r="M99" i="61" s="1"/>
  <c r="G100" i="61"/>
  <c r="I100" i="61" s="1"/>
  <c r="J100" i="61"/>
  <c r="M100" i="61" s="1"/>
  <c r="G101" i="61"/>
  <c r="I101" i="61" s="1"/>
  <c r="H121" i="61"/>
  <c r="I121" i="61" s="1"/>
  <c r="J121" i="61"/>
  <c r="G122" i="61"/>
  <c r="I122" i="61" s="1"/>
  <c r="J122" i="61"/>
  <c r="M122" i="61" s="1"/>
  <c r="G123" i="61"/>
  <c r="I123" i="61" s="1"/>
  <c r="J123" i="61"/>
  <c r="M123" i="61" s="1"/>
  <c r="G124" i="61"/>
  <c r="I124" i="61" s="1"/>
  <c r="J124" i="61"/>
  <c r="M124" i="61" s="1"/>
  <c r="G125" i="61"/>
  <c r="I125" i="61" s="1"/>
  <c r="J125" i="61"/>
  <c r="M125" i="61" s="1"/>
  <c r="G126" i="61"/>
  <c r="I126" i="61" s="1"/>
  <c r="J126" i="61"/>
  <c r="M126" i="61" s="1"/>
  <c r="N134" i="61"/>
  <c r="J134" i="61"/>
  <c r="M134" i="61" s="1"/>
  <c r="G134" i="61"/>
  <c r="I134" i="61" s="1"/>
  <c r="N136" i="61"/>
  <c r="J136" i="61"/>
  <c r="M136" i="61" s="1"/>
  <c r="G136" i="61"/>
  <c r="I136" i="61" s="1"/>
  <c r="N138" i="61"/>
  <c r="J138" i="61"/>
  <c r="M138" i="61" s="1"/>
  <c r="G138" i="61"/>
  <c r="I138" i="61" s="1"/>
  <c r="N156" i="61"/>
  <c r="J158" i="61"/>
  <c r="M158" i="61" s="1"/>
  <c r="G158" i="61"/>
  <c r="I158" i="61" s="1"/>
  <c r="N160" i="61"/>
  <c r="N162" i="61"/>
  <c r="J162" i="61"/>
  <c r="M162" i="61" s="1"/>
  <c r="G162" i="61"/>
  <c r="I162" i="61" s="1"/>
  <c r="N163" i="61"/>
  <c r="J165" i="61"/>
  <c r="M165" i="61" s="1"/>
  <c r="G165" i="61"/>
  <c r="I165" i="61" s="1"/>
  <c r="N167" i="61"/>
  <c r="J169" i="61"/>
  <c r="M169" i="61" s="1"/>
  <c r="G169" i="61"/>
  <c r="I169" i="61" s="1"/>
  <c r="J178" i="61"/>
  <c r="M178" i="61" s="1"/>
  <c r="G178" i="61"/>
  <c r="N181" i="61"/>
  <c r="J182" i="61"/>
  <c r="M182" i="61" s="1"/>
  <c r="M121" i="61"/>
  <c r="I156" i="61"/>
  <c r="M156" i="61"/>
  <c r="F47" i="11"/>
  <c r="E47" i="11" s="1"/>
  <c r="E40" i="12" s="1"/>
  <c r="F61" i="11"/>
  <c r="E61" i="11" s="1"/>
  <c r="F39" i="12"/>
  <c r="F41" i="12"/>
  <c r="F40" i="12"/>
  <c r="A9" i="2"/>
  <c r="A10" i="2" s="1"/>
  <c r="A11" i="2" s="1"/>
  <c r="H55" i="8"/>
  <c r="A28" i="11"/>
  <c r="A29" i="11" s="1"/>
  <c r="A30" i="11" s="1"/>
  <c r="A31" i="11" s="1"/>
  <c r="A32" i="11" s="1"/>
  <c r="A33" i="11" s="1"/>
  <c r="A34" i="11" s="1"/>
  <c r="A35" i="11" s="1"/>
  <c r="A36" i="11" s="1"/>
  <c r="A37" i="11" s="1"/>
  <c r="E28" i="56"/>
  <c r="G20" i="2" s="1"/>
  <c r="F24" i="65"/>
  <c r="H24" i="65" s="1"/>
  <c r="D117" i="65"/>
  <c r="F117" i="65"/>
  <c r="H117" i="65"/>
  <c r="I108" i="65"/>
  <c r="I112" i="65"/>
  <c r="I116" i="65"/>
  <c r="K65" i="65"/>
  <c r="E71" i="65" s="1"/>
  <c r="E72" i="65" s="1"/>
  <c r="A25" i="65"/>
  <c r="A26" i="65"/>
  <c r="A27" i="65" s="1"/>
  <c r="A28" i="65" s="1"/>
  <c r="A29" i="65" s="1"/>
  <c r="A30" i="65" s="1"/>
  <c r="A31" i="65" s="1"/>
  <c r="A32" i="65" s="1"/>
  <c r="A33" i="65" s="1"/>
  <c r="A34" i="65" s="1"/>
  <c r="A35" i="65" s="1"/>
  <c r="A36" i="65" s="1"/>
  <c r="A37" i="65" s="1"/>
  <c r="A38" i="65" s="1"/>
  <c r="A39" i="65" s="1"/>
  <c r="A40" i="65" s="1"/>
  <c r="A41" i="65" s="1"/>
  <c r="A42" i="65" s="1"/>
  <c r="A43" i="65" s="1"/>
  <c r="A44" i="65" s="1"/>
  <c r="C17" i="56"/>
  <c r="C28" i="56" s="1"/>
  <c r="F28" i="56" s="1"/>
  <c r="F17" i="56"/>
  <c r="F42" i="56"/>
  <c r="G21" i="2"/>
  <c r="L190" i="61"/>
  <c r="E193" i="61" s="1"/>
  <c r="E194" i="61" s="1"/>
  <c r="E203" i="61" s="1"/>
  <c r="J90" i="61"/>
  <c r="M90" i="61" s="1"/>
  <c r="N31" i="61"/>
  <c r="N41" i="61"/>
  <c r="N71" i="61"/>
  <c r="G114" i="61"/>
  <c r="I114" i="61" s="1"/>
  <c r="N179" i="61"/>
  <c r="I182" i="61"/>
  <c r="H127" i="61"/>
  <c r="I127" i="61" s="1"/>
  <c r="N5" i="61"/>
  <c r="N6" i="61"/>
  <c r="N13" i="61"/>
  <c r="N14" i="61"/>
  <c r="N62" i="61"/>
  <c r="N63" i="61"/>
  <c r="N161" i="61"/>
  <c r="N164" i="61"/>
  <c r="N170" i="61"/>
  <c r="N182" i="61"/>
  <c r="N75" i="61"/>
  <c r="N76" i="61"/>
  <c r="N77" i="61"/>
  <c r="N80" i="61"/>
  <c r="G108" i="61"/>
  <c r="I108" i="61" s="1"/>
  <c r="G112" i="61"/>
  <c r="I112" i="61" s="1"/>
  <c r="J4" i="61"/>
  <c r="N4" i="61"/>
  <c r="N12" i="61"/>
  <c r="J19" i="61"/>
  <c r="M19" i="61" s="1"/>
  <c r="G43" i="61"/>
  <c r="I43" i="61" s="1"/>
  <c r="J43" i="61"/>
  <c r="M43" i="61" s="1"/>
  <c r="N47" i="61"/>
  <c r="J56" i="61"/>
  <c r="M56" i="61" s="1"/>
  <c r="G5" i="61"/>
  <c r="I5" i="61" s="1"/>
  <c r="G12" i="61"/>
  <c r="G13" i="61"/>
  <c r="I13" i="61" s="1"/>
  <c r="G14" i="61"/>
  <c r="I14" i="61" s="1"/>
  <c r="G15" i="61"/>
  <c r="I15" i="61" s="1"/>
  <c r="G16" i="61"/>
  <c r="I16" i="61" s="1"/>
  <c r="G17" i="61"/>
  <c r="I17" i="61" s="1"/>
  <c r="G18" i="61"/>
  <c r="I18" i="61" s="1"/>
  <c r="N19" i="61"/>
  <c r="G41" i="61"/>
  <c r="J55" i="61"/>
  <c r="M55" i="61" s="1"/>
  <c r="G56" i="61"/>
  <c r="I56" i="61" s="1"/>
  <c r="G62" i="61"/>
  <c r="I62" i="61" s="1"/>
  <c r="G63" i="61"/>
  <c r="I63" i="61" s="1"/>
  <c r="G64" i="61"/>
  <c r="I64" i="61" s="1"/>
  <c r="G65" i="61"/>
  <c r="I65" i="61" s="1"/>
  <c r="G66" i="61"/>
  <c r="I66" i="61" s="1"/>
  <c r="G67" i="61"/>
  <c r="I67" i="61" s="1"/>
  <c r="G68" i="61"/>
  <c r="I68" i="61" s="1"/>
  <c r="N70" i="61"/>
  <c r="G75" i="61"/>
  <c r="I75" i="61" s="1"/>
  <c r="G76" i="61"/>
  <c r="I76" i="61" s="1"/>
  <c r="G77" i="61"/>
  <c r="I77" i="61" s="1"/>
  <c r="N78" i="61"/>
  <c r="G80" i="61"/>
  <c r="I80" i="61" s="1"/>
  <c r="G85" i="61"/>
  <c r="I85" i="61" s="1"/>
  <c r="G86" i="61"/>
  <c r="I86" i="61" s="1"/>
  <c r="N87" i="61"/>
  <c r="N89" i="61"/>
  <c r="N91" i="61"/>
  <c r="N102" i="61"/>
  <c r="N103" i="61"/>
  <c r="N104" i="61"/>
  <c r="N105" i="61"/>
  <c r="N106" i="61"/>
  <c r="J108" i="61"/>
  <c r="M108" i="61" s="1"/>
  <c r="G109" i="61"/>
  <c r="I109" i="61" s="1"/>
  <c r="J110" i="61"/>
  <c r="M110" i="61" s="1"/>
  <c r="G111" i="61"/>
  <c r="I111" i="61" s="1"/>
  <c r="J112" i="61"/>
  <c r="M112" i="61" s="1"/>
  <c r="G113" i="61"/>
  <c r="I113" i="61" s="1"/>
  <c r="J114" i="61"/>
  <c r="M114" i="61" s="1"/>
  <c r="G115" i="61"/>
  <c r="I115" i="61" s="1"/>
  <c r="G78" i="61"/>
  <c r="I78" i="61" s="1"/>
  <c r="G87" i="61"/>
  <c r="I87" i="61" s="1"/>
  <c r="G89" i="61"/>
  <c r="I89" i="61" s="1"/>
  <c r="G91" i="61"/>
  <c r="I91" i="61" s="1"/>
  <c r="G102" i="61"/>
  <c r="I102" i="61" s="1"/>
  <c r="G103" i="61"/>
  <c r="I103" i="61" s="1"/>
  <c r="G104" i="61"/>
  <c r="I104" i="61" s="1"/>
  <c r="G105" i="61"/>
  <c r="I105" i="61" s="1"/>
  <c r="G106" i="61"/>
  <c r="I106" i="61" s="1"/>
  <c r="G107" i="61"/>
  <c r="I107" i="61" s="1"/>
  <c r="J107" i="61"/>
  <c r="M107" i="61" s="1"/>
  <c r="J109" i="61"/>
  <c r="M109" i="61" s="1"/>
  <c r="J111" i="61"/>
  <c r="M111" i="61" s="1"/>
  <c r="J113" i="61"/>
  <c r="M113" i="61" s="1"/>
  <c r="J115" i="61"/>
  <c r="M115" i="61" s="1"/>
  <c r="G128" i="61"/>
  <c r="J128" i="61"/>
  <c r="G129" i="61"/>
  <c r="I129" i="61" s="1"/>
  <c r="J129" i="61"/>
  <c r="M129" i="61" s="1"/>
  <c r="G130" i="61"/>
  <c r="I130" i="61" s="1"/>
  <c r="J130" i="61"/>
  <c r="M130" i="61" s="1"/>
  <c r="G131" i="61"/>
  <c r="I131" i="61" s="1"/>
  <c r="J131" i="61"/>
  <c r="M131" i="61" s="1"/>
  <c r="G132" i="61"/>
  <c r="I132" i="61" s="1"/>
  <c r="J132" i="61"/>
  <c r="M132" i="61" s="1"/>
  <c r="G133" i="61"/>
  <c r="I133" i="61" s="1"/>
  <c r="J133" i="61"/>
  <c r="M133" i="61" s="1"/>
  <c r="G157" i="61"/>
  <c r="I157" i="61" s="1"/>
  <c r="J157" i="61"/>
  <c r="M157" i="61" s="1"/>
  <c r="G159" i="61"/>
  <c r="I159" i="61" s="1"/>
  <c r="J159" i="61"/>
  <c r="M159" i="61" s="1"/>
  <c r="G168" i="61"/>
  <c r="I168" i="61" s="1"/>
  <c r="J168" i="61"/>
  <c r="M168" i="61" s="1"/>
  <c r="N121" i="61"/>
  <c r="N142" i="61" s="1"/>
  <c r="G161" i="61"/>
  <c r="I161" i="61" s="1"/>
  <c r="G164" i="61"/>
  <c r="I164" i="61" s="1"/>
  <c r="G166" i="61"/>
  <c r="I166" i="61" s="1"/>
  <c r="G170" i="61"/>
  <c r="I170" i="61" s="1"/>
  <c r="G179" i="61"/>
  <c r="I179" i="61" s="1"/>
  <c r="I128" i="61"/>
  <c r="I41" i="61"/>
  <c r="G23" i="61"/>
  <c r="I12" i="61"/>
  <c r="I23" i="61" s="1"/>
  <c r="M4" i="61"/>
  <c r="M128" i="61"/>
  <c r="H35" i="65"/>
  <c r="J24" i="65"/>
  <c r="I117" i="65"/>
  <c r="K24" i="65"/>
  <c r="E26" i="57"/>
  <c r="D99" i="46"/>
  <c r="D101" i="46"/>
  <c r="H101" i="46" s="1"/>
  <c r="D102" i="46"/>
  <c r="H102" i="46" s="1"/>
  <c r="D103" i="46"/>
  <c r="H103" i="46" s="1"/>
  <c r="D104" i="46"/>
  <c r="H104" i="46" s="1"/>
  <c r="D105" i="46"/>
  <c r="H105" i="46" s="1"/>
  <c r="D106" i="46"/>
  <c r="H106" i="46" s="1"/>
  <c r="D107" i="46"/>
  <c r="H107" i="46" s="1"/>
  <c r="D108" i="46"/>
  <c r="H108" i="46" s="1"/>
  <c r="D109" i="46"/>
  <c r="H109" i="46" s="1"/>
  <c r="J23" i="46"/>
  <c r="C109" i="46" s="1"/>
  <c r="D111" i="46"/>
  <c r="D113" i="46"/>
  <c r="H113" i="46" s="1"/>
  <c r="D114" i="46"/>
  <c r="D117" i="46"/>
  <c r="H117" i="46" s="1"/>
  <c r="C62" i="46"/>
  <c r="E158" i="46"/>
  <c r="J72" i="46"/>
  <c r="C158" i="46" s="1"/>
  <c r="E159" i="46"/>
  <c r="J73" i="46"/>
  <c r="C159" i="46" s="1"/>
  <c r="E160" i="46"/>
  <c r="J74" i="46"/>
  <c r="C160" i="46" s="1"/>
  <c r="E161" i="46"/>
  <c r="I161" i="46" s="1"/>
  <c r="J75" i="46"/>
  <c r="C161" i="46" s="1"/>
  <c r="E162" i="46"/>
  <c r="I162" i="46" s="1"/>
  <c r="J76" i="46"/>
  <c r="C162" i="46" s="1"/>
  <c r="E163" i="46"/>
  <c r="J77" i="46"/>
  <c r="C163" i="46" s="1"/>
  <c r="L11" i="46"/>
  <c r="E97" i="46" s="1"/>
  <c r="D119" i="46"/>
  <c r="H119" i="46" s="1"/>
  <c r="J33" i="46"/>
  <c r="C119" i="46" s="1"/>
  <c r="D121" i="46"/>
  <c r="H121" i="46" s="1"/>
  <c r="J35" i="46"/>
  <c r="C121" i="46" s="1"/>
  <c r="D123" i="46"/>
  <c r="J37" i="46"/>
  <c r="C123" i="46" s="1"/>
  <c r="D125" i="46"/>
  <c r="J39" i="46"/>
  <c r="C125" i="46" s="1"/>
  <c r="D127" i="46"/>
  <c r="J41" i="46"/>
  <c r="C127" i="46" s="1"/>
  <c r="J43" i="46"/>
  <c r="C129" i="46" s="1"/>
  <c r="D131" i="46"/>
  <c r="J45" i="46"/>
  <c r="C131" i="46" s="1"/>
  <c r="J47" i="46"/>
  <c r="C133" i="46" s="1"/>
  <c r="D135" i="46"/>
  <c r="J49" i="46"/>
  <c r="C135" i="46" s="1"/>
  <c r="J51" i="46"/>
  <c r="C137" i="46" s="1"/>
  <c r="D139" i="46"/>
  <c r="H139" i="46" s="1"/>
  <c r="J53" i="46"/>
  <c r="C139" i="46" s="1"/>
  <c r="D142" i="46"/>
  <c r="J56" i="46"/>
  <c r="C142" i="46" s="1"/>
  <c r="D144" i="46"/>
  <c r="J58" i="46"/>
  <c r="C144" i="46" s="1"/>
  <c r="I83" i="46"/>
  <c r="K11" i="46"/>
  <c r="K34" i="46"/>
  <c r="D120" i="46" s="1"/>
  <c r="K36" i="46"/>
  <c r="D122" i="46" s="1"/>
  <c r="K38" i="46"/>
  <c r="J38" i="46" s="1"/>
  <c r="C124" i="46" s="1"/>
  <c r="K40" i="46"/>
  <c r="J40" i="46" s="1"/>
  <c r="C126" i="46" s="1"/>
  <c r="K42" i="46"/>
  <c r="D128" i="46" s="1"/>
  <c r="K44" i="46"/>
  <c r="J44" i="46" s="1"/>
  <c r="C130" i="46" s="1"/>
  <c r="K46" i="46"/>
  <c r="J46" i="46" s="1"/>
  <c r="C132" i="46" s="1"/>
  <c r="K48" i="46"/>
  <c r="D134" i="46" s="1"/>
  <c r="H134" i="46" s="1"/>
  <c r="K50" i="46"/>
  <c r="D136" i="46" s="1"/>
  <c r="H136" i="46" s="1"/>
  <c r="K52" i="46"/>
  <c r="D138" i="46" s="1"/>
  <c r="H138" i="46" s="1"/>
  <c r="K54" i="46"/>
  <c r="J54" i="46" s="1"/>
  <c r="C140" i="46" s="1"/>
  <c r="K57" i="46"/>
  <c r="J57" i="46" s="1"/>
  <c r="C143" i="46" s="1"/>
  <c r="K59" i="46"/>
  <c r="D145" i="46" s="1"/>
  <c r="D157" i="46"/>
  <c r="L71" i="46"/>
  <c r="L81" i="46" s="1"/>
  <c r="D164" i="46"/>
  <c r="J78" i="46"/>
  <c r="C164" i="46" s="1"/>
  <c r="E83" i="46"/>
  <c r="J36" i="46"/>
  <c r="C122" i="46" s="1"/>
  <c r="G113" i="46"/>
  <c r="D140" i="46"/>
  <c r="L62" i="46"/>
  <c r="H64" i="44"/>
  <c r="A10" i="1"/>
  <c r="A11" i="1" s="1"/>
  <c r="A12" i="1" s="1"/>
  <c r="A15" i="1" s="1"/>
  <c r="A16" i="1" s="1"/>
  <c r="A17" i="1" s="1"/>
  <c r="H14" i="8" s="1"/>
  <c r="G142" i="61"/>
  <c r="J65" i="61"/>
  <c r="M65" i="61" s="1"/>
  <c r="J67" i="61"/>
  <c r="M67" i="61" s="1"/>
  <c r="N9" i="61"/>
  <c r="H142" i="61"/>
  <c r="N45" i="61"/>
  <c r="N48" i="61"/>
  <c r="N55" i="61"/>
  <c r="J86" i="61"/>
  <c r="M86" i="61" s="1"/>
  <c r="N166" i="61"/>
  <c r="N173" i="61" s="1"/>
  <c r="M40" i="61"/>
  <c r="J64" i="61"/>
  <c r="M64" i="61" s="1"/>
  <c r="J66" i="61"/>
  <c r="M66" i="61" s="1"/>
  <c r="J68" i="61"/>
  <c r="M68" i="61" s="1"/>
  <c r="J85" i="61"/>
  <c r="M85" i="61" s="1"/>
  <c r="J6" i="61"/>
  <c r="M6" i="61" s="1"/>
  <c r="M9" i="61" s="1"/>
  <c r="G6" i="61"/>
  <c r="I6" i="61" s="1"/>
  <c r="G173" i="61"/>
  <c r="N15" i="61"/>
  <c r="J15" i="61"/>
  <c r="M15" i="61" s="1"/>
  <c r="N16" i="61"/>
  <c r="J16" i="61"/>
  <c r="M16" i="61" s="1"/>
  <c r="N17" i="61"/>
  <c r="J17" i="61"/>
  <c r="M17" i="61" s="1"/>
  <c r="N18" i="61"/>
  <c r="J18" i="61"/>
  <c r="M18" i="61" s="1"/>
  <c r="J27" i="61"/>
  <c r="J31" i="61" s="1"/>
  <c r="G27" i="61"/>
  <c r="G31" i="61" s="1"/>
  <c r="N84" i="61"/>
  <c r="J84" i="61"/>
  <c r="M84" i="61" s="1"/>
  <c r="G84" i="61"/>
  <c r="I84" i="61" s="1"/>
  <c r="N110" i="61"/>
  <c r="N39" i="61"/>
  <c r="J69" i="61"/>
  <c r="M69" i="61" s="1"/>
  <c r="N69" i="61"/>
  <c r="G39" i="61"/>
  <c r="I39" i="61" s="1"/>
  <c r="J9" i="61"/>
  <c r="M27" i="61"/>
  <c r="M31" i="61" s="1"/>
  <c r="E10" i="2"/>
  <c r="H24" i="8" l="1"/>
  <c r="I28" i="1"/>
  <c r="E48" i="11"/>
  <c r="E20" i="71"/>
  <c r="E24" i="71" s="1"/>
  <c r="A12" i="2"/>
  <c r="A13" i="2" s="1"/>
  <c r="J142" i="61"/>
  <c r="I27" i="61"/>
  <c r="I48" i="61"/>
  <c r="I70" i="61"/>
  <c r="N59" i="61"/>
  <c r="J173" i="61"/>
  <c r="H186" i="61"/>
  <c r="A41" i="8"/>
  <c r="A42" i="8" s="1"/>
  <c r="A43" i="8" s="1"/>
  <c r="A44" i="8" s="1"/>
  <c r="A45" i="8" s="1"/>
  <c r="A48" i="8" s="1"/>
  <c r="H56" i="8"/>
  <c r="J20" i="57"/>
  <c r="D27" i="57" s="1"/>
  <c r="I20" i="57"/>
  <c r="C27" i="57" s="1"/>
  <c r="C28" i="57" s="1"/>
  <c r="C18" i="57"/>
  <c r="D126" i="46"/>
  <c r="M142" i="61"/>
  <c r="G24" i="26"/>
  <c r="A11" i="26"/>
  <c r="A12" i="26" s="1"/>
  <c r="A13" i="26" s="1"/>
  <c r="A14" i="26" s="1"/>
  <c r="A15" i="26" s="1"/>
  <c r="A16" i="26" s="1"/>
  <c r="A17" i="26" s="1"/>
  <c r="A18" i="26" s="1"/>
  <c r="A19" i="26" s="1"/>
  <c r="A20" i="26" s="1"/>
  <c r="E27" i="57"/>
  <c r="D28" i="57"/>
  <c r="M179" i="61"/>
  <c r="J186" i="61"/>
  <c r="G186" i="61"/>
  <c r="J27" i="8"/>
  <c r="G40" i="57"/>
  <c r="B147" i="65"/>
  <c r="G13" i="2"/>
  <c r="G14" i="2" s="1"/>
  <c r="N23" i="61"/>
  <c r="D124" i="46"/>
  <c r="H124" i="46" s="1"/>
  <c r="C113" i="46"/>
  <c r="L24" i="65"/>
  <c r="E198" i="61"/>
  <c r="E199" i="61" s="1"/>
  <c r="I142" i="61"/>
  <c r="I178" i="61"/>
  <c r="I186" i="61" s="1"/>
  <c r="M186" i="61"/>
  <c r="C12" i="57"/>
  <c r="C20" i="57" s="1"/>
  <c r="E18" i="57"/>
  <c r="E20" i="57" s="1"/>
  <c r="C76" i="26"/>
  <c r="M14" i="61"/>
  <c r="M23" i="61" s="1"/>
  <c r="J23" i="61"/>
  <c r="I46" i="61"/>
  <c r="G59" i="61"/>
  <c r="E196" i="61"/>
  <c r="E197" i="61" s="1"/>
  <c r="M39" i="61"/>
  <c r="J59" i="61"/>
  <c r="I4" i="61"/>
  <c r="I9" i="61" s="1"/>
  <c r="G9" i="61"/>
  <c r="M75" i="61"/>
  <c r="M118" i="61" s="1"/>
  <c r="J118" i="61"/>
  <c r="I69" i="61"/>
  <c r="G118" i="61"/>
  <c r="I118" i="61"/>
  <c r="I31" i="61"/>
  <c r="N118" i="61"/>
  <c r="I59" i="61"/>
  <c r="H190" i="61"/>
  <c r="N186" i="61"/>
  <c r="N190" i="61" s="1"/>
  <c r="M59" i="61"/>
  <c r="D111" i="21"/>
  <c r="D123" i="21" s="1"/>
  <c r="D103" i="21"/>
  <c r="D133" i="21" s="1"/>
  <c r="D136" i="21" s="1"/>
  <c r="E37" i="11"/>
  <c r="K28" i="1" s="1"/>
  <c r="F55" i="17"/>
  <c r="F57" i="17" s="1"/>
  <c r="D51" i="17"/>
  <c r="D14" i="17" s="1"/>
  <c r="K101" i="1" s="1"/>
  <c r="K102" i="1" s="1"/>
  <c r="A35" i="63"/>
  <c r="A36" i="63" s="1"/>
  <c r="A37" i="63" s="1"/>
  <c r="A38" i="63" s="1"/>
  <c r="A39" i="63" s="1"/>
  <c r="A40" i="63" s="1"/>
  <c r="A41" i="63" s="1"/>
  <c r="A42" i="63" s="1"/>
  <c r="A43" i="63" s="1"/>
  <c r="A44" i="63" s="1"/>
  <c r="A45" i="63" s="1"/>
  <c r="A46" i="63" s="1"/>
  <c r="A47" i="63" s="1"/>
  <c r="A48" i="63" s="1"/>
  <c r="A49" i="63" s="1"/>
  <c r="A50" i="63" s="1"/>
  <c r="A51" i="63" s="1"/>
  <c r="A56" i="63" s="1"/>
  <c r="A57" i="63" s="1"/>
  <c r="A58" i="63" s="1"/>
  <c r="A59" i="63" s="1"/>
  <c r="A60" i="63" s="1"/>
  <c r="A61" i="63" s="1"/>
  <c r="A62" i="63" s="1"/>
  <c r="E60" i="11"/>
  <c r="E54" i="12" s="1"/>
  <c r="E68" i="12"/>
  <c r="E112" i="21"/>
  <c r="N92" i="21"/>
  <c r="J111" i="21"/>
  <c r="J103" i="21"/>
  <c r="J133" i="21" s="1"/>
  <c r="J136" i="21" s="1"/>
  <c r="E116" i="21"/>
  <c r="N96" i="21"/>
  <c r="E120" i="21"/>
  <c r="N100" i="21"/>
  <c r="H111" i="21"/>
  <c r="H103" i="21"/>
  <c r="H133" i="21" s="1"/>
  <c r="H136" i="21" s="1"/>
  <c r="L111" i="21"/>
  <c r="L103" i="21"/>
  <c r="L133" i="21" s="1"/>
  <c r="L136" i="21" s="1"/>
  <c r="F111" i="21"/>
  <c r="F103" i="21"/>
  <c r="F133" i="21" s="1"/>
  <c r="F136" i="21" s="1"/>
  <c r="E114" i="21"/>
  <c r="N114" i="21" s="1"/>
  <c r="N94" i="21"/>
  <c r="E118" i="21"/>
  <c r="N98" i="21"/>
  <c r="E122" i="21"/>
  <c r="N102" i="21"/>
  <c r="N91" i="21"/>
  <c r="G103" i="21"/>
  <c r="G133" i="21" s="1"/>
  <c r="G136" i="21" s="1"/>
  <c r="G111" i="21"/>
  <c r="I103" i="21"/>
  <c r="I133" i="21" s="1"/>
  <c r="I136" i="21" s="1"/>
  <c r="I111" i="21"/>
  <c r="K103" i="21"/>
  <c r="K133" i="21" s="1"/>
  <c r="K136" i="21" s="1"/>
  <c r="K111" i="21"/>
  <c r="M103" i="21"/>
  <c r="M133" i="21" s="1"/>
  <c r="M136" i="21" s="1"/>
  <c r="M111" i="21"/>
  <c r="D20" i="71"/>
  <c r="D24" i="71" s="1"/>
  <c r="D40" i="7"/>
  <c r="D130" i="46"/>
  <c r="J52" i="46"/>
  <c r="C138" i="46" s="1"/>
  <c r="J13" i="46"/>
  <c r="C99" i="46" s="1"/>
  <c r="J25" i="46"/>
  <c r="C111" i="46" s="1"/>
  <c r="E85" i="11"/>
  <c r="H20" i="26"/>
  <c r="F23" i="26" s="1"/>
  <c r="F25" i="26" s="1"/>
  <c r="H43" i="44"/>
  <c r="A15" i="17"/>
  <c r="A16" i="17" s="1"/>
  <c r="A17" i="17" s="1"/>
  <c r="A18" i="17" s="1"/>
  <c r="A19" i="17" s="1"/>
  <c r="A20" i="17" s="1"/>
  <c r="A21" i="17" s="1"/>
  <c r="A22" i="17" s="1"/>
  <c r="A23" i="17" s="1"/>
  <c r="A24" i="17" s="1"/>
  <c r="J34" i="46"/>
  <c r="C120" i="46" s="1"/>
  <c r="J42" i="46"/>
  <c r="C128" i="46" s="1"/>
  <c r="D143" i="46"/>
  <c r="H143" i="46" s="1"/>
  <c r="G143" i="46" s="1"/>
  <c r="J11" i="46"/>
  <c r="J28" i="46"/>
  <c r="C114" i="46" s="1"/>
  <c r="H122" i="46"/>
  <c r="G122" i="46" s="1"/>
  <c r="H140" i="46"/>
  <c r="G140" i="46" s="1"/>
  <c r="H145" i="46"/>
  <c r="G145" i="46" s="1"/>
  <c r="H123" i="46"/>
  <c r="G123" i="46" s="1"/>
  <c r="H126" i="46"/>
  <c r="G126" i="46" s="1"/>
  <c r="J71" i="46"/>
  <c r="C157" i="46" s="1"/>
  <c r="D97" i="46"/>
  <c r="J48" i="46"/>
  <c r="C134" i="46" s="1"/>
  <c r="H120" i="46"/>
  <c r="G120" i="46" s="1"/>
  <c r="H144" i="46"/>
  <c r="G144" i="46" s="1"/>
  <c r="H142" i="46"/>
  <c r="G142" i="46" s="1"/>
  <c r="H131" i="46"/>
  <c r="G131" i="46" s="1"/>
  <c r="I163" i="46"/>
  <c r="G163" i="46" s="1"/>
  <c r="H111" i="46"/>
  <c r="G111" i="46" s="1"/>
  <c r="H99" i="46"/>
  <c r="D83" i="46"/>
  <c r="C192" i="46" s="1"/>
  <c r="H80" i="46" s="1"/>
  <c r="J31" i="46"/>
  <c r="C117" i="46" s="1"/>
  <c r="G139" i="46"/>
  <c r="J27" i="46"/>
  <c r="G124" i="46"/>
  <c r="J59" i="46"/>
  <c r="C145" i="46" s="1"/>
  <c r="G136" i="46"/>
  <c r="G119" i="46"/>
  <c r="C83" i="46"/>
  <c r="G117" i="46"/>
  <c r="G109" i="46"/>
  <c r="A17" i="7"/>
  <c r="A18" i="7" s="1"/>
  <c r="A19" i="7" s="1"/>
  <c r="A20" i="7" s="1"/>
  <c r="A21" i="7" s="1"/>
  <c r="G20" i="71"/>
  <c r="A20" i="71"/>
  <c r="B191" i="71" s="1"/>
  <c r="E55" i="12"/>
  <c r="E65" i="11"/>
  <c r="E41" i="12"/>
  <c r="E51" i="11"/>
  <c r="E31" i="71"/>
  <c r="D98" i="46"/>
  <c r="J12" i="46"/>
  <c r="C98" i="46" s="1"/>
  <c r="E101" i="46"/>
  <c r="J15" i="46"/>
  <c r="C101" i="46" s="1"/>
  <c r="E102" i="46"/>
  <c r="I102" i="46" s="1"/>
  <c r="J16" i="46"/>
  <c r="C102" i="46" s="1"/>
  <c r="E103" i="46"/>
  <c r="J17" i="46"/>
  <c r="C103" i="46" s="1"/>
  <c r="E104" i="46"/>
  <c r="I104" i="46" s="1"/>
  <c r="G104" i="46" s="1"/>
  <c r="J18" i="46"/>
  <c r="C104" i="46" s="1"/>
  <c r="E105" i="46"/>
  <c r="J19" i="46"/>
  <c r="C105" i="46" s="1"/>
  <c r="E106" i="46"/>
  <c r="I106" i="46" s="1"/>
  <c r="G106" i="46" s="1"/>
  <c r="J20" i="46"/>
  <c r="C106" i="46" s="1"/>
  <c r="E107" i="46"/>
  <c r="J21" i="46"/>
  <c r="C107" i="46" s="1"/>
  <c r="D112" i="46"/>
  <c r="J26" i="46"/>
  <c r="C112" i="46" s="1"/>
  <c r="D116" i="46"/>
  <c r="J30" i="46"/>
  <c r="C116" i="46" s="1"/>
  <c r="G133" i="46"/>
  <c r="G134" i="46"/>
  <c r="L83" i="46"/>
  <c r="G161" i="46"/>
  <c r="G102" i="46"/>
  <c r="D100" i="46"/>
  <c r="J14" i="46"/>
  <c r="C100" i="46" s="1"/>
  <c r="E108" i="46"/>
  <c r="J22" i="46"/>
  <c r="C108" i="46" s="1"/>
  <c r="D110" i="46"/>
  <c r="J24" i="46"/>
  <c r="C110" i="46" s="1"/>
  <c r="D118" i="46"/>
  <c r="J32" i="46"/>
  <c r="C118" i="46" s="1"/>
  <c r="G137" i="46"/>
  <c r="G138" i="46"/>
  <c r="G121" i="46"/>
  <c r="G162" i="46"/>
  <c r="I18" i="1"/>
  <c r="A18" i="1"/>
  <c r="G77" i="44"/>
  <c r="A31" i="44"/>
  <c r="C97" i="46"/>
  <c r="I173" i="61"/>
  <c r="B8" i="65"/>
  <c r="A45" i="65"/>
  <c r="A46" i="65" s="1"/>
  <c r="A47" i="65" s="1"/>
  <c r="A48" i="65" s="1"/>
  <c r="A49" i="65" s="1"/>
  <c r="A50" i="65" s="1"/>
  <c r="A51" i="65" s="1"/>
  <c r="A52" i="65" s="1"/>
  <c r="A53" i="65" s="1"/>
  <c r="A54" i="65" s="1"/>
  <c r="A55" i="65" s="1"/>
  <c r="A56" i="65" s="1"/>
  <c r="A57" i="65" s="1"/>
  <c r="A58" i="65" s="1"/>
  <c r="A59" i="65" s="1"/>
  <c r="A60" i="65" s="1"/>
  <c r="A61" i="65" s="1"/>
  <c r="A62" i="65" s="1"/>
  <c r="A63" i="65" s="1"/>
  <c r="A64" i="65" s="1"/>
  <c r="B130" i="65" s="1"/>
  <c r="A71" i="46"/>
  <c r="A72" i="46" s="1"/>
  <c r="A73" i="46" s="1"/>
  <c r="A74" i="46" s="1"/>
  <c r="A75" i="46" s="1"/>
  <c r="A76" i="46" s="1"/>
  <c r="A77" i="46" s="1"/>
  <c r="A78" i="46" s="1"/>
  <c r="A79" i="46" s="1"/>
  <c r="A80" i="46" s="1"/>
  <c r="A81" i="46" s="1"/>
  <c r="E85" i="46"/>
  <c r="J25" i="65"/>
  <c r="K25" i="65" s="1"/>
  <c r="M173" i="61"/>
  <c r="A46" i="11"/>
  <c r="H39" i="12" s="1"/>
  <c r="A49" i="8"/>
  <c r="A50" i="8" s="1"/>
  <c r="A51" i="8" s="1"/>
  <c r="A52" i="8" s="1"/>
  <c r="A53" i="8" s="1"/>
  <c r="A54" i="8" s="1"/>
  <c r="A12" i="8"/>
  <c r="A11" i="56"/>
  <c r="A12" i="56" s="1"/>
  <c r="D132" i="46"/>
  <c r="J50" i="46"/>
  <c r="C136" i="46" s="1"/>
  <c r="E157" i="46"/>
  <c r="E141" i="71"/>
  <c r="B5" i="65"/>
  <c r="A22" i="7"/>
  <c r="A23" i="7" s="1"/>
  <c r="A24" i="7" s="1"/>
  <c r="A25" i="7" s="1"/>
  <c r="E140" i="71"/>
  <c r="E68" i="8"/>
  <c r="A23" i="22"/>
  <c r="A16" i="32"/>
  <c r="A20" i="32" s="1"/>
  <c r="A27" i="12"/>
  <c r="D47" i="71"/>
  <c r="E47" i="71"/>
  <c r="E54" i="71"/>
  <c r="D54" i="71"/>
  <c r="A6" i="31"/>
  <c r="A7" i="31" s="1"/>
  <c r="A8" i="31" s="1"/>
  <c r="B39" i="31" s="1"/>
  <c r="A23" i="26" l="1"/>
  <c r="G23" i="26"/>
  <c r="D31" i="71"/>
  <c r="G99" i="46"/>
  <c r="F112" i="71"/>
  <c r="G41" i="44"/>
  <c r="E25" i="7"/>
  <c r="E13" i="2"/>
  <c r="E14" i="2"/>
  <c r="A14" i="2"/>
  <c r="E200" i="61"/>
  <c r="E202" i="61" s="1"/>
  <c r="E206" i="61" s="1"/>
  <c r="K130" i="1" s="1"/>
  <c r="J54" i="8" s="1"/>
  <c r="E28" i="57"/>
  <c r="E33" i="57" s="1"/>
  <c r="E40" i="57" s="1"/>
  <c r="I190" i="61"/>
  <c r="E148" i="46"/>
  <c r="J190" i="61"/>
  <c r="M190" i="61"/>
  <c r="G190" i="61"/>
  <c r="D33" i="71"/>
  <c r="E33" i="71"/>
  <c r="D23" i="7"/>
  <c r="E42" i="57"/>
  <c r="E43" i="57" s="1"/>
  <c r="E113" i="21"/>
  <c r="N93" i="21"/>
  <c r="F123" i="21"/>
  <c r="F147" i="21" s="1"/>
  <c r="H123" i="21"/>
  <c r="H144" i="21" s="1"/>
  <c r="J123" i="21"/>
  <c r="J150" i="21" s="1"/>
  <c r="M123" i="21"/>
  <c r="M155" i="21" s="1"/>
  <c r="K123" i="21"/>
  <c r="K149" i="21" s="1"/>
  <c r="I123" i="21"/>
  <c r="I155" i="21" s="1"/>
  <c r="G123" i="21"/>
  <c r="G152" i="21" s="1"/>
  <c r="N111" i="21"/>
  <c r="N122" i="21"/>
  <c r="N118" i="21"/>
  <c r="L123" i="21"/>
  <c r="L146" i="21" s="1"/>
  <c r="N120" i="21"/>
  <c r="N116" i="21"/>
  <c r="N112" i="21"/>
  <c r="H56" i="44"/>
  <c r="H57" i="44" s="1"/>
  <c r="G16" i="12"/>
  <c r="J57" i="8"/>
  <c r="J43" i="8"/>
  <c r="C191" i="46"/>
  <c r="H61" i="46" s="1"/>
  <c r="K61" i="46" s="1"/>
  <c r="K80" i="46"/>
  <c r="H81" i="46"/>
  <c r="G80" i="46"/>
  <c r="G81" i="46" s="1"/>
  <c r="H116" i="46"/>
  <c r="G116" i="46" s="1"/>
  <c r="H112" i="46"/>
  <c r="G112" i="46" s="1"/>
  <c r="I107" i="46"/>
  <c r="G107" i="46" s="1"/>
  <c r="I105" i="46"/>
  <c r="G105" i="46" s="1"/>
  <c r="I103" i="46"/>
  <c r="G103" i="46" s="1"/>
  <c r="I101" i="46"/>
  <c r="G101" i="46" s="1"/>
  <c r="H98" i="46"/>
  <c r="G98" i="46" s="1"/>
  <c r="H132" i="46"/>
  <c r="H118" i="46"/>
  <c r="G118" i="46" s="1"/>
  <c r="H110" i="46"/>
  <c r="G110" i="46" s="1"/>
  <c r="I108" i="46"/>
  <c r="G108" i="46" s="1"/>
  <c r="H100" i="46"/>
  <c r="G100" i="46" s="1"/>
  <c r="G37" i="11"/>
  <c r="F20" i="71"/>
  <c r="E111" i="71" s="1"/>
  <c r="A24" i="71"/>
  <c r="F111" i="71"/>
  <c r="F31" i="71"/>
  <c r="F24" i="71"/>
  <c r="A9" i="31"/>
  <c r="H22" i="31"/>
  <c r="A28" i="12"/>
  <c r="A29" i="12" s="1"/>
  <c r="A39" i="12" s="1"/>
  <c r="A40" i="12" s="1"/>
  <c r="A41" i="12" s="1"/>
  <c r="A42" i="12" s="1"/>
  <c r="A43" i="12" s="1"/>
  <c r="A44" i="12" s="1"/>
  <c r="E83" i="7"/>
  <c r="E47" i="7"/>
  <c r="A26" i="7"/>
  <c r="A27" i="7" s="1"/>
  <c r="A28" i="7" s="1"/>
  <c r="A29" i="7" s="1"/>
  <c r="A30" i="7" s="1"/>
  <c r="A31" i="7" s="1"/>
  <c r="A32" i="7" s="1"/>
  <c r="A33" i="7" s="1"/>
  <c r="A34" i="7" s="1"/>
  <c r="A35" i="7" s="1"/>
  <c r="A36" i="7" s="1"/>
  <c r="A25" i="17"/>
  <c r="E167" i="46"/>
  <c r="E170" i="46" s="1"/>
  <c r="D12" i="56"/>
  <c r="A55" i="8"/>
  <c r="A56" i="8" s="1"/>
  <c r="A57" i="8" s="1"/>
  <c r="A58" i="8" s="1"/>
  <c r="A82" i="46"/>
  <c r="A83" i="46" s="1"/>
  <c r="D191" i="46" s="1"/>
  <c r="E86" i="46"/>
  <c r="F37" i="11"/>
  <c r="J24" i="8" s="1"/>
  <c r="F91" i="12" s="1"/>
  <c r="A21" i="32"/>
  <c r="A22" i="32" s="1"/>
  <c r="A28" i="32" s="1"/>
  <c r="A24" i="22"/>
  <c r="G27" i="22" s="1"/>
  <c r="A13" i="56"/>
  <c r="A14" i="56" s="1"/>
  <c r="A15" i="56" s="1"/>
  <c r="A16" i="56" s="1"/>
  <c r="A17" i="56" s="1"/>
  <c r="A13" i="8"/>
  <c r="A14" i="8" s="1"/>
  <c r="A15" i="8" s="1"/>
  <c r="A47" i="11"/>
  <c r="H40" i="12" s="1"/>
  <c r="L25" i="65"/>
  <c r="B9" i="65"/>
  <c r="A65" i="65"/>
  <c r="A66" i="65" s="1"/>
  <c r="A67" i="65" s="1"/>
  <c r="A32" i="44"/>
  <c r="G55" i="44"/>
  <c r="A24" i="26"/>
  <c r="A25" i="26" s="1"/>
  <c r="A21" i="1"/>
  <c r="M147" i="21" l="1"/>
  <c r="I151" i="21"/>
  <c r="F150" i="21"/>
  <c r="F145" i="21"/>
  <c r="K154" i="21"/>
  <c r="F151" i="21"/>
  <c r="G146" i="21"/>
  <c r="J152" i="21"/>
  <c r="J154" i="21"/>
  <c r="G149" i="21"/>
  <c r="H154" i="21"/>
  <c r="A68" i="65"/>
  <c r="A69" i="65" s="1"/>
  <c r="A70" i="65" s="1"/>
  <c r="A71" i="65" s="1"/>
  <c r="F72" i="65" s="1"/>
  <c r="B129" i="65"/>
  <c r="J207" i="46"/>
  <c r="F125" i="46" s="1"/>
  <c r="L29" i="28"/>
  <c r="K65" i="1" s="1"/>
  <c r="K83" i="1" s="1"/>
  <c r="E15" i="2"/>
  <c r="A15" i="2"/>
  <c r="G73" i="44" s="1"/>
  <c r="G132" i="46"/>
  <c r="E103" i="21"/>
  <c r="E133" i="21" s="1"/>
  <c r="E136" i="21" s="1"/>
  <c r="C29" i="57"/>
  <c r="C31" i="57" s="1"/>
  <c r="D29" i="57"/>
  <c r="D31" i="57" s="1"/>
  <c r="C33" i="57"/>
  <c r="C40" i="57" s="1"/>
  <c r="C43" i="57" s="1"/>
  <c r="C45" i="57" s="1"/>
  <c r="B9" i="31" s="1"/>
  <c r="D33" i="57"/>
  <c r="D40" i="57" s="1"/>
  <c r="D43" i="57" s="1"/>
  <c r="D45" i="57" s="1"/>
  <c r="B10" i="31" s="1"/>
  <c r="M152" i="21"/>
  <c r="A59" i="8"/>
  <c r="H59" i="8"/>
  <c r="H15" i="8"/>
  <c r="H62" i="46"/>
  <c r="H83" i="46" s="1"/>
  <c r="L154" i="21"/>
  <c r="K155" i="21"/>
  <c r="K146" i="21"/>
  <c r="H146" i="21"/>
  <c r="A26" i="26"/>
  <c r="A27" i="26" s="1"/>
  <c r="G25" i="26"/>
  <c r="L150" i="21"/>
  <c r="I152" i="21"/>
  <c r="M151" i="21"/>
  <c r="J146" i="21"/>
  <c r="F152" i="21"/>
  <c r="H152" i="21"/>
  <c r="F154" i="21"/>
  <c r="K151" i="21"/>
  <c r="G153" i="21"/>
  <c r="F155" i="21"/>
  <c r="K150" i="21"/>
  <c r="G150" i="21"/>
  <c r="H150" i="21"/>
  <c r="F148" i="21"/>
  <c r="F149" i="21"/>
  <c r="L144" i="21"/>
  <c r="L13" i="21" s="1"/>
  <c r="F153" i="21"/>
  <c r="I147" i="21"/>
  <c r="K144" i="21"/>
  <c r="K13" i="21" s="1"/>
  <c r="M144" i="21"/>
  <c r="M13" i="21" s="1"/>
  <c r="F144" i="21"/>
  <c r="F13" i="21" s="1"/>
  <c r="L152" i="21"/>
  <c r="J144" i="21"/>
  <c r="M146" i="21"/>
  <c r="M154" i="21"/>
  <c r="K153" i="21"/>
  <c r="I150" i="21"/>
  <c r="G147" i="21"/>
  <c r="G155" i="21"/>
  <c r="H155" i="21"/>
  <c r="H145" i="21"/>
  <c r="H149" i="21"/>
  <c r="H153" i="21"/>
  <c r="H147" i="21"/>
  <c r="H151" i="21"/>
  <c r="M149" i="21"/>
  <c r="K148" i="21"/>
  <c r="I145" i="21"/>
  <c r="I153" i="21"/>
  <c r="G154" i="21"/>
  <c r="E117" i="21"/>
  <c r="N97" i="21"/>
  <c r="E121" i="21"/>
  <c r="N101" i="21"/>
  <c r="G145" i="21"/>
  <c r="K145" i="21"/>
  <c r="L145" i="21"/>
  <c r="L149" i="21"/>
  <c r="L153" i="21"/>
  <c r="L147" i="21"/>
  <c r="L151" i="21"/>
  <c r="L155" i="21"/>
  <c r="G144" i="21"/>
  <c r="I144" i="21"/>
  <c r="E115" i="21"/>
  <c r="N95" i="21"/>
  <c r="E119" i="21"/>
  <c r="N99" i="21"/>
  <c r="L148" i="21"/>
  <c r="J148" i="21"/>
  <c r="J147" i="21"/>
  <c r="J151" i="21"/>
  <c r="J155" i="21"/>
  <c r="J145" i="21"/>
  <c r="J149" i="21"/>
  <c r="J153" i="21"/>
  <c r="M150" i="21"/>
  <c r="K147" i="21"/>
  <c r="I146" i="21"/>
  <c r="I154" i="21"/>
  <c r="G151" i="21"/>
  <c r="H13" i="21"/>
  <c r="M145" i="21"/>
  <c r="M153" i="21"/>
  <c r="K152" i="21"/>
  <c r="I149" i="21"/>
  <c r="G148" i="21"/>
  <c r="N113" i="21"/>
  <c r="I148" i="21"/>
  <c r="M148" i="21"/>
  <c r="H148" i="21"/>
  <c r="F146" i="21"/>
  <c r="H59" i="44"/>
  <c r="H78" i="44" s="1"/>
  <c r="H65" i="44"/>
  <c r="H66" i="44" s="1"/>
  <c r="H79" i="44" s="1"/>
  <c r="J61" i="46"/>
  <c r="C147" i="46" s="1"/>
  <c r="C148" i="46" s="1"/>
  <c r="D147" i="46"/>
  <c r="D148" i="46" s="1"/>
  <c r="K62" i="46"/>
  <c r="G61" i="46"/>
  <c r="G62" i="46" s="1"/>
  <c r="G83" i="46" s="1"/>
  <c r="D166" i="46"/>
  <c r="J80" i="46"/>
  <c r="J81" i="46" s="1"/>
  <c r="K81" i="46"/>
  <c r="D192" i="46"/>
  <c r="A25" i="71"/>
  <c r="A26" i="71" s="1"/>
  <c r="A28" i="26"/>
  <c r="A33" i="44"/>
  <c r="B48" i="44" s="1"/>
  <c r="G64" i="44"/>
  <c r="A72" i="65"/>
  <c r="I148" i="1" s="1"/>
  <c r="A18" i="8"/>
  <c r="D17" i="56"/>
  <c r="G22" i="32"/>
  <c r="A84" i="46"/>
  <c r="A85" i="46" s="1"/>
  <c r="A86" i="46" s="1"/>
  <c r="A87" i="46" s="1"/>
  <c r="C188" i="46" s="1"/>
  <c r="A37" i="7"/>
  <c r="A38" i="7" s="1"/>
  <c r="A39" i="7" s="1"/>
  <c r="A40" i="7" s="1"/>
  <c r="A41" i="7" s="1"/>
  <c r="A42" i="7" s="1"/>
  <c r="A43" i="7" s="1"/>
  <c r="A44" i="7" s="1"/>
  <c r="A45" i="7" s="1"/>
  <c r="A46" i="7" s="1"/>
  <c r="A54" i="12"/>
  <c r="B40" i="31"/>
  <c r="B35" i="31"/>
  <c r="A10" i="31"/>
  <c r="A22" i="1"/>
  <c r="A23" i="1" s="1"/>
  <c r="A24" i="1" s="1"/>
  <c r="J26" i="65"/>
  <c r="A48" i="11"/>
  <c r="H41" i="12" s="1"/>
  <c r="A18" i="56"/>
  <c r="A19" i="56" s="1"/>
  <c r="A20" i="56" s="1"/>
  <c r="A26" i="22"/>
  <c r="I15" i="1" s="1"/>
  <c r="G26" i="22"/>
  <c r="A29" i="32"/>
  <c r="A30" i="32" s="1"/>
  <c r="A34" i="32" s="1"/>
  <c r="A61" i="8"/>
  <c r="A63" i="8" s="1"/>
  <c r="A26" i="17"/>
  <c r="A27" i="17" s="1"/>
  <c r="A28" i="17" s="1"/>
  <c r="A29" i="17" s="1"/>
  <c r="N133" i="21" l="1"/>
  <c r="H156" i="21"/>
  <c r="M14" i="21"/>
  <c r="M15" i="21" s="1"/>
  <c r="M16" i="21" s="1"/>
  <c r="M17" i="21" s="1"/>
  <c r="M18" i="21" s="1"/>
  <c r="M19" i="21" s="1"/>
  <c r="M20" i="21" s="1"/>
  <c r="M21" i="21" s="1"/>
  <c r="M22" i="21" s="1"/>
  <c r="M23" i="21" s="1"/>
  <c r="K63" i="1"/>
  <c r="K75" i="1" s="1"/>
  <c r="F156" i="21"/>
  <c r="L14" i="21"/>
  <c r="L15" i="21" s="1"/>
  <c r="L16" i="21" s="1"/>
  <c r="L17" i="21" s="1"/>
  <c r="F135" i="46"/>
  <c r="A47" i="7"/>
  <c r="A48" i="7" s="1"/>
  <c r="G26" i="26"/>
  <c r="G50" i="22"/>
  <c r="F28" i="54"/>
  <c r="G59" i="21"/>
  <c r="G62" i="4"/>
  <c r="G54" i="22"/>
  <c r="G24" i="22"/>
  <c r="G52" i="21"/>
  <c r="G57" i="4"/>
  <c r="I55" i="1"/>
  <c r="A16" i="2"/>
  <c r="A17" i="2" s="1"/>
  <c r="A18" i="2" s="1"/>
  <c r="A19" i="2" s="1"/>
  <c r="A20" i="2" s="1"/>
  <c r="A21" i="2" s="1"/>
  <c r="A22" i="2" s="1"/>
  <c r="I135" i="46"/>
  <c r="H135" i="46"/>
  <c r="J202" i="46" s="1"/>
  <c r="K83" i="46"/>
  <c r="G30" i="32"/>
  <c r="G45" i="57"/>
  <c r="G43" i="57"/>
  <c r="G27" i="26"/>
  <c r="A55" i="12"/>
  <c r="A56" i="12" s="1"/>
  <c r="A57" i="12" s="1"/>
  <c r="A58" i="12" s="1"/>
  <c r="A59" i="12" s="1"/>
  <c r="K156" i="21"/>
  <c r="N119" i="21"/>
  <c r="N115" i="21"/>
  <c r="E123" i="21"/>
  <c r="E147" i="21" s="1"/>
  <c r="G156" i="21"/>
  <c r="G13" i="21"/>
  <c r="G14" i="21" s="1"/>
  <c r="G15" i="21" s="1"/>
  <c r="G16" i="21" s="1"/>
  <c r="G17" i="21" s="1"/>
  <c r="G18" i="21" s="1"/>
  <c r="G19" i="21" s="1"/>
  <c r="G20" i="21" s="1"/>
  <c r="G21" i="21" s="1"/>
  <c r="G22" i="21" s="1"/>
  <c r="G23" i="21" s="1"/>
  <c r="K14" i="21"/>
  <c r="K15" i="21" s="1"/>
  <c r="K16" i="21" s="1"/>
  <c r="K17" i="21" s="1"/>
  <c r="K18" i="21" s="1"/>
  <c r="K19" i="21" s="1"/>
  <c r="K20" i="21" s="1"/>
  <c r="K21" i="21" s="1"/>
  <c r="K22" i="21" s="1"/>
  <c r="K23" i="21" s="1"/>
  <c r="N136" i="21"/>
  <c r="N103" i="21"/>
  <c r="M156" i="21"/>
  <c r="I13" i="21"/>
  <c r="I156" i="21"/>
  <c r="F14" i="21"/>
  <c r="F15" i="21" s="1"/>
  <c r="F16" i="21" s="1"/>
  <c r="F17" i="21" s="1"/>
  <c r="F18" i="21" s="1"/>
  <c r="F19" i="21" s="1"/>
  <c r="F20" i="21" s="1"/>
  <c r="F21" i="21" s="1"/>
  <c r="F22" i="21" s="1"/>
  <c r="F23" i="21" s="1"/>
  <c r="N121" i="21"/>
  <c r="N117" i="21"/>
  <c r="H14" i="21"/>
  <c r="H15" i="21" s="1"/>
  <c r="H16" i="21" s="1"/>
  <c r="H17" i="21" s="1"/>
  <c r="H18" i="21" s="1"/>
  <c r="H19" i="21" s="1"/>
  <c r="H20" i="21" s="1"/>
  <c r="H21" i="21" s="1"/>
  <c r="H22" i="21" s="1"/>
  <c r="H23" i="21" s="1"/>
  <c r="J13" i="21"/>
  <c r="J14" i="21" s="1"/>
  <c r="J15" i="21" s="1"/>
  <c r="J16" i="21" s="1"/>
  <c r="J17" i="21" s="1"/>
  <c r="J18" i="21" s="1"/>
  <c r="J19" i="21" s="1"/>
  <c r="J20" i="21" s="1"/>
  <c r="J21" i="21" s="1"/>
  <c r="J22" i="21" s="1"/>
  <c r="J23" i="21" s="1"/>
  <c r="J25" i="21" s="1"/>
  <c r="J156" i="21"/>
  <c r="L156" i="21"/>
  <c r="B185" i="71"/>
  <c r="B188" i="71"/>
  <c r="J62" i="46"/>
  <c r="J83" i="46" s="1"/>
  <c r="F26" i="71"/>
  <c r="D167" i="46"/>
  <c r="D170" i="46" s="1"/>
  <c r="H166" i="46"/>
  <c r="G166" i="46" s="1"/>
  <c r="C166" i="46"/>
  <c r="C167" i="46" s="1"/>
  <c r="C170" i="46" s="1"/>
  <c r="A49" i="7"/>
  <c r="A50" i="7" s="1"/>
  <c r="A51" i="7" s="1"/>
  <c r="A52" i="7" s="1"/>
  <c r="A53" i="7" s="1"/>
  <c r="A54" i="7" s="1"/>
  <c r="A55" i="7" s="1"/>
  <c r="F64" i="71"/>
  <c r="A31" i="71"/>
  <c r="A32" i="71" s="1"/>
  <c r="A33" i="71" s="1"/>
  <c r="A34" i="71" s="1"/>
  <c r="F65" i="71" s="1"/>
  <c r="A27" i="22"/>
  <c r="H12" i="8" s="1"/>
  <c r="A26" i="1"/>
  <c r="A28" i="1" s="1"/>
  <c r="A30" i="1" s="1"/>
  <c r="A32" i="1" s="1"/>
  <c r="A34" i="1" s="1"/>
  <c r="I115" i="1" s="1"/>
  <c r="A30" i="17"/>
  <c r="A67" i="8"/>
  <c r="G67" i="8"/>
  <c r="H63" i="8"/>
  <c r="A35" i="32"/>
  <c r="A36" i="32" s="1"/>
  <c r="A40" i="32" s="1"/>
  <c r="A21" i="56"/>
  <c r="A22" i="56" s="1"/>
  <c r="A23" i="56" s="1"/>
  <c r="A24" i="56" s="1"/>
  <c r="A25" i="56" s="1"/>
  <c r="A26" i="56" s="1"/>
  <c r="A49" i="11"/>
  <c r="A50" i="11" s="1"/>
  <c r="A51" i="11" s="1"/>
  <c r="A60" i="11" s="1"/>
  <c r="K26" i="65"/>
  <c r="L26" i="65"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73" i="65"/>
  <c r="A74" i="65" s="1"/>
  <c r="A75" i="65" s="1"/>
  <c r="A76" i="65" s="1"/>
  <c r="A77" i="65" s="1"/>
  <c r="A78" i="65" s="1"/>
  <c r="A79" i="65" s="1"/>
  <c r="A80" i="65" s="1"/>
  <c r="A81" i="65" s="1"/>
  <c r="A82" i="65" s="1"/>
  <c r="A34" i="44"/>
  <c r="G80" i="44"/>
  <c r="A29" i="26"/>
  <c r="G29" i="26"/>
  <c r="H54" i="12" l="1"/>
  <c r="F68" i="12"/>
  <c r="E154" i="21"/>
  <c r="E153" i="21"/>
  <c r="N153" i="21" s="1"/>
  <c r="E48" i="7"/>
  <c r="E23" i="2"/>
  <c r="A23" i="2"/>
  <c r="G135" i="46"/>
  <c r="J205" i="46"/>
  <c r="F127" i="46" s="1"/>
  <c r="E155" i="21"/>
  <c r="N155" i="21" s="1"/>
  <c r="L18" i="21"/>
  <c r="L19" i="21" s="1"/>
  <c r="L20" i="21" s="1"/>
  <c r="L21" i="21" s="1"/>
  <c r="L22" i="21" s="1"/>
  <c r="L23" i="21" s="1"/>
  <c r="L25" i="21" s="1"/>
  <c r="E149" i="21"/>
  <c r="N149" i="21" s="1"/>
  <c r="E151" i="21"/>
  <c r="N151" i="21" s="1"/>
  <c r="E144" i="21"/>
  <c r="E13" i="21" s="1"/>
  <c r="B109" i="12"/>
  <c r="A68" i="12"/>
  <c r="E146" i="21"/>
  <c r="E145" i="21"/>
  <c r="N145" i="21" s="1"/>
  <c r="E150" i="21"/>
  <c r="N150" i="21" s="1"/>
  <c r="K80" i="1"/>
  <c r="K79" i="1"/>
  <c r="K89" i="1" s="1"/>
  <c r="E95" i="8" s="1"/>
  <c r="K78" i="1"/>
  <c r="K88" i="1" s="1"/>
  <c r="E94" i="8" s="1"/>
  <c r="N123" i="21"/>
  <c r="F25" i="21"/>
  <c r="N147" i="21"/>
  <c r="G25" i="21"/>
  <c r="K25" i="21"/>
  <c r="E148" i="21"/>
  <c r="E152" i="21"/>
  <c r="H25" i="21"/>
  <c r="N154" i="21"/>
  <c r="I14" i="21"/>
  <c r="I15" i="21" s="1"/>
  <c r="I16" i="21" s="1"/>
  <c r="I17" i="21" s="1"/>
  <c r="I18" i="21" s="1"/>
  <c r="I19" i="21" s="1"/>
  <c r="I20" i="21" s="1"/>
  <c r="I21" i="21" s="1"/>
  <c r="I22" i="21" s="1"/>
  <c r="I23" i="21" s="1"/>
  <c r="M25" i="21"/>
  <c r="A19" i="31"/>
  <c r="A20" i="31" s="1"/>
  <c r="A22" i="31" s="1"/>
  <c r="A56" i="7"/>
  <c r="A57" i="7" s="1"/>
  <c r="A58" i="7" s="1"/>
  <c r="A59" i="7" s="1"/>
  <c r="A60" i="7" s="1"/>
  <c r="A61" i="7" s="1"/>
  <c r="E55" i="7" s="1"/>
  <c r="B189" i="71"/>
  <c r="B186" i="71"/>
  <c r="A35" i="71"/>
  <c r="A36" i="71" s="1"/>
  <c r="A37" i="71" s="1"/>
  <c r="J27" i="65"/>
  <c r="A83" i="65"/>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23" i="8"/>
  <c r="H29" i="8"/>
  <c r="A30" i="26"/>
  <c r="I125" i="1" s="1"/>
  <c r="G30" i="26"/>
  <c r="H21" i="8"/>
  <c r="D26" i="56"/>
  <c r="G36" i="32"/>
  <c r="A68" i="8"/>
  <c r="A31" i="17"/>
  <c r="A39" i="1"/>
  <c r="A34" i="22"/>
  <c r="A41" i="44"/>
  <c r="A42" i="44" s="1"/>
  <c r="A157" i="46"/>
  <c r="A158" i="46" s="1"/>
  <c r="A159" i="46" s="1"/>
  <c r="A160" i="46" s="1"/>
  <c r="A161" i="46" s="1"/>
  <c r="A162" i="46" s="1"/>
  <c r="A163" i="46" s="1"/>
  <c r="A164" i="46" s="1"/>
  <c r="A165" i="46" s="1"/>
  <c r="A166" i="46" s="1"/>
  <c r="A167" i="46" s="1"/>
  <c r="A168" i="46" s="1"/>
  <c r="A169" i="46" s="1"/>
  <c r="A170" i="46" s="1"/>
  <c r="A24" i="31"/>
  <c r="A27" i="31" s="1"/>
  <c r="A61" i="11"/>
  <c r="A27" i="56"/>
  <c r="A28" i="56" s="1"/>
  <c r="D28" i="56"/>
  <c r="A41" i="32"/>
  <c r="A42" i="32" s="1"/>
  <c r="H55" i="12" l="1"/>
  <c r="F69" i="12"/>
  <c r="F93" i="12"/>
  <c r="E96" i="8"/>
  <c r="E102" i="8" s="1"/>
  <c r="J42" i="8" s="1"/>
  <c r="E14" i="21"/>
  <c r="N14" i="21" s="1"/>
  <c r="N144" i="21"/>
  <c r="A35" i="22"/>
  <c r="A36" i="22" s="1"/>
  <c r="A37" i="22" s="1"/>
  <c r="A38" i="22" s="1"/>
  <c r="A39" i="22" s="1"/>
  <c r="A40" i="22" s="1"/>
  <c r="A41" i="22" s="1"/>
  <c r="A42" i="22" s="1"/>
  <c r="A43" i="22" s="1"/>
  <c r="A44" i="22" s="1"/>
  <c r="A45" i="22" s="1"/>
  <c r="A46" i="22" s="1"/>
  <c r="G49" i="22" s="1"/>
  <c r="A24" i="2"/>
  <c r="E7" i="2"/>
  <c r="K90" i="1"/>
  <c r="K91" i="1" s="1"/>
  <c r="H127" i="46"/>
  <c r="I127" i="46"/>
  <c r="I125" i="46"/>
  <c r="H125" i="46"/>
  <c r="A69" i="8"/>
  <c r="G42" i="32"/>
  <c r="A34" i="56"/>
  <c r="A35" i="56" s="1"/>
  <c r="A36" i="56" s="1"/>
  <c r="B146" i="65"/>
  <c r="A106" i="65"/>
  <c r="A107" i="65" s="1"/>
  <c r="A108" i="65" s="1"/>
  <c r="A109" i="65" s="1"/>
  <c r="A110" i="65" s="1"/>
  <c r="A111" i="65" s="1"/>
  <c r="A112" i="65" s="1"/>
  <c r="A113" i="65" s="1"/>
  <c r="A114" i="65" s="1"/>
  <c r="A115" i="65" s="1"/>
  <c r="A116" i="65" s="1"/>
  <c r="A117" i="65" s="1"/>
  <c r="A118" i="65" s="1"/>
  <c r="A119" i="65" s="1"/>
  <c r="E63" i="7"/>
  <c r="A69" i="12"/>
  <c r="A70" i="12" s="1"/>
  <c r="A71" i="12" s="1"/>
  <c r="A81" i="12" s="1"/>
  <c r="A82" i="12" s="1"/>
  <c r="A83" i="12" s="1"/>
  <c r="A84" i="12" s="1"/>
  <c r="A85" i="12" s="1"/>
  <c r="A86" i="12" s="1"/>
  <c r="N152" i="21"/>
  <c r="N148" i="21"/>
  <c r="N146" i="21"/>
  <c r="E15" i="21"/>
  <c r="E156" i="21"/>
  <c r="N13" i="21"/>
  <c r="I25" i="21"/>
  <c r="B38" i="31"/>
  <c r="H27" i="31"/>
  <c r="D21" i="7"/>
  <c r="G15" i="12"/>
  <c r="G17" i="12" s="1"/>
  <c r="K81" i="1"/>
  <c r="A62" i="7"/>
  <c r="A63" i="7" s="1"/>
  <c r="E59" i="7"/>
  <c r="A38" i="71"/>
  <c r="A41" i="71" s="1"/>
  <c r="A46" i="71" s="1"/>
  <c r="A47" i="71" s="1"/>
  <c r="A48" i="71" s="1"/>
  <c r="A37" i="56"/>
  <c r="A38" i="56" s="1"/>
  <c r="A171" i="46"/>
  <c r="B97" i="44"/>
  <c r="A43" i="44"/>
  <c r="A37" i="26"/>
  <c r="G77" i="26" s="1"/>
  <c r="A62" i="11"/>
  <c r="B171" i="46"/>
  <c r="B98" i="44"/>
  <c r="A40" i="1"/>
  <c r="A41" i="1" s="1"/>
  <c r="A32" i="17"/>
  <c r="G69" i="8"/>
  <c r="A24" i="8"/>
  <c r="G91" i="12" s="1"/>
  <c r="K27" i="65"/>
  <c r="L27" i="65" s="1"/>
  <c r="H56" i="12" l="1"/>
  <c r="F70" i="12"/>
  <c r="E97" i="8"/>
  <c r="J33" i="8" s="1"/>
  <c r="E64" i="7"/>
  <c r="E69" i="7"/>
  <c r="E25" i="2"/>
  <c r="A25" i="2"/>
  <c r="G127" i="46"/>
  <c r="G125" i="46"/>
  <c r="A70" i="8"/>
  <c r="A71" i="8" s="1"/>
  <c r="A72" i="8" s="1"/>
  <c r="H14" i="65" s="1"/>
  <c r="A25" i="8"/>
  <c r="G53" i="22"/>
  <c r="A64" i="7"/>
  <c r="A65" i="7" s="1"/>
  <c r="B150" i="65"/>
  <c r="B110" i="12"/>
  <c r="A90" i="12"/>
  <c r="N156" i="21"/>
  <c r="E83" i="12"/>
  <c r="F83" i="12" s="1"/>
  <c r="E82" i="12"/>
  <c r="F82" i="12" s="1"/>
  <c r="E81" i="12"/>
  <c r="F81" i="12" s="1"/>
  <c r="N15" i="21"/>
  <c r="E16" i="21"/>
  <c r="K93" i="1"/>
  <c r="D32" i="71" s="1"/>
  <c r="D34" i="71" s="1"/>
  <c r="D25" i="71"/>
  <c r="D26" i="71" s="1"/>
  <c r="E25" i="71"/>
  <c r="E26" i="71" s="1"/>
  <c r="I41" i="1"/>
  <c r="D51" i="7"/>
  <c r="G39" i="12"/>
  <c r="G40" i="12"/>
  <c r="G41" i="12"/>
  <c r="D41" i="71"/>
  <c r="G55" i="12"/>
  <c r="G56" i="12"/>
  <c r="G54" i="12"/>
  <c r="A53" i="71"/>
  <c r="A54" i="71" s="1"/>
  <c r="A55" i="71" s="1"/>
  <c r="F66" i="71"/>
  <c r="J28" i="65"/>
  <c r="K28" i="65" s="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A26" i="2" l="1"/>
  <c r="A27" i="2" s="1"/>
  <c r="A28" i="2" s="1"/>
  <c r="G72" i="8"/>
  <c r="G71" i="8"/>
  <c r="E65" i="7"/>
  <c r="D40" i="56"/>
  <c r="A66" i="7"/>
  <c r="A67" i="7" s="1"/>
  <c r="A68" i="7" s="1"/>
  <c r="A69" i="7" s="1"/>
  <c r="A70" i="7" s="1"/>
  <c r="A50" i="22"/>
  <c r="A51" i="22" s="1"/>
  <c r="H13" i="8" s="1"/>
  <c r="F86" i="12"/>
  <c r="A91" i="12"/>
  <c r="A92" i="12" s="1"/>
  <c r="H46" i="11"/>
  <c r="H47" i="11"/>
  <c r="H48" i="11"/>
  <c r="A52" i="17"/>
  <c r="A53" i="17" s="1"/>
  <c r="A54" i="17" s="1"/>
  <c r="A55" i="17" s="1"/>
  <c r="E14" i="17"/>
  <c r="D22" i="7"/>
  <c r="D25" i="7" s="1"/>
  <c r="E112" i="71" s="1"/>
  <c r="E113" i="71" s="1"/>
  <c r="E32" i="71"/>
  <c r="E34" i="71" s="1"/>
  <c r="E95" i="71" s="1"/>
  <c r="N16" i="21"/>
  <c r="E17" i="21"/>
  <c r="D48" i="71"/>
  <c r="E55" i="71"/>
  <c r="E48" i="71"/>
  <c r="D55" i="71"/>
  <c r="D55" i="7"/>
  <c r="D59" i="7"/>
  <c r="E83" i="71"/>
  <c r="E77" i="71"/>
  <c r="E82" i="71"/>
  <c r="D65" i="71"/>
  <c r="E84" i="71"/>
  <c r="E85" i="71"/>
  <c r="E81" i="71"/>
  <c r="E79" i="71"/>
  <c r="E80" i="71"/>
  <c r="E78" i="71"/>
  <c r="D101" i="71"/>
  <c r="D96" i="71"/>
  <c r="E64" i="71"/>
  <c r="D94" i="71"/>
  <c r="D95" i="71"/>
  <c r="D98" i="71"/>
  <c r="D97" i="71"/>
  <c r="D99" i="71"/>
  <c r="D100" i="71"/>
  <c r="D102" i="71"/>
  <c r="G59" i="12"/>
  <c r="J61" i="8" s="1"/>
  <c r="G44" i="12"/>
  <c r="K135" i="1" s="1"/>
  <c r="D81" i="71"/>
  <c r="D82" i="71"/>
  <c r="D83" i="71"/>
  <c r="D80" i="71"/>
  <c r="D64" i="71"/>
  <c r="D85" i="71"/>
  <c r="D77" i="71"/>
  <c r="D78" i="71"/>
  <c r="D79" i="71"/>
  <c r="D84" i="71"/>
  <c r="A56" i="71"/>
  <c r="A57" i="71" s="1"/>
  <c r="A64" i="71" s="1"/>
  <c r="F67" i="71"/>
  <c r="A41" i="56"/>
  <c r="A42" i="56" s="1"/>
  <c r="D42" i="56"/>
  <c r="A85" i="11"/>
  <c r="G86" i="44"/>
  <c r="A55" i="44"/>
  <c r="A44" i="26"/>
  <c r="A53" i="22"/>
  <c r="A45" i="1"/>
  <c r="E46" i="17"/>
  <c r="L28" i="65"/>
  <c r="E101" i="71" l="1"/>
  <c r="G101" i="71" s="1"/>
  <c r="H101" i="71" s="1"/>
  <c r="E97" i="71"/>
  <c r="G97" i="71" s="1"/>
  <c r="H97" i="71" s="1"/>
  <c r="E99" i="71"/>
  <c r="G99" i="71" s="1"/>
  <c r="H99" i="71" s="1"/>
  <c r="E94" i="71"/>
  <c r="E96" i="71"/>
  <c r="G96" i="71" s="1"/>
  <c r="H96" i="71" s="1"/>
  <c r="E100" i="71"/>
  <c r="G100" i="71" s="1"/>
  <c r="H100" i="71" s="1"/>
  <c r="E102" i="71"/>
  <c r="G102" i="71" s="1"/>
  <c r="H102" i="71" s="1"/>
  <c r="E65" i="71"/>
  <c r="E98" i="71"/>
  <c r="G98" i="71" s="1"/>
  <c r="H98" i="71" s="1"/>
  <c r="E28" i="2"/>
  <c r="A29" i="2"/>
  <c r="A30" i="2" s="1"/>
  <c r="A31" i="2" s="1"/>
  <c r="A32" i="2" s="1"/>
  <c r="A33" i="2" s="1"/>
  <c r="I40" i="1"/>
  <c r="G28" i="26"/>
  <c r="C57" i="17"/>
  <c r="A56" i="17"/>
  <c r="A57" i="17" s="1"/>
  <c r="A58" i="17" s="1"/>
  <c r="D47" i="7"/>
  <c r="D48" i="7" s="1"/>
  <c r="D83" i="7"/>
  <c r="D84" i="7" s="1"/>
  <c r="G92" i="12"/>
  <c r="A71" i="7"/>
  <c r="A72" i="7" s="1"/>
  <c r="A73" i="7" s="1"/>
  <c r="A74" i="7" s="1"/>
  <c r="A75" i="7" s="1"/>
  <c r="A76" i="7" s="1"/>
  <c r="A77" i="7" s="1"/>
  <c r="A78" i="7" s="1"/>
  <c r="A79" i="7" s="1"/>
  <c r="A80" i="7" s="1"/>
  <c r="A81" i="7" s="1"/>
  <c r="A82" i="7" s="1"/>
  <c r="A83" i="7" s="1"/>
  <c r="A84" i="7" s="1"/>
  <c r="A85" i="7" s="1"/>
  <c r="A86" i="7" s="1"/>
  <c r="E71" i="7"/>
  <c r="H41" i="44"/>
  <c r="H44" i="44" s="1"/>
  <c r="H86" i="44" s="1"/>
  <c r="A45" i="26"/>
  <c r="A46" i="26" s="1"/>
  <c r="A47" i="26" s="1"/>
  <c r="A48" i="26" s="1"/>
  <c r="A49" i="26" s="1"/>
  <c r="A50" i="26" s="1"/>
  <c r="C72" i="26"/>
  <c r="A54" i="22"/>
  <c r="A55" i="22" s="1"/>
  <c r="I16" i="1" s="1"/>
  <c r="G51" i="22"/>
  <c r="A93" i="12"/>
  <c r="A94" i="12" s="1"/>
  <c r="A94" i="11"/>
  <c r="H61" i="11"/>
  <c r="H60" i="11"/>
  <c r="H62" i="11"/>
  <c r="A95" i="11"/>
  <c r="A96" i="11" s="1"/>
  <c r="A97" i="11" s="1"/>
  <c r="A98" i="11" s="1"/>
  <c r="A99" i="11" s="1"/>
  <c r="A100" i="11" s="1"/>
  <c r="A101" i="11" s="1"/>
  <c r="A102" i="11" s="1"/>
  <c r="A103" i="11" s="1"/>
  <c r="A104" i="11" s="1"/>
  <c r="A105" i="11" s="1"/>
  <c r="A106" i="11" s="1"/>
  <c r="A107" i="11" s="1"/>
  <c r="A117" i="11" s="1"/>
  <c r="N17" i="21"/>
  <c r="E18" i="21"/>
  <c r="D176" i="71"/>
  <c r="D158" i="71"/>
  <c r="D159" i="71"/>
  <c r="D177" i="71"/>
  <c r="D172" i="71"/>
  <c r="D154" i="71"/>
  <c r="D174" i="71"/>
  <c r="D156" i="71"/>
  <c r="D153" i="71"/>
  <c r="D171" i="71"/>
  <c r="D157" i="71"/>
  <c r="D175" i="71"/>
  <c r="D155" i="71"/>
  <c r="D173" i="71"/>
  <c r="D120" i="71"/>
  <c r="E169" i="71" s="1"/>
  <c r="E138" i="71"/>
  <c r="G84" i="71"/>
  <c r="H84" i="71" s="1"/>
  <c r="G85" i="71"/>
  <c r="H85" i="71" s="1"/>
  <c r="G80" i="71"/>
  <c r="H80" i="71" s="1"/>
  <c r="G82" i="71"/>
  <c r="H82" i="71" s="1"/>
  <c r="G79" i="71"/>
  <c r="H79" i="71" s="1"/>
  <c r="G83" i="71"/>
  <c r="H83" i="71" s="1"/>
  <c r="G81" i="71"/>
  <c r="H81" i="71" s="1"/>
  <c r="E114" i="71"/>
  <c r="E115" i="71" s="1"/>
  <c r="A65" i="71"/>
  <c r="D105" i="71"/>
  <c r="E88" i="71"/>
  <c r="F78" i="71"/>
  <c r="D170" i="71" s="1"/>
  <c r="D67" i="71"/>
  <c r="F95" i="71"/>
  <c r="E67" i="71"/>
  <c r="D88" i="71"/>
  <c r="F94" i="71"/>
  <c r="E66" i="71"/>
  <c r="F77" i="71"/>
  <c r="G77" i="71" s="1"/>
  <c r="D66" i="71"/>
  <c r="D127" i="71"/>
  <c r="D124" i="71"/>
  <c r="D123" i="71"/>
  <c r="D126" i="71"/>
  <c r="D128" i="71"/>
  <c r="D121" i="71"/>
  <c r="D125" i="71"/>
  <c r="D122" i="71"/>
  <c r="J29" i="65"/>
  <c r="E47" i="17"/>
  <c r="A56" i="44"/>
  <c r="A57" i="44" s="1"/>
  <c r="G59" i="44" s="1"/>
  <c r="A46" i="1"/>
  <c r="A47" i="1" s="1"/>
  <c r="A48" i="1" s="1"/>
  <c r="A118" i="11" l="1"/>
  <c r="A119" i="11" s="1"/>
  <c r="A120" i="11" s="1"/>
  <c r="A121" i="11" s="1"/>
  <c r="A122" i="11" s="1"/>
  <c r="A123" i="11" s="1"/>
  <c r="A124" i="11" s="1"/>
  <c r="A125" i="11" s="1"/>
  <c r="A126" i="11" s="1"/>
  <c r="A127" i="11" s="1"/>
  <c r="A128" i="11" s="1"/>
  <c r="A129" i="11" s="1"/>
  <c r="F69" i="11"/>
  <c r="B174" i="4"/>
  <c r="D63" i="7"/>
  <c r="D64" i="7" s="1"/>
  <c r="E105" i="71"/>
  <c r="G94" i="71"/>
  <c r="H94" i="71" s="1"/>
  <c r="A87" i="7"/>
  <c r="A88" i="7" s="1"/>
  <c r="A89" i="7" s="1"/>
  <c r="E88" i="7"/>
  <c r="E89" i="7"/>
  <c r="A34" i="2"/>
  <c r="A35" i="2" s="1"/>
  <c r="A36" i="2" s="1"/>
  <c r="C58" i="17"/>
  <c r="I53" i="1"/>
  <c r="G55" i="22"/>
  <c r="A98" i="12"/>
  <c r="G94" i="12"/>
  <c r="A137" i="11"/>
  <c r="E137" i="71"/>
  <c r="N18" i="21"/>
  <c r="E19" i="21"/>
  <c r="E153" i="71"/>
  <c r="F153" i="71" s="1"/>
  <c r="G153" i="71" s="1"/>
  <c r="E171" i="71"/>
  <c r="F171" i="71" s="1"/>
  <c r="G171" i="71" s="1"/>
  <c r="E152" i="71"/>
  <c r="E170" i="71"/>
  <c r="F170" i="71" s="1"/>
  <c r="E157" i="71"/>
  <c r="F157" i="71" s="1"/>
  <c r="G157" i="71" s="1"/>
  <c r="E175" i="71"/>
  <c r="F175" i="71" s="1"/>
  <c r="G175" i="71" s="1"/>
  <c r="E155" i="71"/>
  <c r="F155" i="71" s="1"/>
  <c r="G155" i="71" s="1"/>
  <c r="E173" i="71"/>
  <c r="F173" i="71" s="1"/>
  <c r="G173" i="71" s="1"/>
  <c r="A66" i="71"/>
  <c r="D151" i="71"/>
  <c r="D152" i="71"/>
  <c r="E156" i="71"/>
  <c r="F156" i="71" s="1"/>
  <c r="E174" i="71"/>
  <c r="F174" i="71" s="1"/>
  <c r="G174" i="71" s="1"/>
  <c r="E159" i="71"/>
  <c r="F159" i="71" s="1"/>
  <c r="G159" i="71" s="1"/>
  <c r="E177" i="71"/>
  <c r="F177" i="71" s="1"/>
  <c r="G177" i="71" s="1"/>
  <c r="E154" i="71"/>
  <c r="F154" i="71" s="1"/>
  <c r="E172" i="71"/>
  <c r="F172" i="71" s="1"/>
  <c r="G172" i="71" s="1"/>
  <c r="E158" i="71"/>
  <c r="E176" i="71"/>
  <c r="F176" i="71" s="1"/>
  <c r="G176" i="71" s="1"/>
  <c r="E128" i="71"/>
  <c r="E126" i="71"/>
  <c r="E124" i="71"/>
  <c r="E122" i="71"/>
  <c r="E120" i="71"/>
  <c r="E127" i="71"/>
  <c r="E125" i="71"/>
  <c r="E123" i="71"/>
  <c r="E121" i="71"/>
  <c r="D169" i="71"/>
  <c r="G95" i="71"/>
  <c r="H77" i="71"/>
  <c r="G78" i="71"/>
  <c r="G88" i="71" s="1"/>
  <c r="E79" i="7"/>
  <c r="E68" i="71"/>
  <c r="E69" i="71" s="1"/>
  <c r="D68" i="71"/>
  <c r="D69" i="71" s="1"/>
  <c r="F88" i="71"/>
  <c r="F105" i="71"/>
  <c r="E151" i="71"/>
  <c r="D131" i="71"/>
  <c r="I44" i="1"/>
  <c r="A58" i="44"/>
  <c r="A59" i="44" s="1"/>
  <c r="G65" i="44"/>
  <c r="A49" i="1"/>
  <c r="A50" i="1" s="1"/>
  <c r="A51" i="1" s="1"/>
  <c r="A52" i="1" s="1"/>
  <c r="C55" i="17" s="1"/>
  <c r="E48" i="17"/>
  <c r="K29" i="65"/>
  <c r="L29" i="65" s="1"/>
  <c r="A138" i="11" l="1"/>
  <c r="A139" i="11" s="1"/>
  <c r="A140" i="11" s="1"/>
  <c r="A141" i="11" s="1"/>
  <c r="A142" i="11" s="1"/>
  <c r="A143" i="11" s="1"/>
  <c r="A144" i="11" s="1"/>
  <c r="A145" i="11" s="1"/>
  <c r="A146" i="11" s="1"/>
  <c r="A147" i="11" s="1"/>
  <c r="A148" i="11" s="1"/>
  <c r="A149" i="11" s="1"/>
  <c r="A157" i="11" s="1"/>
  <c r="H69" i="11"/>
  <c r="D69" i="7"/>
  <c r="G105" i="71"/>
  <c r="D65" i="7"/>
  <c r="A90" i="7"/>
  <c r="A91" i="7" s="1"/>
  <c r="I147" i="1" s="1"/>
  <c r="G89" i="44"/>
  <c r="E35" i="2"/>
  <c r="E36" i="2"/>
  <c r="A37" i="2"/>
  <c r="A38" i="2" s="1"/>
  <c r="A39" i="2" s="1"/>
  <c r="J100" i="46"/>
  <c r="J101" i="46"/>
  <c r="J99" i="46"/>
  <c r="A99" i="12"/>
  <c r="A100" i="12" s="1"/>
  <c r="A101" i="12" s="1"/>
  <c r="A53" i="1"/>
  <c r="A54" i="1" s="1"/>
  <c r="I52" i="1"/>
  <c r="E139" i="71"/>
  <c r="E143" i="71" s="1"/>
  <c r="N19" i="21"/>
  <c r="E20" i="21"/>
  <c r="E131" i="71"/>
  <c r="F158" i="71"/>
  <c r="G158" i="71" s="1"/>
  <c r="G154" i="71"/>
  <c r="G156" i="71"/>
  <c r="F151" i="71"/>
  <c r="G170" i="71"/>
  <c r="F169" i="71"/>
  <c r="F180" i="71" s="1"/>
  <c r="D180" i="71"/>
  <c r="F152" i="71"/>
  <c r="G152" i="71" s="1"/>
  <c r="E180" i="71"/>
  <c r="A67" i="71"/>
  <c r="H78" i="71"/>
  <c r="H88" i="71" s="1"/>
  <c r="H95" i="71"/>
  <c r="H105" i="71" s="1"/>
  <c r="E162" i="71"/>
  <c r="E91" i="7"/>
  <c r="E80" i="7"/>
  <c r="J30" i="65"/>
  <c r="K30" i="65" s="1"/>
  <c r="E86" i="7"/>
  <c r="E49" i="17"/>
  <c r="E84" i="7"/>
  <c r="G78" i="44"/>
  <c r="A64" i="44"/>
  <c r="A158" i="11" l="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G169" i="71"/>
  <c r="G180" i="71" s="1"/>
  <c r="A40" i="2"/>
  <c r="A41" i="2" s="1"/>
  <c r="A42" i="2" s="1"/>
  <c r="I54" i="1"/>
  <c r="G101" i="12"/>
  <c r="A55" i="1"/>
  <c r="A56" i="1" s="1"/>
  <c r="A58" i="1" s="1"/>
  <c r="E142" i="71"/>
  <c r="E144" i="71" s="1"/>
  <c r="N20" i="21"/>
  <c r="E21" i="21"/>
  <c r="F137" i="71"/>
  <c r="A68" i="71"/>
  <c r="G151" i="71"/>
  <c r="F162" i="71"/>
  <c r="D162" i="71"/>
  <c r="A65" i="44"/>
  <c r="A66" i="44" s="1"/>
  <c r="L30" i="65"/>
  <c r="G69" i="11" l="1"/>
  <c r="G25" i="12"/>
  <c r="A309" i="11"/>
  <c r="A312" i="11" s="1"/>
  <c r="A313" i="11" s="1"/>
  <c r="G66" i="44"/>
  <c r="I58" i="1"/>
  <c r="E41" i="2"/>
  <c r="E42" i="2"/>
  <c r="A43" i="2"/>
  <c r="A44" i="2" s="1"/>
  <c r="A45" i="2" s="1"/>
  <c r="J105" i="46"/>
  <c r="I56" i="1"/>
  <c r="E145" i="71"/>
  <c r="D19" i="31" s="1"/>
  <c r="N21" i="21"/>
  <c r="E22" i="21"/>
  <c r="A69" i="71"/>
  <c r="A77" i="71" s="1"/>
  <c r="F69" i="71"/>
  <c r="G162" i="71"/>
  <c r="J31" i="65"/>
  <c r="K31" i="65" s="1"/>
  <c r="E51" i="17"/>
  <c r="A78" i="44"/>
  <c r="A79" i="44" s="1"/>
  <c r="A80" i="44" s="1"/>
  <c r="A81" i="44" s="1"/>
  <c r="A82" i="44" s="1"/>
  <c r="G79" i="44"/>
  <c r="I129" i="1"/>
  <c r="A63" i="1"/>
  <c r="G26" i="12" l="1"/>
  <c r="A314" i="11"/>
  <c r="A317" i="11" s="1"/>
  <c r="A318" i="11" s="1"/>
  <c r="A46" i="2"/>
  <c r="A47" i="2" s="1"/>
  <c r="A48" i="2" s="1"/>
  <c r="E19" i="31"/>
  <c r="N22" i="21"/>
  <c r="E23" i="21"/>
  <c r="A78" i="71"/>
  <c r="A79" i="71" s="1"/>
  <c r="A80" i="71" s="1"/>
  <c r="A81" i="71" s="1"/>
  <c r="A82" i="71" s="1"/>
  <c r="A83" i="71" s="1"/>
  <c r="A84" i="71" s="1"/>
  <c r="A85" i="71" s="1"/>
  <c r="A86" i="71" s="1"/>
  <c r="A87" i="71" s="1"/>
  <c r="I88" i="71" s="1"/>
  <c r="A86" i="44"/>
  <c r="G87" i="44"/>
  <c r="A64" i="1"/>
  <c r="L31" i="65"/>
  <c r="G27" i="12" l="1"/>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7" i="44"/>
  <c r="A88" i="44" s="1"/>
  <c r="A89" i="44" s="1"/>
  <c r="A90" i="44" s="1"/>
  <c r="A91" i="44" s="1"/>
  <c r="A92" i="44" s="1"/>
  <c r="I156" i="1" s="1"/>
  <c r="N23" i="21"/>
  <c r="N25" i="21" s="1"/>
  <c r="J18" i="8" s="1"/>
  <c r="E25" i="21"/>
  <c r="A88" i="71"/>
  <c r="A94" i="71" s="1"/>
  <c r="B192" i="71"/>
  <c r="A65" i="1"/>
  <c r="J32" i="65"/>
  <c r="K32" i="65" s="1"/>
  <c r="G90" i="44" l="1"/>
  <c r="A52" i="2"/>
  <c r="A53" i="2" s="1"/>
  <c r="A54" i="2" s="1"/>
  <c r="B100" i="44"/>
  <c r="A95" i="71"/>
  <c r="A96" i="71" s="1"/>
  <c r="A97" i="71" s="1"/>
  <c r="A98" i="71" s="1"/>
  <c r="A99" i="71" s="1"/>
  <c r="A100" i="71" s="1"/>
  <c r="A101" i="71" s="1"/>
  <c r="A102" i="71" s="1"/>
  <c r="A103" i="71" s="1"/>
  <c r="A104" i="71" s="1"/>
  <c r="A105" i="71" s="1"/>
  <c r="A111" i="71" s="1"/>
  <c r="G92" i="44"/>
  <c r="L32" i="65"/>
  <c r="A68" i="1"/>
  <c r="I83" i="1"/>
  <c r="E54" i="2" l="1"/>
  <c r="E53" i="2"/>
  <c r="A55" i="2"/>
  <c r="A56" i="2" s="1"/>
  <c r="A57" i="2" s="1"/>
  <c r="J139" i="46"/>
  <c r="J108" i="46"/>
  <c r="J140" i="46"/>
  <c r="J138" i="46"/>
  <c r="I105" i="71"/>
  <c r="A112" i="71"/>
  <c r="A113" i="71" s="1"/>
  <c r="J33" i="65"/>
  <c r="A69" i="1"/>
  <c r="A70" i="1" s="1"/>
  <c r="A58" i="2" l="1"/>
  <c r="A59" i="2" s="1"/>
  <c r="A60" i="2" s="1"/>
  <c r="F113" i="71"/>
  <c r="A114" i="71"/>
  <c r="A115" i="71" s="1"/>
  <c r="A120" i="71" s="1"/>
  <c r="F138" i="71"/>
  <c r="A73" i="1"/>
  <c r="I75" i="1" s="1"/>
  <c r="I84" i="1"/>
  <c r="K33" i="65"/>
  <c r="L33" i="65" s="1"/>
  <c r="E59" i="2" l="1"/>
  <c r="E60" i="2"/>
  <c r="A61" i="2"/>
  <c r="J143" i="46"/>
  <c r="J109" i="46"/>
  <c r="F115" i="71"/>
  <c r="A121" i="71"/>
  <c r="A122" i="71" s="1"/>
  <c r="A123" i="71" s="1"/>
  <c r="A124" i="71" s="1"/>
  <c r="A125" i="71" s="1"/>
  <c r="A126" i="71" s="1"/>
  <c r="A127" i="71" s="1"/>
  <c r="A128" i="71" s="1"/>
  <c r="A129" i="71" s="1"/>
  <c r="A130" i="71" s="1"/>
  <c r="A131" i="71" s="1"/>
  <c r="A137" i="71" s="1"/>
  <c r="J34" i="65"/>
  <c r="K34" i="65" s="1"/>
  <c r="A75" i="1"/>
  <c r="I80" i="1" s="1"/>
  <c r="A138" i="71" l="1"/>
  <c r="A139" i="71" s="1"/>
  <c r="F131" i="71"/>
  <c r="B193" i="71"/>
  <c r="A78" i="1"/>
  <c r="I78" i="1"/>
  <c r="I79" i="1"/>
  <c r="L34" i="65"/>
  <c r="F139" i="71" l="1"/>
  <c r="A140" i="71"/>
  <c r="A141" i="71" s="1"/>
  <c r="A142" i="71" s="1"/>
  <c r="A143" i="71" s="1"/>
  <c r="A144" i="71" s="1"/>
  <c r="A145" i="71" s="1"/>
  <c r="J35" i="65"/>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I89" i="1"/>
  <c r="K35" i="65"/>
  <c r="L35" i="65" s="1"/>
  <c r="G93" i="12" l="1"/>
  <c r="I15" i="12"/>
  <c r="J36" i="65"/>
  <c r="K36" i="65" s="1"/>
  <c r="A83" i="1"/>
  <c r="A84" i="1" s="1"/>
  <c r="A85" i="1" s="1"/>
  <c r="G100" i="12" s="1"/>
  <c r="I81" i="1"/>
  <c r="I90" i="1" l="1"/>
  <c r="E65" i="2"/>
  <c r="E66" i="2"/>
  <c r="A88" i="1"/>
  <c r="E21" i="7" s="1"/>
  <c r="A89" i="1"/>
  <c r="L36" i="65"/>
  <c r="J121" i="46" l="1"/>
  <c r="J37" i="65"/>
  <c r="A90" i="1"/>
  <c r="I93" i="1" s="1"/>
  <c r="E71" i="2" l="1"/>
  <c r="I91" i="1"/>
  <c r="A91" i="1"/>
  <c r="K37" i="65"/>
  <c r="L37" i="65" s="1"/>
  <c r="F25" i="71" l="1"/>
  <c r="E72" i="2"/>
  <c r="J122" i="46"/>
  <c r="J38" i="65"/>
  <c r="K38" i="65" s="1"/>
  <c r="A93" i="1"/>
  <c r="I95" i="1"/>
  <c r="F32" i="71" l="1"/>
  <c r="E22" i="7"/>
  <c r="I116" i="1"/>
  <c r="E77" i="2"/>
  <c r="A95" i="1"/>
  <c r="L38" i="65"/>
  <c r="E78" i="2" l="1"/>
  <c r="J132" i="46"/>
  <c r="J39" i="65"/>
  <c r="K39" i="65" s="1"/>
  <c r="A100" i="1"/>
  <c r="I131" i="1"/>
  <c r="A101" i="1" l="1"/>
  <c r="A102" i="1" s="1"/>
  <c r="L39" i="65"/>
  <c r="F33" i="71" l="1"/>
  <c r="I16" i="12"/>
  <c r="H43" i="8"/>
  <c r="E23" i="7"/>
  <c r="G56" i="44"/>
  <c r="I117" i="1"/>
  <c r="E84" i="2"/>
  <c r="E83" i="2"/>
  <c r="J133" i="46"/>
  <c r="I102" i="1"/>
  <c r="J40" i="65"/>
  <c r="K40" i="65" s="1"/>
  <c r="A105" i="1"/>
  <c r="E89" i="2" l="1"/>
  <c r="A106" i="1"/>
  <c r="A107" i="1" s="1"/>
  <c r="L40" i="65"/>
  <c r="H44" i="8" l="1"/>
  <c r="I118" i="1"/>
  <c r="E90" i="2"/>
  <c r="J134" i="46"/>
  <c r="A110" i="1"/>
  <c r="A112" i="1" s="1"/>
  <c r="H45" i="8" s="1"/>
  <c r="J41" i="65"/>
  <c r="I132" i="1" l="1"/>
  <c r="A124" i="1"/>
  <c r="A125" i="1" s="1"/>
  <c r="H49" i="8" s="1"/>
  <c r="I110" i="1"/>
  <c r="K41" i="65"/>
  <c r="L41" i="65" s="1"/>
  <c r="H48" i="8" l="1"/>
  <c r="E96" i="2"/>
  <c r="E95" i="2"/>
  <c r="J136" i="46"/>
  <c r="J42" i="65"/>
  <c r="K42" i="65" s="1"/>
  <c r="A126" i="1"/>
  <c r="H50" i="8" s="1"/>
  <c r="E101" i="2" l="1"/>
  <c r="A127" i="1"/>
  <c r="H51" i="8" s="1"/>
  <c r="L42" i="65"/>
  <c r="E102" i="2" l="1"/>
  <c r="J141" i="46"/>
  <c r="J43" i="65"/>
  <c r="A128" i="1"/>
  <c r="H52" i="8" s="1"/>
  <c r="A129" i="1" l="1"/>
  <c r="H53" i="8" s="1"/>
  <c r="K43" i="65"/>
  <c r="L43" i="65" s="1"/>
  <c r="E108" i="2" l="1"/>
  <c r="E107" i="2"/>
  <c r="J145" i="46"/>
  <c r="J44" i="65"/>
  <c r="K44" i="65" s="1"/>
  <c r="A130" i="1"/>
  <c r="H54" i="8" s="1"/>
  <c r="A131" i="1" l="1"/>
  <c r="A132" i="1" s="1"/>
  <c r="A133" i="1" s="1"/>
  <c r="H57" i="8" s="1"/>
  <c r="L44" i="65"/>
  <c r="F53" i="65" s="1"/>
  <c r="E113" i="2" l="1"/>
  <c r="E114" i="2"/>
  <c r="J161" i="46"/>
  <c r="H53" i="65"/>
  <c r="I53" i="65" s="1"/>
  <c r="A134" i="1"/>
  <c r="A135" i="1" l="1"/>
  <c r="H58" i="8"/>
  <c r="A136" i="1"/>
  <c r="I136" i="1"/>
  <c r="A138" i="1"/>
  <c r="A139" i="1" s="1"/>
  <c r="G88" i="44" s="1"/>
  <c r="J53" i="65"/>
  <c r="F54" i="65" s="1"/>
  <c r="I138" i="1" l="1"/>
  <c r="E70" i="7"/>
  <c r="I139" i="1"/>
  <c r="E120" i="2"/>
  <c r="E119" i="2"/>
  <c r="J162" i="46"/>
  <c r="A141" i="1"/>
  <c r="I146" i="1" s="1"/>
  <c r="I141" i="1"/>
  <c r="H54" i="65"/>
  <c r="I54" i="65" s="1"/>
  <c r="A146" i="1" l="1"/>
  <c r="A147" i="1" s="1"/>
  <c r="A148" i="1" s="1"/>
  <c r="A149" i="1" s="1"/>
  <c r="A150" i="1" s="1"/>
  <c r="A152" i="1" s="1"/>
  <c r="E3" i="53" s="1"/>
  <c r="J163" i="46"/>
  <c r="J54" i="65"/>
  <c r="F55" i="65" s="1"/>
  <c r="E125" i="2" l="1"/>
  <c r="E126" i="2"/>
  <c r="A155" i="1"/>
  <c r="I155" i="1"/>
  <c r="I152" i="1"/>
  <c r="H55" i="65"/>
  <c r="A156" i="1" l="1"/>
  <c r="A157" i="1" s="1"/>
  <c r="G4" i="31" s="1"/>
  <c r="I55" i="65"/>
  <c r="J55" i="65" s="1"/>
  <c r="F56" i="65" s="1"/>
  <c r="I157" i="1" l="1"/>
  <c r="H56" i="65"/>
  <c r="I56" i="65" s="1"/>
  <c r="J56" i="65" l="1"/>
  <c r="F57" i="65" s="1"/>
  <c r="H57" i="65" l="1"/>
  <c r="I57" i="65" l="1"/>
  <c r="J57" i="65" s="1"/>
  <c r="F58" i="65" s="1"/>
  <c r="H58" i="65" l="1"/>
  <c r="I58" i="65" s="1"/>
  <c r="J58" i="65" l="1"/>
  <c r="F59" i="65" s="1"/>
  <c r="H59" i="65" l="1"/>
  <c r="I59" i="65" l="1"/>
  <c r="J59" i="65" s="1"/>
  <c r="F60" i="65" s="1"/>
  <c r="H60" i="65" l="1"/>
  <c r="I60" i="65" s="1"/>
  <c r="J60" i="65" l="1"/>
  <c r="F61" i="65" s="1"/>
  <c r="H61" i="65" l="1"/>
  <c r="I61" i="65" l="1"/>
  <c r="J61" i="65" s="1"/>
  <c r="F62" i="65" s="1"/>
  <c r="H62" i="65" l="1"/>
  <c r="I62" i="65" s="1"/>
  <c r="J62" i="65" l="1"/>
  <c r="F63" i="65" s="1"/>
  <c r="H63" i="65" l="1"/>
  <c r="I63" i="65" l="1"/>
  <c r="J63" i="65" s="1"/>
  <c r="F64" i="65" s="1"/>
  <c r="H64" i="65" l="1"/>
  <c r="I64" i="65" s="1"/>
  <c r="J64" i="65" l="1"/>
  <c r="K53" i="1"/>
  <c r="K54" i="1" s="1"/>
  <c r="F58" i="17"/>
  <c r="F115" i="46"/>
  <c r="I115" i="46" s="1"/>
  <c r="F129" i="46"/>
  <c r="I129" i="46" s="1"/>
  <c r="H129" i="46"/>
  <c r="G129" i="46" s="1"/>
  <c r="F130" i="46"/>
  <c r="I130" i="46" s="1"/>
  <c r="F128" i="46"/>
  <c r="I128" i="46" s="1"/>
  <c r="F114" i="46"/>
  <c r="I114" i="46" s="1"/>
  <c r="H114" i="46"/>
  <c r="F97" i="46"/>
  <c r="I97" i="46" s="1"/>
  <c r="H97" i="46"/>
  <c r="G114" i="46" l="1"/>
  <c r="I148" i="46"/>
  <c r="K149" i="46" s="1"/>
  <c r="H128" i="46"/>
  <c r="G128" i="46" s="1"/>
  <c r="G97" i="46"/>
  <c r="H130" i="46"/>
  <c r="G130" i="46" s="1"/>
  <c r="H115" i="46"/>
  <c r="G115" i="46" s="1"/>
  <c r="C196" i="46" l="1"/>
  <c r="H147" i="46" s="1"/>
  <c r="G147" i="46" s="1"/>
  <c r="G148" i="46" s="1"/>
  <c r="H148" i="46" l="1"/>
  <c r="K148" i="46" l="1"/>
  <c r="F160" i="46"/>
  <c r="I160" i="46" s="1"/>
  <c r="H160" i="46"/>
  <c r="G160" i="46" s="1"/>
  <c r="F159" i="46"/>
  <c r="I159" i="46" s="1"/>
  <c r="F158" i="46"/>
  <c r="I158" i="46" s="1"/>
  <c r="F164" i="46"/>
  <c r="I164" i="46" s="1"/>
  <c r="F157" i="46"/>
  <c r="I157" i="46" s="1"/>
  <c r="I167" i="46" s="1"/>
  <c r="I170" i="46" s="1"/>
  <c r="H157" i="46" l="1"/>
  <c r="H164" i="46"/>
  <c r="G164" i="46" s="1"/>
  <c r="H158" i="46"/>
  <c r="G157" i="46"/>
  <c r="G158" i="46"/>
  <c r="H159" i="46"/>
  <c r="G159" i="46" s="1"/>
  <c r="G167" i="46" l="1"/>
  <c r="H167" i="46"/>
  <c r="H170" i="46" s="1"/>
  <c r="G170" i="46" l="1"/>
  <c r="K124" i="1" s="1"/>
  <c r="G7" i="2"/>
  <c r="G15" i="2" s="1"/>
  <c r="H86" i="64" s="1"/>
  <c r="H87" i="64" s="1"/>
  <c r="F94" i="64" s="1"/>
  <c r="F95" i="64" s="1"/>
  <c r="K127" i="1" s="1"/>
  <c r="H73" i="44" l="1"/>
  <c r="G35" i="79"/>
  <c r="G36" i="79" s="1"/>
  <c r="I28" i="79"/>
  <c r="I29" i="79" s="1"/>
  <c r="I17" i="79" s="1"/>
  <c r="G44" i="79"/>
  <c r="G45" i="79" s="1"/>
  <c r="I44" i="79"/>
  <c r="I45" i="79" s="1"/>
  <c r="I19" i="79" s="1"/>
  <c r="I35" i="79"/>
  <c r="I36" i="79" s="1"/>
  <c r="I18" i="79" s="1"/>
  <c r="G28" i="79"/>
  <c r="G29" i="79" s="1"/>
  <c r="H284" i="15"/>
  <c r="H285" i="15" s="1"/>
  <c r="H138" i="15"/>
  <c r="H139" i="15" s="1"/>
  <c r="H172" i="15"/>
  <c r="H173" i="15" s="1"/>
  <c r="G25" i="2"/>
  <c r="F50" i="22"/>
  <c r="F51" i="22" s="1"/>
  <c r="J13" i="8" s="1"/>
  <c r="F62" i="4"/>
  <c r="F63" i="4" s="1"/>
  <c r="K10" i="1" s="1"/>
  <c r="D28" i="54"/>
  <c r="D29" i="54" s="1"/>
  <c r="D38" i="54" s="1"/>
  <c r="F26" i="26"/>
  <c r="F27" i="26" s="1"/>
  <c r="F54" i="22"/>
  <c r="F55" i="22" s="1"/>
  <c r="K16" i="1" s="1"/>
  <c r="F59" i="21"/>
  <c r="F60" i="21" s="1"/>
  <c r="K23" i="1" s="1"/>
  <c r="K24" i="1" s="1"/>
  <c r="K55" i="1"/>
  <c r="K56" i="1" s="1"/>
  <c r="F24" i="22"/>
  <c r="F52" i="21"/>
  <c r="F53" i="21" s="1"/>
  <c r="J20" i="8" s="1"/>
  <c r="J21" i="8" s="1"/>
  <c r="E28" i="54"/>
  <c r="E29" i="54" s="1"/>
  <c r="E38" i="54" s="1"/>
  <c r="K11" i="1" s="1"/>
  <c r="F57" i="4"/>
  <c r="F58" i="4" s="1"/>
  <c r="J7" i="8" s="1"/>
  <c r="G23" i="2"/>
  <c r="J51" i="8"/>
  <c r="J48" i="8"/>
  <c r="I20" i="79" l="1"/>
  <c r="K9" i="79" s="1"/>
  <c r="K31" i="1" s="1"/>
  <c r="G19" i="79"/>
  <c r="K19" i="79" s="1"/>
  <c r="K45" i="79"/>
  <c r="K29" i="79"/>
  <c r="G17" i="79"/>
  <c r="K36" i="79"/>
  <c r="G18" i="79"/>
  <c r="K18" i="79" s="1"/>
  <c r="H74" i="44"/>
  <c r="H81" i="44" s="1"/>
  <c r="H82" i="44" s="1"/>
  <c r="H87" i="44" s="1"/>
  <c r="H91" i="44" s="1"/>
  <c r="G28" i="2"/>
  <c r="F27" i="22"/>
  <c r="J12" i="8" s="1"/>
  <c r="F26" i="22"/>
  <c r="K15" i="1" s="1"/>
  <c r="D41" i="54"/>
  <c r="J8" i="8" s="1"/>
  <c r="K17" i="79" l="1"/>
  <c r="K20" i="79" s="1"/>
  <c r="K10" i="79" s="1"/>
  <c r="J26" i="8" s="1"/>
  <c r="G20" i="79"/>
  <c r="G299" i="15"/>
  <c r="G300" i="15" s="1"/>
  <c r="G172" i="15"/>
  <c r="G173" i="15" s="1"/>
  <c r="D173" i="15" s="1"/>
  <c r="D11" i="15" s="1"/>
  <c r="G284" i="15"/>
  <c r="G285" i="15" s="1"/>
  <c r="D285" i="15" s="1"/>
  <c r="D12" i="15" s="1"/>
  <c r="G138" i="15"/>
  <c r="G139" i="15" s="1"/>
  <c r="D139" i="15" s="1"/>
  <c r="D10" i="15" s="1"/>
  <c r="K40" i="1"/>
  <c r="K41" i="1" s="1"/>
  <c r="K58" i="1" s="1"/>
  <c r="K129" i="1" s="1"/>
  <c r="J53" i="8" s="1"/>
  <c r="F28" i="26"/>
  <c r="F29" i="26" s="1"/>
  <c r="F30" i="26" s="1"/>
  <c r="K125" i="1" s="1"/>
  <c r="D13" i="15" l="1"/>
  <c r="D14" i="15" s="1"/>
  <c r="D24" i="15" s="1"/>
  <c r="J23" i="8" s="1"/>
  <c r="E300" i="15"/>
  <c r="D300" i="15" s="1"/>
  <c r="D72" i="7"/>
  <c r="K17" i="1"/>
  <c r="J14" i="8" s="1"/>
  <c r="J15" i="8" s="1"/>
  <c r="J49" i="8"/>
  <c r="K18" i="1" l="1"/>
  <c r="J29" i="8"/>
  <c r="J41" i="8" s="1"/>
  <c r="K26" i="1"/>
  <c r="K34" i="1" l="1"/>
  <c r="K110" i="1" s="1"/>
  <c r="K132" i="1" s="1"/>
  <c r="J38" i="8"/>
  <c r="J56" i="8" s="1"/>
  <c r="J34" i="8"/>
  <c r="J55" i="8" s="1"/>
  <c r="F90" i="12"/>
  <c r="F92" i="12" s="1"/>
  <c r="F94" i="12" s="1"/>
  <c r="F98" i="12" s="1"/>
  <c r="F101" i="12" s="1"/>
  <c r="K95" i="1" l="1"/>
  <c r="K131" i="1" s="1"/>
  <c r="K136" i="1" s="1"/>
  <c r="D70" i="7" s="1"/>
  <c r="D71" i="7" s="1"/>
  <c r="J59" i="8"/>
  <c r="J63" i="8" s="1"/>
  <c r="E67" i="8" s="1"/>
  <c r="E69" i="8" s="1"/>
  <c r="K139" i="1" l="1"/>
  <c r="H88" i="44" s="1"/>
  <c r="K138" i="1"/>
  <c r="E71" i="8"/>
  <c r="E72" i="8" s="1"/>
  <c r="E14" i="65" s="1"/>
  <c r="D73" i="7"/>
  <c r="K141" i="1" l="1"/>
  <c r="C6" i="9" s="1"/>
  <c r="D79" i="7"/>
  <c r="K146" i="1" l="1"/>
  <c r="D80" i="7"/>
  <c r="D86" i="7" l="1"/>
  <c r="D88" i="7" l="1"/>
  <c r="D89" i="7"/>
  <c r="D91" i="7" l="1"/>
  <c r="K147" i="1" s="1"/>
  <c r="H89" i="44"/>
  <c r="H90" i="44" s="1"/>
  <c r="H92" i="44" s="1"/>
  <c r="K156" i="1" s="1"/>
  <c r="C7" i="9" l="1"/>
  <c r="C10" i="9" s="1"/>
  <c r="K152" i="1"/>
  <c r="D3" i="53" l="1"/>
  <c r="K155" i="1"/>
  <c r="K157" i="1" s="1"/>
  <c r="B4" i="31" s="1"/>
  <c r="D18" i="31" s="1"/>
  <c r="F18" i="31" l="1"/>
  <c r="F20" i="31" s="1"/>
  <c r="D20" i="31"/>
  <c r="E18" i="31"/>
  <c r="E20" i="31" s="1"/>
  <c r="D27" i="53"/>
  <c r="D28" i="53"/>
  <c r="D20" i="53"/>
  <c r="D21" i="53"/>
  <c r="D26" i="53"/>
  <c r="D17" i="53"/>
  <c r="D23" i="53"/>
  <c r="D25" i="53"/>
  <c r="D18" i="53"/>
  <c r="D22" i="53"/>
  <c r="D29" i="53"/>
  <c r="D24" i="53"/>
  <c r="D19" i="53"/>
  <c r="C73" i="53" l="1"/>
  <c r="I24" i="53"/>
  <c r="D216" i="53"/>
  <c r="C49" i="53"/>
  <c r="C70" i="53"/>
  <c r="D212" i="53"/>
  <c r="I21" i="53"/>
  <c r="C69" i="53"/>
  <c r="D211" i="53"/>
  <c r="I20" i="53"/>
  <c r="C71" i="53"/>
  <c r="I22" i="53"/>
  <c r="D214" i="53"/>
  <c r="C47" i="53"/>
  <c r="G47" i="53" s="1"/>
  <c r="I25" i="53"/>
  <c r="D219" i="53"/>
  <c r="C76" i="53"/>
  <c r="C68" i="53"/>
  <c r="D68" i="53" s="1"/>
  <c r="D210" i="53"/>
  <c r="H19" i="53"/>
  <c r="G68" i="53" s="1"/>
  <c r="H210" i="53" s="1"/>
  <c r="C238" i="53" s="1"/>
  <c r="F238" i="53" s="1"/>
  <c r="D221" i="53"/>
  <c r="I27" i="53"/>
  <c r="C78" i="53"/>
  <c r="I23" i="53"/>
  <c r="C72" i="53"/>
  <c r="D215" i="53"/>
  <c r="C48" i="53"/>
  <c r="G48" i="53" s="1"/>
  <c r="I26" i="53"/>
  <c r="C77" i="53"/>
  <c r="D220" i="53"/>
  <c r="C80" i="53"/>
  <c r="D80" i="53" s="1"/>
  <c r="H29" i="53"/>
  <c r="G80" i="53" s="1"/>
  <c r="H224" i="53" s="1"/>
  <c r="C252" i="53" s="1"/>
  <c r="F252" i="53" s="1"/>
  <c r="D224" i="53"/>
  <c r="I28" i="53"/>
  <c r="C79" i="53"/>
  <c r="D222" i="53"/>
  <c r="C67" i="53"/>
  <c r="D67" i="53" s="1"/>
  <c r="H18" i="53"/>
  <c r="G67" i="53" s="1"/>
  <c r="H209" i="53" s="1"/>
  <c r="C237" i="53" s="1"/>
  <c r="F237" i="53" s="1"/>
  <c r="D209" i="53"/>
  <c r="H17" i="53"/>
  <c r="G66" i="53" s="1"/>
  <c r="H207" i="53" s="1"/>
  <c r="C235" i="53" s="1"/>
  <c r="C66" i="53"/>
  <c r="D207" i="53"/>
  <c r="D36" i="53"/>
  <c r="F235" i="53" l="1"/>
  <c r="C254" i="53"/>
  <c r="F47" i="53"/>
  <c r="D71" i="53" s="1"/>
  <c r="H71" i="53" s="1"/>
  <c r="I214" i="53" s="1"/>
  <c r="D242" i="53" s="1"/>
  <c r="I47" i="53"/>
  <c r="I71" i="53" s="1"/>
  <c r="J214" i="53" s="1"/>
  <c r="E242" i="53" s="1"/>
  <c r="E71" i="53"/>
  <c r="G49" i="53"/>
  <c r="E73" i="53" s="1"/>
  <c r="C50" i="53"/>
  <c r="F48" i="53"/>
  <c r="D72" i="53" s="1"/>
  <c r="H72" i="53" s="1"/>
  <c r="I215" i="53" s="1"/>
  <c r="D243" i="53" s="1"/>
  <c r="E72" i="53"/>
  <c r="I48" i="53"/>
  <c r="I72" i="53" s="1"/>
  <c r="J215" i="53" s="1"/>
  <c r="E243" i="53" s="1"/>
  <c r="D226" i="53"/>
  <c r="D66" i="53"/>
  <c r="C89" i="53"/>
  <c r="F242" i="53" l="1"/>
  <c r="I78" i="53"/>
  <c r="K78" i="53" s="1"/>
  <c r="F243" i="53"/>
  <c r="I77" i="53"/>
  <c r="I76" i="53"/>
  <c r="I70" i="53"/>
  <c r="I79" i="53"/>
  <c r="F49" i="53"/>
  <c r="D73" i="53" s="1"/>
  <c r="I69" i="53"/>
  <c r="C51" i="53"/>
  <c r="G50" i="53"/>
  <c r="J221" i="53" l="1"/>
  <c r="E249" i="53" s="1"/>
  <c r="E78" i="53"/>
  <c r="D78" i="53" s="1"/>
  <c r="H78" i="53" s="1"/>
  <c r="I221" i="53" s="1"/>
  <c r="D249" i="53" s="1"/>
  <c r="J212" i="53"/>
  <c r="E240" i="53" s="1"/>
  <c r="E70" i="53"/>
  <c r="D70" i="53" s="1"/>
  <c r="H70" i="53" s="1"/>
  <c r="I212" i="53" s="1"/>
  <c r="D240" i="53" s="1"/>
  <c r="E76" i="53"/>
  <c r="D76" i="53" s="1"/>
  <c r="H76" i="53" s="1"/>
  <c r="K76" i="53"/>
  <c r="J219" i="53"/>
  <c r="E247" i="53" s="1"/>
  <c r="E79" i="53"/>
  <c r="D79" i="53" s="1"/>
  <c r="H79" i="53" s="1"/>
  <c r="I222" i="53" s="1"/>
  <c r="D250" i="53" s="1"/>
  <c r="J222" i="53"/>
  <c r="E250" i="53" s="1"/>
  <c r="E69" i="53"/>
  <c r="J211" i="53"/>
  <c r="E239" i="53" s="1"/>
  <c r="J220" i="53"/>
  <c r="E248" i="53" s="1"/>
  <c r="E77" i="53"/>
  <c r="D77" i="53" s="1"/>
  <c r="H77" i="53" s="1"/>
  <c r="I220" i="53" s="1"/>
  <c r="D248" i="53" s="1"/>
  <c r="F50" i="53"/>
  <c r="D74" i="53" s="1"/>
  <c r="H74" i="53" s="1"/>
  <c r="I216" i="53" s="1"/>
  <c r="D244" i="53" s="1"/>
  <c r="E74" i="53"/>
  <c r="I50" i="53"/>
  <c r="I74" i="53" s="1"/>
  <c r="J216" i="53" s="1"/>
  <c r="E244" i="53" s="1"/>
  <c r="G51" i="53"/>
  <c r="F51" i="53" s="1"/>
  <c r="D75" i="53" s="1"/>
  <c r="H75" i="53" s="1"/>
  <c r="I217" i="53" s="1"/>
  <c r="D245" i="53" s="1"/>
  <c r="F249" i="53" l="1"/>
  <c r="J78" i="53"/>
  <c r="F240" i="53"/>
  <c r="F250" i="53"/>
  <c r="F248" i="53"/>
  <c r="F244" i="53"/>
  <c r="J76" i="53"/>
  <c r="I219" i="53"/>
  <c r="D247" i="53" s="1"/>
  <c r="F247" i="53" s="1"/>
  <c r="D69" i="53"/>
  <c r="E89" i="53"/>
  <c r="I51" i="53"/>
  <c r="I75" i="53" s="1"/>
  <c r="J217" i="53" s="1"/>
  <c r="E245" i="53" s="1"/>
  <c r="E254" i="53" s="1"/>
  <c r="B8" i="31" s="1"/>
  <c r="E75" i="53"/>
  <c r="E24" i="31" l="1"/>
  <c r="E27" i="31" s="1"/>
  <c r="D24" i="31"/>
  <c r="D27" i="31" s="1"/>
  <c r="F24" i="31"/>
  <c r="F27" i="31" s="1"/>
  <c r="H69" i="53"/>
  <c r="I211" i="53" s="1"/>
  <c r="D239" i="53" s="1"/>
  <c r="D89" i="53"/>
  <c r="F245" i="53"/>
  <c r="F239" i="53" l="1"/>
  <c r="F254" i="53" s="1"/>
  <c r="D254" i="53"/>
  <c r="E20" i="32"/>
  <c r="E22" i="32" s="1"/>
  <c r="E40" i="32"/>
  <c r="E42" i="32" s="1"/>
  <c r="E14" i="32"/>
  <c r="E16" i="32" s="1"/>
  <c r="E34" i="32"/>
  <c r="E36" i="32" s="1"/>
  <c r="E28" i="32"/>
  <c r="E30" i="32" s="1"/>
</calcChain>
</file>

<file path=xl/sharedStrings.xml><?xml version="1.0" encoding="utf-8"?>
<sst xmlns="http://schemas.openxmlformats.org/spreadsheetml/2006/main" count="7200" uniqueCount="3211">
  <si>
    <t>-------</t>
  </si>
  <si>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</si>
  <si>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</si>
  <si>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</si>
  <si>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</si>
  <si>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</si>
  <si>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</si>
  <si>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</si>
  <si>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</si>
  <si>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</si>
  <si>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</si>
  <si>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</si>
  <si>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</si>
  <si>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</si>
  <si>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</si>
  <si>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</si>
  <si>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</si>
  <si>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</si>
  <si>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</si>
  <si>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</si>
  <si>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</si>
  <si>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</si>
  <si>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</si>
  <si>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</si>
  <si>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</si>
  <si>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</si>
  <si>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</si>
  <si>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</si>
  <si>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</si>
  <si>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</si>
  <si>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NA</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</si>
  <si>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</si>
  <si>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</si>
  <si>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</si>
  <si>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</si>
  <si>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</si>
  <si>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</si>
  <si>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</si>
  <si>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</si>
  <si>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</si>
  <si>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</si>
  <si>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</si>
  <si>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</si>
  <si>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</si>
  <si>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</si>
  <si>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</si>
  <si>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</si>
  <si>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</si>
  <si>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</si>
  <si>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</si>
  <si>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</si>
  <si>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</si>
  <si>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</si>
  <si>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</si>
  <si>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</si>
  <si>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</si>
  <si>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</si>
  <si>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</si>
  <si>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</si>
  <si>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</si>
  <si>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</si>
  <si>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</si>
  <si>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</si>
  <si>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</si>
  <si>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</si>
  <si>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</si>
  <si>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</si>
  <si>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</si>
  <si>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</si>
  <si>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</si>
  <si>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</si>
  <si>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</si>
  <si>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</si>
  <si>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</si>
  <si>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</si>
  <si>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</si>
  <si>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</si>
  <si>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</si>
  <si>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</si>
  <si>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</si>
  <si>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</si>
  <si>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</si>
  <si>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</si>
  <si>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</si>
  <si>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</si>
  <si>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</si>
  <si>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</si>
  <si>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</si>
  <si>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</si>
  <si>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</si>
  <si>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</si>
  <si>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</si>
  <si>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</si>
  <si>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</si>
  <si>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</si>
  <si>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</si>
  <si>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</si>
  <si>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</si>
  <si>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b) Return on Capital</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</si>
  <si>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</si>
  <si>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</si>
  <si>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</si>
  <si>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</si>
  <si>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</si>
  <si>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</si>
  <si>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</si>
  <si>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</si>
  <si>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</si>
  <si>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</si>
  <si>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</si>
  <si>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</si>
  <si>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</si>
  <si>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</si>
  <si>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</si>
  <si>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</si>
  <si>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</si>
  <si>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</si>
  <si>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</si>
  <si>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</si>
  <si>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</si>
  <si>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</si>
  <si>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</si>
  <si>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</si>
  <si>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</si>
  <si>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</si>
  <si>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</si>
  <si>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</si>
  <si>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</si>
  <si>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</si>
  <si>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</si>
  <si>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</si>
  <si>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</si>
  <si>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</si>
  <si>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</si>
  <si>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</si>
  <si>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</si>
  <si>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</si>
  <si>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</si>
  <si>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</si>
  <si>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</si>
  <si>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</si>
  <si>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</si>
  <si>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</si>
  <si>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</si>
  <si>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</si>
  <si>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</si>
  <si>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</si>
  <si>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</si>
  <si>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</si>
  <si>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</si>
  <si>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</si>
  <si>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</si>
  <si>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</si>
  <si>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</si>
  <si>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</si>
  <si>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</si>
  <si>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</si>
  <si>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</si>
  <si>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</si>
  <si>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</si>
  <si>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</si>
  <si>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</si>
  <si>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</si>
  <si>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</si>
  <si>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</si>
  <si>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</si>
  <si>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</si>
  <si>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</si>
  <si>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</si>
  <si>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</si>
  <si>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</si>
  <si>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</si>
  <si>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</si>
  <si>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</si>
  <si>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</si>
  <si>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</si>
  <si>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</si>
  <si>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Domestic</t>
  </si>
  <si>
    <t>GS-1</t>
  </si>
  <si>
    <t>TC-1</t>
  </si>
  <si>
    <t>GS-2</t>
  </si>
  <si>
    <t>TOU-GS-3</t>
  </si>
  <si>
    <t>PA-1</t>
  </si>
  <si>
    <t>PA-2</t>
  </si>
  <si>
    <t>TOU-AG</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</si>
  <si>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</si>
  <si>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</si>
  <si>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</si>
  <si>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</si>
  <si>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</si>
  <si>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</si>
  <si>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</si>
  <si>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</si>
  <si>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</si>
  <si>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</si>
  <si>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</si>
  <si>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</si>
  <si>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</si>
  <si>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</si>
  <si>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</si>
  <si>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</si>
  <si>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</si>
  <si>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</si>
  <si>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</si>
  <si>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</si>
  <si>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</si>
  <si>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</si>
  <si>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</si>
  <si>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</si>
  <si>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</si>
  <si>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</si>
  <si>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</si>
  <si>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</si>
  <si>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</si>
  <si>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</si>
  <si>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</si>
  <si>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</si>
  <si>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</si>
  <si>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</si>
  <si>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</si>
  <si>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</si>
  <si>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</si>
  <si>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</si>
  <si>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</si>
  <si>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</si>
  <si>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</si>
  <si>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</si>
  <si>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</si>
  <si>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</si>
  <si>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</si>
  <si>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</si>
  <si>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</si>
  <si>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</si>
  <si>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</si>
  <si>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</si>
  <si>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</si>
  <si>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</si>
  <si>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</si>
  <si>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</si>
  <si>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</si>
  <si>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</si>
  <si>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</si>
  <si>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</si>
  <si>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</si>
  <si>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</si>
  <si>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</si>
  <si>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</si>
  <si>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</si>
  <si>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</si>
  <si>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</si>
  <si>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</si>
  <si>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</si>
  <si>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</si>
  <si>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</si>
  <si>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</si>
  <si>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</si>
  <si>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</si>
  <si>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</si>
  <si>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</si>
  <si>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</si>
  <si>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</si>
  <si>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</si>
  <si>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</si>
  <si>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</si>
  <si>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</si>
  <si>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</si>
  <si>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</si>
  <si>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</si>
  <si>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</si>
  <si>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</si>
  <si>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</si>
  <si>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</si>
  <si>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</si>
  <si>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</si>
  <si>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</si>
  <si>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</si>
  <si>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</si>
  <si>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</si>
  <si>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</si>
  <si>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</si>
  <si>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</si>
  <si>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</si>
  <si>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</si>
  <si>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</si>
  <si>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</si>
  <si>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</si>
  <si>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</si>
  <si>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</si>
  <si>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</si>
  <si>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</si>
  <si>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</si>
  <si>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</si>
  <si>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</si>
  <si>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</si>
  <si>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</si>
  <si>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</si>
  <si>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</si>
  <si>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</si>
  <si>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</si>
  <si>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</si>
  <si>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</si>
  <si>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</si>
  <si>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</si>
  <si>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</si>
  <si>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</si>
  <si>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</si>
  <si>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</si>
  <si>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</si>
  <si>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</si>
  <si>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</si>
  <si>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</si>
  <si>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</si>
  <si>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</si>
  <si>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</si>
  <si>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</si>
  <si>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</si>
  <si>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</si>
  <si>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</si>
  <si>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</si>
  <si>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</si>
  <si>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</si>
  <si>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</si>
  <si>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CPUC D. 09-03-025 Appendix C, page 2</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</si>
  <si>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</si>
  <si>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</si>
  <si>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</si>
  <si>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</si>
  <si>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</si>
  <si>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</si>
  <si>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</si>
  <si>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</si>
  <si>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</si>
  <si>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</si>
  <si>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</si>
  <si>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</si>
  <si>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</si>
  <si>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</si>
  <si>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</si>
  <si>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</si>
  <si>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</si>
  <si>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</si>
  <si>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</si>
  <si>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</si>
  <si>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</si>
  <si>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</si>
  <si>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</si>
  <si>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</si>
  <si>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</si>
  <si>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</si>
  <si>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</si>
  <si>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</si>
  <si>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</si>
  <si>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</si>
  <si>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</si>
  <si>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</si>
  <si>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</si>
  <si>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</si>
  <si>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</si>
  <si>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</si>
  <si>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</si>
  <si>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</si>
  <si>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</si>
  <si>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</si>
  <si>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</si>
  <si>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</si>
  <si>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</si>
  <si>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</si>
  <si>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</si>
  <si>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</si>
  <si>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</si>
  <si>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</si>
  <si>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</si>
  <si>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</si>
  <si>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</si>
  <si>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</si>
  <si>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</si>
  <si>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</si>
  <si>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</si>
  <si>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</si>
  <si>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</si>
  <si>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</si>
  <si>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</si>
  <si>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</si>
  <si>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</si>
  <si>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</si>
  <si>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</si>
  <si>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</si>
  <si>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</si>
  <si>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</si>
  <si>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</si>
  <si>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</si>
  <si>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</si>
  <si>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</si>
  <si>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</si>
  <si>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</si>
  <si>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</si>
  <si>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</si>
  <si>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</si>
  <si>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</si>
  <si>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</si>
  <si>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</si>
  <si>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</si>
  <si>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</si>
  <si>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</si>
  <si>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</si>
  <si>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</si>
  <si>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</si>
  <si>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</si>
  <si>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</si>
  <si>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</si>
  <si>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</si>
  <si>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</si>
  <si>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</si>
  <si>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</si>
  <si>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present</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</si>
  <si>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</si>
  <si>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</si>
  <si>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</si>
  <si>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</si>
  <si>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</si>
  <si>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</si>
  <si>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</si>
  <si>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</si>
  <si>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</si>
  <si>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</si>
  <si>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</si>
  <si>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</si>
  <si>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</si>
  <si>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</si>
  <si>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</si>
  <si>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</si>
  <si>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</si>
  <si>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</si>
  <si>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</si>
  <si>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</si>
  <si>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</si>
  <si>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</si>
  <si>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</si>
  <si>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</si>
  <si>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</si>
  <si>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</si>
  <si>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</si>
  <si>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</si>
  <si>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</si>
  <si>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</si>
  <si>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</si>
  <si>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</si>
  <si>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</si>
  <si>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</si>
  <si>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</si>
  <si>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</si>
  <si>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</si>
  <si>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</si>
  <si>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</si>
  <si>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</si>
  <si>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</si>
  <si>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</si>
  <si>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</si>
  <si>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</si>
  <si>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</si>
  <si>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</si>
  <si>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</si>
  <si>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</si>
  <si>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</si>
  <si>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</si>
  <si>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</si>
  <si>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</si>
  <si>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</si>
  <si>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</si>
  <si>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</si>
  <si>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</si>
  <si>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</si>
  <si>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</si>
  <si>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</si>
  <si>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</si>
  <si>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</si>
  <si>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</si>
  <si>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</si>
  <si>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</si>
  <si>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</si>
  <si>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</si>
  <si>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</si>
  <si>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</si>
  <si>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</si>
  <si>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</si>
  <si>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</si>
  <si>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</si>
  <si>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</si>
  <si>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</si>
  <si>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</si>
  <si>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</si>
  <si>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</si>
  <si>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</si>
  <si>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</si>
  <si>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</si>
  <si>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</si>
  <si>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</si>
  <si>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</si>
  <si>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</si>
  <si>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</si>
  <si>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</si>
  <si>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</si>
  <si>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</si>
  <si>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</si>
  <si>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</si>
  <si>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FF1 207.56g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</si>
  <si>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</si>
  <si>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</si>
  <si>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</si>
  <si>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</si>
  <si>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</si>
  <si>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</si>
  <si>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</si>
  <si>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</si>
  <si>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</si>
  <si>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</si>
  <si>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</si>
  <si>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</si>
  <si>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</si>
  <si>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</si>
  <si>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</si>
  <si>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</si>
  <si>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</si>
  <si>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</si>
  <si>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</si>
  <si>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</si>
  <si>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LV Substations (Less Than 220kV)</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</si>
  <si>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</si>
  <si>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</si>
  <si>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</si>
  <si>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</si>
  <si>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</si>
  <si>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</si>
  <si>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</si>
  <si>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</si>
  <si>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</si>
  <si>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</si>
  <si>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</si>
  <si>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</si>
  <si>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</si>
  <si>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</si>
  <si>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</si>
  <si>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</si>
  <si>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</si>
  <si>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</si>
  <si>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</si>
  <si>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</si>
  <si>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</si>
  <si>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</si>
  <si>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</si>
  <si>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</si>
  <si>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</si>
  <si>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</si>
  <si>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</si>
  <si>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</si>
  <si>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</si>
  <si>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</si>
  <si>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</si>
  <si>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</si>
  <si>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</si>
  <si>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</si>
  <si>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</si>
  <si>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</si>
  <si>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</si>
  <si>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</si>
  <si>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</si>
  <si>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</si>
  <si>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</si>
  <si>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</si>
  <si>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</si>
  <si>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</si>
  <si>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</si>
  <si>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</si>
  <si>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</si>
  <si>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</si>
  <si>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</si>
  <si>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</si>
  <si>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</si>
  <si>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</si>
  <si>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</si>
  <si>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</si>
  <si>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</si>
  <si>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</si>
  <si>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</si>
  <si>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</si>
  <si>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</si>
  <si>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</si>
  <si>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</si>
  <si>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</si>
  <si>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</si>
  <si>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</si>
  <si>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</si>
  <si>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</si>
  <si>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</si>
  <si>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</si>
  <si>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</si>
  <si>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</si>
  <si>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</si>
  <si>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</si>
  <si>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</si>
  <si>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</si>
  <si>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</si>
  <si>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</si>
  <si>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</si>
  <si>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</si>
  <si>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</si>
  <si>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</si>
  <si>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</si>
  <si>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</si>
  <si>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</si>
  <si>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</si>
  <si>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</si>
  <si>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</si>
  <si>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</si>
  <si>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Lugo-Pisgah/</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</si>
  <si>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</si>
  <si>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</si>
  <si>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</si>
  <si>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</si>
  <si>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</si>
  <si>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</si>
  <si>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</si>
  <si>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</si>
  <si>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</si>
  <si>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</si>
  <si>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</si>
  <si>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</si>
  <si>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</si>
  <si>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</si>
  <si>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</si>
  <si>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</si>
  <si>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</si>
  <si>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</si>
  <si>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</si>
  <si>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</si>
  <si>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</si>
  <si>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</si>
  <si>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</si>
  <si>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</si>
  <si>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</si>
  <si>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</si>
  <si>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</si>
  <si>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</si>
  <si>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</si>
  <si>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</si>
  <si>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</si>
  <si>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</si>
  <si>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</si>
  <si>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</si>
  <si>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</si>
  <si>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</si>
  <si>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</si>
  <si>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</si>
  <si>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</si>
  <si>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</si>
  <si>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</si>
  <si>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</si>
  <si>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</si>
  <si>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</si>
  <si>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</si>
  <si>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</si>
  <si>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</si>
  <si>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</si>
  <si>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</si>
  <si>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</si>
  <si>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</si>
  <si>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</si>
  <si>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</si>
  <si>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</si>
  <si>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</si>
  <si>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</si>
  <si>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</si>
  <si>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</si>
  <si>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</si>
  <si>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</si>
  <si>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</si>
  <si>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</si>
  <si>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</si>
  <si>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</si>
  <si>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</si>
  <si>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</si>
  <si>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</si>
  <si>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</si>
  <si>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</si>
  <si>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</si>
  <si>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</si>
  <si>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</si>
  <si>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</si>
  <si>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</si>
  <si>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</si>
  <si>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</si>
  <si>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</si>
  <si>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</si>
  <si>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</si>
  <si>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</si>
  <si>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</si>
  <si>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</si>
  <si>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</si>
  <si>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</si>
  <si>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</si>
  <si>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</si>
  <si>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</si>
  <si>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</si>
  <si>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</si>
  <si>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</si>
  <si>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</si>
  <si>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</si>
  <si>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</si>
  <si>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</si>
  <si>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</si>
  <si>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</si>
  <si>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</si>
  <si>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</si>
  <si>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</si>
  <si>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</si>
  <si>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</si>
  <si>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</si>
  <si>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</si>
  <si>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</si>
  <si>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</si>
  <si>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</si>
  <si>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</si>
  <si>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</si>
  <si>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</si>
  <si>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</si>
  <si>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</si>
  <si>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</si>
  <si>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</si>
  <si>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</si>
  <si>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</si>
  <si>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</si>
  <si>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</si>
  <si>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</si>
  <si>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</si>
  <si>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</si>
  <si>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</si>
  <si>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</si>
  <si>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</si>
  <si>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</si>
  <si>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</si>
  <si>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</si>
  <si>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</si>
  <si>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</si>
  <si>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</si>
  <si>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</si>
  <si>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</si>
  <si>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</si>
  <si>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</si>
  <si>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</si>
  <si>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</si>
  <si>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</si>
  <si>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</si>
  <si>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</si>
  <si>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</si>
  <si>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</si>
  <si>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</si>
  <si>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</si>
  <si>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</si>
  <si>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</si>
  <si>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</si>
  <si>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</si>
  <si>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</si>
  <si>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</si>
  <si>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</si>
  <si>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</si>
  <si>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</si>
  <si>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</si>
  <si>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</si>
  <si>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</si>
  <si>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</si>
  <si>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</si>
  <si>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</si>
  <si>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</si>
  <si>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</si>
  <si>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</si>
  <si>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</si>
  <si>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</si>
  <si>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</si>
  <si>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</si>
  <si>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</si>
  <si>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</si>
  <si>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</si>
  <si>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</si>
  <si>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</si>
  <si>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</si>
  <si>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</si>
  <si>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</si>
  <si>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</si>
  <si>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</si>
  <si>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</si>
  <si>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</si>
  <si>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</si>
  <si>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</si>
  <si>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</si>
  <si>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</si>
  <si>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</si>
  <si>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</si>
  <si>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</si>
  <si>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</si>
  <si>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</si>
  <si>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</si>
  <si>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</si>
  <si>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</si>
  <si>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</si>
  <si>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</si>
  <si>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</si>
  <si>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</si>
  <si>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</si>
  <si>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</si>
  <si>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</si>
  <si>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</si>
  <si>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</si>
  <si>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</si>
  <si>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</si>
  <si>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</si>
  <si>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</si>
  <si>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</si>
  <si>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</si>
  <si>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</si>
  <si>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</si>
  <si>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</si>
  <si>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</si>
  <si>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</si>
  <si>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</si>
  <si>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</si>
  <si>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</si>
  <si>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</si>
  <si>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</si>
  <si>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</si>
  <si>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</si>
  <si>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</si>
  <si>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</si>
  <si>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</si>
  <si>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</si>
  <si>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</si>
  <si>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</si>
  <si>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</si>
  <si>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</si>
  <si>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</si>
  <si>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</si>
  <si>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</si>
  <si>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</si>
  <si>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</si>
  <si>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</si>
  <si>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</si>
  <si>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</si>
  <si>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</si>
  <si>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</si>
  <si>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</si>
  <si>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</si>
  <si>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</si>
  <si>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</si>
  <si>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</si>
  <si>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</si>
  <si>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</si>
  <si>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</si>
  <si>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</si>
  <si>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</si>
  <si>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</si>
  <si>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</si>
  <si>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</si>
  <si>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</si>
  <si>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</si>
  <si>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</si>
  <si>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</si>
  <si>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</si>
  <si>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</si>
  <si>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</si>
  <si>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</si>
  <si>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</si>
  <si>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</si>
  <si>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</si>
  <si>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</si>
  <si>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</si>
  <si>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</si>
  <si>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</si>
  <si>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</si>
  <si>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</si>
  <si>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</si>
  <si>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</si>
  <si>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</si>
  <si>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</si>
  <si>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</si>
  <si>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</si>
  <si>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</si>
  <si>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</si>
  <si>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</si>
  <si>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</si>
  <si>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</si>
  <si>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</si>
  <si>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</si>
  <si>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</si>
  <si>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</si>
  <si>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</si>
  <si>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</si>
  <si>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</si>
  <si>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</si>
  <si>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</si>
  <si>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</si>
  <si>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</si>
  <si>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</si>
  <si>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</si>
  <si>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</si>
  <si>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</si>
  <si>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</si>
  <si>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</si>
  <si>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</si>
  <si>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</si>
  <si>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</si>
  <si>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</si>
  <si>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</si>
  <si>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</si>
  <si>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</si>
  <si>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</si>
  <si>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</si>
  <si>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</si>
  <si>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</si>
  <si>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</si>
  <si>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</si>
  <si>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</si>
  <si>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</si>
  <si>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</si>
  <si>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</si>
  <si>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</si>
  <si>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</si>
  <si>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</si>
  <si>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</si>
  <si>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</si>
  <si>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</si>
  <si>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</si>
  <si>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</si>
  <si>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</si>
  <si>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</si>
  <si>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</si>
  <si>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</si>
  <si>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</si>
  <si>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</si>
  <si>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</si>
  <si>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</si>
  <si>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</si>
  <si>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</si>
  <si>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</si>
  <si>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</si>
  <si>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</si>
  <si>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</si>
  <si>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</si>
  <si>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</si>
  <si>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</si>
  <si>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</si>
  <si>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</si>
  <si>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</si>
  <si>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</si>
  <si>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</si>
  <si>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</si>
  <si>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</si>
  <si>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</si>
  <si>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</si>
  <si>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</si>
  <si>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</si>
  <si>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</si>
  <si>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</si>
  <si>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</si>
  <si>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</si>
  <si>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</si>
  <si>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</si>
  <si>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</si>
  <si>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</si>
  <si>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</si>
  <si>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</si>
  <si>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</si>
  <si>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</si>
  <si>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</si>
  <si>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</si>
  <si>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</si>
  <si>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</si>
  <si>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</si>
  <si>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</si>
  <si>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</si>
  <si>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</si>
  <si>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</si>
  <si>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</si>
  <si>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</si>
  <si>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</si>
  <si>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</si>
  <si>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</si>
  <si>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</si>
  <si>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</si>
  <si>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</si>
  <si>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</si>
  <si>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</si>
  <si>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</si>
  <si>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</si>
  <si>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</si>
  <si>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</si>
  <si>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</si>
  <si>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</si>
  <si>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</si>
  <si>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</si>
  <si>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</si>
  <si>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</si>
  <si>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</si>
  <si>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</si>
  <si>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</si>
  <si>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</si>
  <si>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</si>
  <si>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</si>
  <si>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</si>
  <si>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</si>
  <si>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</si>
  <si>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</si>
  <si>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</si>
  <si>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</si>
  <si>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</si>
  <si>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</si>
  <si>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</si>
  <si>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</si>
  <si>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</si>
  <si>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</si>
  <si>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</si>
  <si>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</si>
  <si>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</si>
  <si>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</si>
  <si>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</si>
  <si>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</si>
  <si>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</si>
  <si>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</si>
  <si>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</si>
  <si>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</si>
  <si>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</si>
  <si>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</si>
  <si>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</si>
  <si>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</si>
  <si>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</si>
  <si>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</si>
  <si>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</si>
  <si>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</si>
  <si>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</si>
  <si>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</si>
  <si>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</si>
  <si>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</si>
  <si>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</si>
  <si>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</si>
  <si>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</si>
  <si>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</si>
  <si>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</si>
  <si>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</si>
  <si>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</si>
  <si>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</si>
  <si>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</si>
  <si>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</si>
  <si>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</si>
  <si>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</si>
  <si>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</si>
  <si>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</si>
  <si>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</si>
  <si>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</si>
  <si>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</si>
  <si>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</si>
  <si>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</si>
  <si>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</si>
  <si>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</si>
  <si>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</si>
  <si>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</si>
  <si>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</si>
  <si>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</si>
  <si>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</si>
  <si>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</si>
  <si>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</si>
  <si>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3) Amortization of September balance over Rate Effective Period:</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</si>
  <si>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</si>
  <si>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</si>
  <si>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</si>
  <si>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</si>
  <si>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</si>
  <si>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</si>
  <si>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</si>
  <si>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</si>
  <si>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</si>
  <si>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</si>
  <si>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</si>
  <si>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</si>
  <si>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</si>
  <si>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</si>
  <si>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</si>
  <si>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</si>
  <si>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</si>
  <si>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</si>
  <si>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</si>
  <si>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</si>
  <si>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</si>
  <si>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</si>
  <si>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</si>
  <si>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</si>
  <si>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</si>
  <si>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</si>
  <si>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</si>
  <si>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</si>
  <si>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</si>
  <si>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</si>
  <si>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</si>
  <si>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</si>
  <si>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</si>
  <si>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</si>
  <si>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</si>
  <si>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</si>
  <si>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</si>
  <si>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</si>
  <si>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</si>
  <si>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</si>
  <si>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</si>
  <si>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</si>
  <si>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</si>
  <si>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</si>
  <si>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</si>
  <si>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</si>
  <si>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</si>
  <si>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</si>
  <si>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</si>
  <si>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</si>
  <si>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</si>
  <si>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</si>
  <si>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</si>
  <si>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</si>
  <si>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</si>
  <si>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</si>
  <si>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</si>
  <si>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</si>
  <si>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</si>
  <si>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</si>
  <si>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</si>
  <si>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</si>
  <si>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</si>
  <si>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</si>
  <si>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</si>
  <si>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</si>
  <si>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</si>
  <si>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</si>
  <si>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</si>
  <si>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</si>
  <si>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</si>
  <si>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</si>
  <si>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</si>
  <si>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</si>
  <si>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</si>
  <si>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</si>
  <si>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</si>
  <si>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</si>
  <si>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</si>
  <si>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</si>
  <si>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</si>
  <si>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</si>
  <si>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</si>
  <si>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</si>
  <si>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</si>
  <si>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</si>
  <si>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</si>
  <si>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</si>
  <si>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</si>
  <si>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</si>
  <si>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</si>
  <si>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</si>
  <si>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</si>
  <si>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</si>
  <si>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</si>
  <si>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</si>
  <si>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</si>
  <si>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</si>
  <si>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</si>
  <si>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</si>
  <si>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</si>
  <si>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</si>
  <si>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</si>
  <si>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</si>
  <si>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</si>
  <si>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</si>
  <si>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</si>
  <si>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</si>
  <si>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</si>
  <si>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</si>
  <si>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</si>
  <si>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</si>
  <si>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</si>
  <si>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</si>
  <si>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</si>
  <si>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</si>
  <si>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Column 8, Line 52</t>
  </si>
  <si>
    <t>TRR AAF</t>
  </si>
  <si>
    <t>See Note 13</t>
  </si>
  <si>
    <t>1) Enter applicable years on Column 1, Lines 11-31 and 40-51.</t>
  </si>
  <si>
    <t>2) Enter Previous Period True Up Adjustment (if any) on Column 4, Lines 20-31.  See Note 4 for definition of Previous Period True Up Adjustment.</t>
  </si>
  <si>
    <t>Enter with the same sign as in previous Informational Update.  If there is no Previous Period True Up Adjustment, then enter $0 in these cells.</t>
  </si>
  <si>
    <t>4) Enter "Total Amortization" amount on Line 54, column 6 to set September Month Ending Balance Column 7, Line 51 equal to $0.  Iterate if necessary to solve.</t>
  </si>
  <si>
    <t>(i.e., so that the Month Beginning Balance in Column 3, Line 40 is completely amortized away by the Amortization amounts in Column 4).</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</si>
  <si>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</si>
  <si>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</si>
  <si>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</si>
  <si>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</si>
  <si>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These are the 12 monthly values of the "True Up Adjustment Received/Returned" in Column 8, Lines 40 -51 from the previous Informational Filing,</t>
  </si>
  <si>
    <t>They are input into Column 4, lines 20-31 of this current Informational Filing, corresponding to the Rate Effective Period of the previous Informational Filing.</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</si>
  <si>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</si>
  <si>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</si>
  <si>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</si>
  <si>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</si>
  <si>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8) The Interest Rate in Rate Effective Period is equal to average of interest rates in previous 12 months (lines 20-31).</t>
  </si>
  <si>
    <t>9) The "Month Beginning Balance"  is Month Ending Balance from previous month in Column 7 (October is from Column 9, Line 31).</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</si>
  <si>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</si>
  <si>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</si>
  <si>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</si>
  <si>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</si>
  <si>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</si>
  <si>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</si>
  <si>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</si>
  <si>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</si>
  <si>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</si>
  <si>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</si>
  <si>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</si>
  <si>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</si>
  <si>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</si>
  <si>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</si>
  <si>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</si>
  <si>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</si>
  <si>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</si>
  <si>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</si>
  <si>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</si>
  <si>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</si>
  <si>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</si>
  <si>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</si>
  <si>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</si>
  <si>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</si>
  <si>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</si>
  <si>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</si>
  <si>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</si>
  <si>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</si>
  <si>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</si>
  <si>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</si>
  <si>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</si>
  <si>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</si>
  <si>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</si>
  <si>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</si>
  <si>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</si>
  <si>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</si>
  <si>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</si>
  <si>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</si>
  <si>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</si>
  <si>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</si>
  <si>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</si>
  <si>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</si>
  <si>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</si>
  <si>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</si>
  <si>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</si>
  <si>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</si>
  <si>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</si>
  <si>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</si>
  <si>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</si>
  <si>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</si>
  <si>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</si>
  <si>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</si>
  <si>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</si>
  <si>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</si>
  <si>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</si>
  <si>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</si>
  <si>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</si>
  <si>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</si>
  <si>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</si>
  <si>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</si>
  <si>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</si>
  <si>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</si>
  <si>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</si>
  <si>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</si>
  <si>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</si>
  <si>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</si>
  <si>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</si>
  <si>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</si>
  <si>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</si>
  <si>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</si>
  <si>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</si>
  <si>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</si>
  <si>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</si>
  <si>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</si>
  <si>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</si>
  <si>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</si>
  <si>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</si>
  <si>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</si>
  <si>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</si>
  <si>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</si>
  <si>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</si>
  <si>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</si>
  <si>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</si>
  <si>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</si>
  <si>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</si>
  <si>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</si>
  <si>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</si>
  <si>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</si>
  <si>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</si>
  <si>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</si>
  <si>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</si>
  <si>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</si>
  <si>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</si>
  <si>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</si>
  <si>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</si>
  <si>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</si>
  <si>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</si>
  <si>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</si>
  <si>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</si>
  <si>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</si>
  <si>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</si>
  <si>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</si>
  <si>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</si>
  <si>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</si>
  <si>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</si>
  <si>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</si>
  <si>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</si>
  <si>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</si>
  <si>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</si>
  <si>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</si>
  <si>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</si>
  <si>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</si>
  <si>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</si>
  <si>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Note 13</t>
  </si>
  <si>
    <t>Forecast Billing Determinants:</t>
  </si>
  <si>
    <t>Forecast Billing Determinants</t>
  </si>
  <si>
    <t>CPUC Rate Group</t>
  </si>
  <si>
    <t>12-CP factors</t>
  </si>
  <si>
    <t>Total Allocated costs</t>
  </si>
  <si>
    <t>Sales (GWh)</t>
  </si>
  <si>
    <t>Total demand rates - $/kW-month</t>
  </si>
  <si>
    <t>Total energy rates - $/kWh</t>
  </si>
  <si>
    <t>1d</t>
  </si>
  <si>
    <t>1e</t>
  </si>
  <si>
    <t>1f</t>
  </si>
  <si>
    <t>TOU-8-SEC</t>
  </si>
  <si>
    <t>1g</t>
  </si>
  <si>
    <t>TOU-8-PRI</t>
  </si>
  <si>
    <t>1h</t>
  </si>
  <si>
    <r>
      <t>TOU-8-SUB</t>
    </r>
    <r>
      <rPr>
        <vertAlign val="superscript"/>
        <sz val="10"/>
        <rFont val="Arial"/>
        <family val="2"/>
      </rPr>
      <t xml:space="preserve"> includes 220 kV</t>
    </r>
  </si>
  <si>
    <t>1i</t>
  </si>
  <si>
    <t>1j</t>
  </si>
  <si>
    <t>1k</t>
  </si>
  <si>
    <t>1l</t>
  </si>
  <si>
    <t>TOU-PA-5</t>
  </si>
  <si>
    <t>1m</t>
  </si>
  <si>
    <t>Street Lighting</t>
  </si>
  <si>
    <t>1n</t>
  </si>
  <si>
    <t>Note 4</t>
  </si>
  <si>
    <t>1o</t>
  </si>
  <si>
    <t>1p</t>
  </si>
  <si>
    <t>1q</t>
  </si>
  <si>
    <t>Ag TOU &lt;= 200 kW</t>
  </si>
  <si>
    <t>1r</t>
  </si>
  <si>
    <t>Ag TOU &gt; 200 kW</t>
  </si>
  <si>
    <t>1s</t>
  </si>
  <si>
    <t>2) Determination of Standby Demand Rates for Rate Groups with Directly-Allocated Costs</t>
  </si>
  <si>
    <t>Note 5</t>
  </si>
  <si>
    <t>Note 6</t>
  </si>
  <si>
    <t>Note 7</t>
  </si>
  <si>
    <t>Total Allocated Costs</t>
  </si>
  <si>
    <t>13a</t>
  </si>
  <si>
    <t>13b</t>
  </si>
  <si>
    <t>13c</t>
  </si>
  <si>
    <r>
      <t>13c</t>
    </r>
    <r>
      <rPr>
        <b/>
        <vertAlign val="subscript"/>
        <sz val="10"/>
        <rFont val="Arial"/>
        <family val="2"/>
      </rPr>
      <t>1</t>
    </r>
  </si>
  <si>
    <r>
      <t xml:space="preserve">     TOU-8-SUB</t>
    </r>
    <r>
      <rPr>
        <vertAlign val="superscript"/>
        <sz val="10"/>
        <rFont val="Arial"/>
        <family val="2"/>
      </rPr>
      <t xml:space="preserve"> below 220 kV</t>
    </r>
  </si>
  <si>
    <r>
      <t>13c</t>
    </r>
    <r>
      <rPr>
        <b/>
        <vertAlign val="subscript"/>
        <sz val="10"/>
        <rFont val="Arial"/>
        <family val="2"/>
      </rPr>
      <t>2</t>
    </r>
  </si>
  <si>
    <r>
      <t xml:space="preserve">     TOU-8-SUB</t>
    </r>
    <r>
      <rPr>
        <vertAlign val="superscript"/>
        <sz val="10"/>
        <rFont val="Arial"/>
        <family val="2"/>
      </rPr>
      <t xml:space="preserve"> 220 kV</t>
    </r>
  </si>
  <si>
    <t>13d</t>
  </si>
  <si>
    <r>
      <t>13d</t>
    </r>
    <r>
      <rPr>
        <b/>
        <vertAlign val="subscript"/>
        <sz val="10"/>
        <rFont val="Arial"/>
        <family val="2"/>
      </rPr>
      <t>1</t>
    </r>
  </si>
  <si>
    <r>
      <t>13d</t>
    </r>
    <r>
      <rPr>
        <b/>
        <vertAlign val="subscript"/>
        <sz val="10"/>
        <rFont val="Arial"/>
        <family val="2"/>
      </rPr>
      <t>2</t>
    </r>
  </si>
  <si>
    <t>Note 8</t>
  </si>
  <si>
    <t>Note 9</t>
  </si>
  <si>
    <t>Note 10</t>
  </si>
  <si>
    <t>Note 11</t>
  </si>
  <si>
    <t>Note 12</t>
  </si>
  <si>
    <t>Energy Charge - $/kWh</t>
  </si>
  <si>
    <t>Standby demand Charge - $/kW-month</t>
  </si>
  <si>
    <t>Maximum demand Charge - $/kW-month (excess Standby)</t>
  </si>
  <si>
    <t>Standby demand Charge - $/HP-month</t>
  </si>
  <si>
    <t>Maximum demand Charge - $/HP-month (excess Standby)</t>
  </si>
  <si>
    <t>TOU-8-SUB</t>
  </si>
  <si>
    <r>
      <t>24h</t>
    </r>
    <r>
      <rPr>
        <b/>
        <vertAlign val="subscript"/>
        <sz val="10"/>
        <rFont val="Arial"/>
        <family val="2"/>
      </rPr>
      <t>1</t>
    </r>
  </si>
  <si>
    <r>
      <t>24h</t>
    </r>
    <r>
      <rPr>
        <b/>
        <vertAlign val="subscript"/>
        <sz val="10"/>
        <rFont val="Arial"/>
        <family val="2"/>
      </rPr>
      <t>2</t>
    </r>
  </si>
  <si>
    <t>24p</t>
  </si>
  <si>
    <r>
      <t>24p</t>
    </r>
    <r>
      <rPr>
        <b/>
        <vertAlign val="subscript"/>
        <sz val="10"/>
        <rFont val="Arial"/>
        <family val="2"/>
      </rPr>
      <t>1</t>
    </r>
  </si>
  <si>
    <r>
      <t>24p</t>
    </r>
    <r>
      <rPr>
        <b/>
        <vertAlign val="subscript"/>
        <sz val="10"/>
        <rFont val="Arial"/>
        <family val="2"/>
      </rPr>
      <t>2</t>
    </r>
  </si>
  <si>
    <t>24r</t>
  </si>
  <si>
    <t>24s</t>
  </si>
  <si>
    <t>1) See Lines 28a, 28b, etc.</t>
  </si>
  <si>
    <t xml:space="preserve"> (i.e., using sum of "Maximum Demand" and "Standby Demand" of each).</t>
  </si>
  <si>
    <t>Rate Schedules in each CPUC Rate Group:</t>
  </si>
  <si>
    <t>Rate Schedules included in Each Rate Group in the Rate Effective Period</t>
  </si>
  <si>
    <t>27a</t>
  </si>
  <si>
    <t xml:space="preserve">All rate options, including D, D-APS, D-APS-E, D-CARE, DE, DM, DMS-1, DMS-2, DMS-3, DS, </t>
  </si>
  <si>
    <t>27b</t>
  </si>
  <si>
    <t>Domestic Con't.</t>
  </si>
  <si>
    <t xml:space="preserve">     TOU-D-1, TOU-D-2, and TOU-EV1, TOU-D-T and TOU-D-TEV</t>
  </si>
  <si>
    <t>27c</t>
  </si>
  <si>
    <t>All rate options, including GS-1, GS-APS, GS-APS-E, TOU-EV-3, and TOU-GS-1.</t>
  </si>
  <si>
    <t>27d</t>
  </si>
  <si>
    <t>All rate options, including TC-1, WTR, and Wi-Fi-1.</t>
  </si>
  <si>
    <t>27e</t>
  </si>
  <si>
    <t xml:space="preserve">All rate options, including GS-2, GS-APS, GS-APS-E, and TOU-EV-4. </t>
  </si>
  <si>
    <t>27f</t>
  </si>
  <si>
    <t xml:space="preserve">All rate options, including TOU-GS-3 and TOU-GS-3-SOP </t>
  </si>
  <si>
    <t>27g</t>
  </si>
  <si>
    <t>All rate options, including TOU-8, TOU-8-BU and RTP-2 based on voltage of service</t>
  </si>
  <si>
    <t>27h</t>
  </si>
  <si>
    <t>27i</t>
  </si>
  <si>
    <r>
      <t>27i</t>
    </r>
    <r>
      <rPr>
        <b/>
        <vertAlign val="subscript"/>
        <sz val="10"/>
        <rFont val="Arial"/>
        <family val="2"/>
      </rPr>
      <t>1</t>
    </r>
  </si>
  <si>
    <r>
      <t>27i</t>
    </r>
    <r>
      <rPr>
        <b/>
        <vertAlign val="subscript"/>
        <sz val="10"/>
        <rFont val="Arial"/>
        <family val="2"/>
      </rPr>
      <t>2</t>
    </r>
  </si>
  <si>
    <t>27j</t>
  </si>
  <si>
    <t>All rate options, including PA-1.</t>
  </si>
  <si>
    <t>27k</t>
  </si>
  <si>
    <t>All rate options, including PA-2.</t>
  </si>
  <si>
    <t>27l</t>
  </si>
  <si>
    <t>All rate options, including TOU-PA, PA-RTP, and TOU-PA-SOP</t>
  </si>
  <si>
    <t>27m</t>
  </si>
  <si>
    <t>All rate options, including TOU-PA-5.</t>
  </si>
  <si>
    <t>27n</t>
  </si>
  <si>
    <t>All rate options, including AL-2, DWL, LS-1, LS-2, LS-3, and OL-1.</t>
  </si>
  <si>
    <t>27o</t>
  </si>
  <si>
    <t>27p</t>
  </si>
  <si>
    <t>27q</t>
  </si>
  <si>
    <r>
      <t>27q</t>
    </r>
    <r>
      <rPr>
        <b/>
        <vertAlign val="subscript"/>
        <sz val="10"/>
        <rFont val="Arial"/>
        <family val="2"/>
      </rPr>
      <t>1</t>
    </r>
  </si>
  <si>
    <r>
      <t>27q</t>
    </r>
    <r>
      <rPr>
        <b/>
        <vertAlign val="subscript"/>
        <sz val="10"/>
        <rFont val="Arial"/>
        <family val="2"/>
      </rPr>
      <t>2</t>
    </r>
  </si>
  <si>
    <t>27r</t>
  </si>
  <si>
    <t>27s</t>
  </si>
  <si>
    <t>27t</t>
  </si>
  <si>
    <t>27u</t>
  </si>
  <si>
    <t>27v</t>
  </si>
  <si>
    <t>Recorded 12-CP Load Data by Rate Group (MW)</t>
  </si>
  <si>
    <t>Three-Year Average</t>
  </si>
  <si>
    <t>Line losses</t>
  </si>
  <si>
    <t>28e</t>
  </si>
  <si>
    <t>28f</t>
  </si>
  <si>
    <t>28g</t>
  </si>
  <si>
    <t>28h</t>
  </si>
  <si>
    <t>28i</t>
  </si>
  <si>
    <t>28j</t>
  </si>
  <si>
    <t>28k</t>
  </si>
  <si>
    <t>28l</t>
  </si>
  <si>
    <t>28m</t>
  </si>
  <si>
    <t>28n</t>
  </si>
  <si>
    <t>28o</t>
  </si>
  <si>
    <t>28p</t>
  </si>
  <si>
    <t>28q</t>
  </si>
  <si>
    <t>28r</t>
  </si>
  <si>
    <t>28s</t>
  </si>
  <si>
    <t>28t</t>
  </si>
  <si>
    <t>28u</t>
  </si>
  <si>
    <t>Loss Adjusted</t>
  </si>
  <si>
    <t>30a</t>
  </si>
  <si>
    <t>30b</t>
  </si>
  <si>
    <t>30c</t>
  </si>
  <si>
    <r>
      <t>30c</t>
    </r>
    <r>
      <rPr>
        <b/>
        <vertAlign val="subscript"/>
        <sz val="10"/>
        <rFont val="Arial"/>
        <family val="2"/>
      </rPr>
      <t>1</t>
    </r>
  </si>
  <si>
    <r>
      <t>30c</t>
    </r>
    <r>
      <rPr>
        <b/>
        <vertAlign val="subscript"/>
        <sz val="10"/>
        <rFont val="Arial"/>
        <family val="2"/>
      </rPr>
      <t>2</t>
    </r>
  </si>
  <si>
    <t>30d</t>
  </si>
  <si>
    <t>30e</t>
  </si>
  <si>
    <t>30f</t>
  </si>
  <si>
    <r>
      <t>30f</t>
    </r>
    <r>
      <rPr>
        <b/>
        <vertAlign val="subscript"/>
        <sz val="10"/>
        <rFont val="Arial"/>
        <family val="2"/>
      </rPr>
      <t>1</t>
    </r>
  </si>
  <si>
    <r>
      <t>30f</t>
    </r>
    <r>
      <rPr>
        <b/>
        <vertAlign val="subscript"/>
        <sz val="10"/>
        <rFont val="Arial"/>
        <family val="2"/>
      </rPr>
      <t>2</t>
    </r>
  </si>
  <si>
    <t>24q</t>
  </si>
  <si>
    <t>Calculation of Plant Held for Future Use</t>
  </si>
  <si>
    <t>Plant In Service</t>
  </si>
  <si>
    <t>13-Mo. Avg:</t>
  </si>
  <si>
    <t>Sum C2 - C4</t>
  </si>
  <si>
    <t>Average:</t>
  </si>
  <si>
    <t>G&amp;I Plant</t>
  </si>
  <si>
    <t>121 FERC ¶ 61,168 at 129; modified by ER10-160 Settlement, see</t>
  </si>
  <si>
    <t xml:space="preserve"> P 7 and P 11</t>
  </si>
  <si>
    <t>P2 and P3</t>
  </si>
  <si>
    <t>P 3 and P 7</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</si>
  <si>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</si>
  <si>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</si>
  <si>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</si>
  <si>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</si>
  <si>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</si>
  <si>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</si>
  <si>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</si>
  <si>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</si>
  <si>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</si>
  <si>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 xml:space="preserve">     Commission, but may not be in effect until 2013.</t>
  </si>
  <si>
    <t>Schedule</t>
  </si>
  <si>
    <t>TRANSMISSION PLANT HELD FOR FUTURE USE</t>
  </si>
  <si>
    <t>Partial Year TRR Attribution Allocation Factors:</t>
  </si>
  <si>
    <t>10) Amortization equals amount in Line 54 divided by 12 each month.  See Instruction #4 also for further detail.</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</si>
  <si>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</si>
  <si>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</si>
  <si>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</si>
  <si>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</si>
  <si>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</si>
  <si>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</si>
  <si>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</si>
  <si>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121 FERC ¶ 61,168 at P 57</t>
  </si>
  <si>
    <t>121 FERC ¶ 61,168 at P 129</t>
  </si>
  <si>
    <t>121 FERC ¶ 61,168 at P 71</t>
  </si>
  <si>
    <t>121 FERC ¶ 61,168 at P 57; modified by ER10-160 Settlement, see</t>
  </si>
  <si>
    <t xml:space="preserve">121 FERC ¶ 61,168 at P 129; modified by ER10-160 Settlement, see </t>
  </si>
  <si>
    <t>129 FERC ¶ 61,246 at P 55, and 133 FERC ¶ 61,108 at P 92</t>
  </si>
  <si>
    <t>133 FERC ¶ 61,108 at P 98</t>
  </si>
  <si>
    <t>129 FERC ¶ 61,246 at PP 68-69, and 133 FERC ¶ 61,108 at PP 85-86</t>
  </si>
  <si>
    <t>133 FERC ¶ 61,107 at P 76</t>
  </si>
  <si>
    <t>133 FERC ¶ 61,107 at P 102</t>
  </si>
  <si>
    <t>133 FERC ¶ 61,107 at P 88</t>
  </si>
  <si>
    <t>134 FERC ¶ 61,181 at P 79</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</si>
  <si>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</si>
  <si>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</si>
  <si>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</si>
  <si>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</si>
  <si>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</si>
  <si>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</si>
  <si>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</si>
  <si>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</si>
  <si>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</si>
  <si>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</si>
  <si>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DIT - 605 Freeway</t>
  </si>
  <si>
    <t>ACRS - Gas &amp; Water</t>
  </si>
  <si>
    <t>Ad Valorem Lien Date Adj-Electric</t>
  </si>
  <si>
    <t>FF1 277.19k</t>
  </si>
  <si>
    <t>Accrued Vacation</t>
  </si>
  <si>
    <t>Account 282</t>
  </si>
  <si>
    <t>Account 283</t>
  </si>
  <si>
    <t>Account 190</t>
  </si>
  <si>
    <t>FF1 234.18c</t>
  </si>
  <si>
    <t>Effective State</t>
  </si>
  <si>
    <t>Tax Rate</t>
  </si>
  <si>
    <t>Ratio of SCE</t>
  </si>
  <si>
    <t>CCFT - Electric</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</si>
  <si>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</si>
  <si>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</si>
  <si>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</si>
  <si>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</si>
  <si>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</si>
  <si>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</si>
  <si>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</si>
  <si>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</si>
  <si>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</si>
  <si>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</si>
  <si>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</si>
  <si>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</si>
  <si>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</si>
  <si>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</si>
  <si>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</si>
  <si>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</si>
  <si>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</si>
  <si>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</si>
  <si>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</si>
  <si>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</si>
  <si>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</si>
  <si>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</si>
  <si>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</si>
  <si>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</si>
  <si>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</si>
  <si>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</si>
  <si>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</si>
  <si>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</si>
  <si>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</si>
  <si>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</si>
  <si>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</si>
  <si>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</si>
  <si>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</si>
  <si>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</si>
  <si>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</si>
  <si>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</si>
  <si>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</si>
  <si>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</si>
  <si>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</si>
  <si>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</si>
  <si>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</si>
  <si>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</si>
  <si>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</si>
  <si>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</si>
  <si>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</si>
  <si>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</si>
  <si>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</si>
  <si>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</si>
  <si>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</si>
  <si>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</si>
  <si>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</si>
  <si>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</si>
  <si>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</si>
  <si>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</si>
  <si>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</si>
  <si>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</si>
  <si>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</si>
  <si>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</si>
  <si>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</si>
  <si>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</si>
  <si>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</si>
  <si>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</si>
  <si>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</si>
  <si>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</si>
  <si>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</si>
  <si>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</si>
  <si>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</si>
  <si>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</si>
  <si>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</si>
  <si>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</si>
  <si>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</si>
  <si>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</si>
  <si>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</si>
  <si>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</si>
  <si>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</si>
  <si>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</si>
  <si>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</si>
  <si>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</si>
  <si>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</si>
  <si>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</si>
  <si>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</si>
  <si>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</si>
  <si>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</si>
  <si>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</si>
  <si>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</si>
  <si>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</si>
  <si>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</si>
  <si>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</si>
  <si>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</si>
  <si>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</si>
  <si>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569.100 Hardware</t>
  </si>
  <si>
    <t>569.200 Software</t>
  </si>
  <si>
    <t>569.300 Communication</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</si>
  <si>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</si>
  <si>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</si>
  <si>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</si>
  <si>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</si>
  <si>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</si>
  <si>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</si>
  <si>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</si>
  <si>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</si>
  <si>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</si>
  <si>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</si>
  <si>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</si>
  <si>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</si>
  <si>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</si>
  <si>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</si>
  <si>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</si>
  <si>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</si>
  <si>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</si>
  <si>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</si>
  <si>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</si>
  <si>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</si>
  <si>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</si>
  <si>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</si>
  <si>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</si>
  <si>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</si>
  <si>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</si>
  <si>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</si>
  <si>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</si>
  <si>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</si>
  <si>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</si>
  <si>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</si>
  <si>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</si>
  <si>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</si>
  <si>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</si>
  <si>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</si>
  <si>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</si>
  <si>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</si>
  <si>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</si>
  <si>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</si>
  <si>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</si>
  <si>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</si>
  <si>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</si>
  <si>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</si>
  <si>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</si>
  <si>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</si>
  <si>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</si>
  <si>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</si>
  <si>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</si>
  <si>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</si>
  <si>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</si>
  <si>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</si>
  <si>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</si>
  <si>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</si>
  <si>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</si>
  <si>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</si>
  <si>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</si>
  <si>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</si>
  <si>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</si>
  <si>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</si>
  <si>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</si>
  <si>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</si>
  <si>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</si>
  <si>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</si>
  <si>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</si>
  <si>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</si>
  <si>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</si>
  <si>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</si>
  <si>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</si>
  <si>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</si>
  <si>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</si>
  <si>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</si>
  <si>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</si>
  <si>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</si>
  <si>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</si>
  <si>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</si>
  <si>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</si>
  <si>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</si>
  <si>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</si>
  <si>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</si>
  <si>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</si>
  <si>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</si>
  <si>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</si>
  <si>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</si>
  <si>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</si>
  <si>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</si>
  <si>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</si>
  <si>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</si>
  <si>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</si>
  <si>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</si>
  <si>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</si>
  <si>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</si>
  <si>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</si>
  <si>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</si>
  <si>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</si>
  <si>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</si>
  <si>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</si>
  <si>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</si>
  <si>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</si>
  <si>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</si>
  <si>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</si>
  <si>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</si>
  <si>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</si>
  <si>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</si>
  <si>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</si>
  <si>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</si>
  <si>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</si>
  <si>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</si>
  <si>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</si>
  <si>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</si>
  <si>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</si>
  <si>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</si>
  <si>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</si>
  <si>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</si>
  <si>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</si>
  <si>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</si>
  <si>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</si>
  <si>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</si>
  <si>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</si>
  <si>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</si>
  <si>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</si>
  <si>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</si>
  <si>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</si>
  <si>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</si>
  <si>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</si>
  <si>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</si>
  <si>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</si>
  <si>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</si>
  <si>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</si>
  <si>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</si>
  <si>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</si>
  <si>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</si>
  <si>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</si>
  <si>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</si>
  <si>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</si>
  <si>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</si>
  <si>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</si>
  <si>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</si>
  <si>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</si>
  <si>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</si>
  <si>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</si>
  <si>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</si>
  <si>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</si>
  <si>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</si>
  <si>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</si>
  <si>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</si>
  <si>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</si>
  <si>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</si>
  <si>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</si>
  <si>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</si>
  <si>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</si>
  <si>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</si>
  <si>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</si>
  <si>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</si>
  <si>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</si>
  <si>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</si>
  <si>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</si>
  <si>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</si>
  <si>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</si>
  <si>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</si>
  <si>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</si>
  <si>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r>
      <t xml:space="preserve">Row </t>
    </r>
    <r>
      <rPr>
        <u/>
        <sz val="10"/>
        <rFont val="Arial"/>
        <family val="2"/>
      </rPr>
      <t>37</t>
    </r>
    <r>
      <rPr>
        <sz val="10"/>
        <rFont val="Arial"/>
        <family val="2"/>
      </rPr>
      <t>, Column i</t>
    </r>
  </si>
  <si>
    <r>
      <t xml:space="preserve">Row </t>
    </r>
    <r>
      <rPr>
        <u/>
        <sz val="10"/>
        <rFont val="Arial"/>
        <family val="2"/>
      </rPr>
      <t>5</t>
    </r>
    <r>
      <rPr>
        <sz val="10"/>
        <rFont val="Arial"/>
        <family val="2"/>
      </rPr>
      <t>, Column i</t>
    </r>
  </si>
  <si>
    <r>
      <t xml:space="preserve">Row </t>
    </r>
    <r>
      <rPr>
        <u/>
        <sz val="10"/>
        <rFont val="Arial"/>
        <family val="2"/>
      </rPr>
      <t>7</t>
    </r>
    <r>
      <rPr>
        <sz val="10"/>
        <rFont val="Arial"/>
        <family val="2"/>
      </rPr>
      <t>, Column i</t>
    </r>
  </si>
  <si>
    <r>
      <t xml:space="preserve">Row </t>
    </r>
    <r>
      <rPr>
        <u/>
        <sz val="10"/>
        <rFont val="Arial"/>
        <family val="2"/>
      </rPr>
      <t>8</t>
    </r>
    <r>
      <rPr>
        <sz val="10"/>
        <rFont val="Arial"/>
        <family val="2"/>
      </rPr>
      <t>, Column i</t>
    </r>
  </si>
  <si>
    <r>
      <t xml:space="preserve">Row </t>
    </r>
    <r>
      <rPr>
        <u/>
        <sz val="10"/>
        <rFont val="Arial"/>
        <family val="2"/>
      </rPr>
      <t>23</t>
    </r>
    <r>
      <rPr>
        <sz val="10"/>
        <rFont val="Arial"/>
        <family val="2"/>
      </rPr>
      <t>, Column i</t>
    </r>
  </si>
  <si>
    <r>
      <t xml:space="preserve">Row </t>
    </r>
    <r>
      <rPr>
        <u/>
        <sz val="10"/>
        <rFont val="Arial"/>
        <family val="2"/>
      </rPr>
      <t>9</t>
    </r>
    <r>
      <rPr>
        <sz val="10"/>
        <rFont val="Arial"/>
        <family val="2"/>
      </rPr>
      <t>, Column i</t>
    </r>
  </si>
  <si>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</si>
  <si>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</si>
  <si>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</si>
  <si>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</si>
  <si>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</si>
  <si>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</si>
  <si>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</si>
  <si>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</si>
  <si>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</si>
  <si>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</si>
  <si>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</si>
  <si>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</si>
  <si>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</si>
  <si>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</si>
  <si>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</si>
  <si>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</si>
  <si>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</si>
  <si>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</si>
  <si>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</si>
  <si>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</si>
  <si>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</si>
  <si>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</si>
  <si>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</si>
  <si>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</si>
  <si>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</si>
  <si>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</si>
  <si>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</si>
  <si>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</si>
  <si>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</si>
  <si>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</si>
  <si>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</si>
  <si>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</si>
  <si>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</si>
  <si>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</si>
  <si>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</si>
  <si>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 Retail Base TRR * Line 1:Col 1</t>
  </si>
  <si>
    <t>Applies to kWh charges</t>
  </si>
  <si>
    <t>Applies to monthly maximum kW demand charges</t>
  </si>
  <si>
    <t>Maximum demand (excess CRC) - MW</t>
  </si>
  <si>
    <t>Standby demand (CRC) - MW</t>
  </si>
  <si>
    <t>220 kV Maximum demand (excess CRC) - MW</t>
  </si>
  <si>
    <t>220 kV Standby demand (CRC) - MW</t>
  </si>
  <si>
    <t>TOU-8-SEC (Standby)</t>
  </si>
  <si>
    <t>TOU-8-PRI (Standby)</t>
  </si>
  <si>
    <r>
      <t>TOU-8-SUB  (Standby)</t>
    </r>
    <r>
      <rPr>
        <vertAlign val="superscript"/>
        <sz val="10"/>
        <rFont val="Arial"/>
        <family val="2"/>
      </rPr>
      <t xml:space="preserve"> includes 220 kV</t>
    </r>
  </si>
  <si>
    <t>from</t>
  </si>
  <si>
    <t>from Line 1:</t>
  </si>
  <si>
    <t>(Col 5, Col 9)</t>
  </si>
  <si>
    <t>Allocation to Maximum kW demand (Excess CRC)</t>
  </si>
  <si>
    <t>Allocation to contract Standby kW demand</t>
  </si>
  <si>
    <t>Standby demand (CRC) rates - $/kW</t>
  </si>
  <si>
    <t>Note 15</t>
  </si>
  <si>
    <r>
      <t>TOU-8-SUB (Standby)</t>
    </r>
    <r>
      <rPr>
        <vertAlign val="superscript"/>
        <sz val="10"/>
        <rFont val="Arial"/>
        <family val="2"/>
      </rPr>
      <t xml:space="preserve"> includes 220 kV</t>
    </r>
  </si>
  <si>
    <r>
      <t xml:space="preserve">     TOU-8-SUB (Standby)</t>
    </r>
    <r>
      <rPr>
        <vertAlign val="superscript"/>
        <sz val="10"/>
        <rFont val="Arial"/>
        <family val="2"/>
      </rPr>
      <t xml:space="preserve"> below 220 kV</t>
    </r>
  </si>
  <si>
    <r>
      <t xml:space="preserve">     TOU-8-SUB</t>
    </r>
    <r>
      <rPr>
        <vertAlign val="superscript"/>
        <sz val="10"/>
        <rFont val="Arial"/>
        <family val="2"/>
      </rPr>
      <t xml:space="preserve"> (Standby) 220 kV</t>
    </r>
  </si>
  <si>
    <t>Line 1:Col 2</t>
  </si>
  <si>
    <t>Note 14</t>
  </si>
  <si>
    <t>Maximum demand revenue (excess CRC)</t>
  </si>
  <si>
    <t>Standby demand (CRC)</t>
  </si>
  <si>
    <t>TOU-8-SUB (Standby)</t>
  </si>
  <si>
    <r>
      <t xml:space="preserve">     TOU-8-SUB (Standby)</t>
    </r>
    <r>
      <rPr>
        <vertAlign val="superscript"/>
        <sz val="10"/>
        <rFont val="Arial"/>
        <family val="2"/>
      </rPr>
      <t xml:space="preserve"> 220 kV</t>
    </r>
  </si>
  <si>
    <t xml:space="preserve">     TOU-8-SUB (below 220 kV) to TOU-8-SUB (includes 220 kV). TOU-8-SUB (220 kV) is derived by subtracting the TOU-8-SUB (below 220 kV) from The total allocated costs TOU-8-SUB (includes 220 kV).</t>
  </si>
  <si>
    <t xml:space="preserve">     See corresponding Line 13:Col 4.</t>
  </si>
  <si>
    <t xml:space="preserve">     See corresponding Line 13:Col 5.</t>
  </si>
  <si>
    <t xml:space="preserve">      equals to the Standby Demand Rate from corresponding Line 13:Col 7.</t>
  </si>
  <si>
    <t>=(Col 1 + Col 2 + Col 3) / 3</t>
  </si>
  <si>
    <t>12-CP MW</t>
  </si>
  <si>
    <t>Loss Adjusted Average 12-CP</t>
  </si>
  <si>
    <t>Allocation Factors for Backup Rates:</t>
  </si>
  <si>
    <t>= (Col 1 * Col 3)</t>
  </si>
  <si>
    <t>= (Col 2 * Col 3)</t>
  </si>
  <si>
    <t>Total 12-CP (07-09 average)</t>
  </si>
  <si>
    <t xml:space="preserve">Backup demand (07-09 average) </t>
  </si>
  <si>
    <t>Total 12-CP</t>
  </si>
  <si>
    <t>Backup 12-CP</t>
  </si>
  <si>
    <t>Retail Rate Group</t>
  </si>
  <si>
    <t>12-CP Allocation Percentage</t>
  </si>
  <si>
    <t>Allocated Retail Base TRR ($)</t>
  </si>
  <si>
    <t>Forecast Sales (GWh)</t>
  </si>
  <si>
    <t>Forecast Maximum Demand (MW)</t>
  </si>
  <si>
    <t>Forecast Standby Demand (MW)</t>
  </si>
  <si>
    <t>from Line 1:Col 1</t>
  </si>
  <si>
    <t>from Line 1:Col 2</t>
  </si>
  <si>
    <t>from Line 1:Col 3</t>
  </si>
  <si>
    <t>from Line 1:(Col 4,Col 8)</t>
  </si>
  <si>
    <t>from Line 1:(Col 5,Col 9)</t>
  </si>
  <si>
    <t>from Line 24:Col 5</t>
  </si>
  <si>
    <t>from Line 24:Col 6</t>
  </si>
  <si>
    <t>from Line 24:Col 7</t>
  </si>
  <si>
    <t>31a</t>
  </si>
  <si>
    <t>31b</t>
  </si>
  <si>
    <t>31c</t>
  </si>
  <si>
    <t>31d</t>
  </si>
  <si>
    <t>31e</t>
  </si>
  <si>
    <t>31f</t>
  </si>
  <si>
    <t>31g</t>
  </si>
  <si>
    <t>31h</t>
  </si>
  <si>
    <t>31i</t>
  </si>
  <si>
    <t>31j</t>
  </si>
  <si>
    <t>31k</t>
  </si>
  <si>
    <t>31l</t>
  </si>
  <si>
    <t>31m</t>
  </si>
  <si>
    <t>31n</t>
  </si>
  <si>
    <t>31o</t>
  </si>
  <si>
    <t>System Total</t>
  </si>
  <si>
    <t>Forecasted kWh Charge Revenue ($)</t>
  </si>
  <si>
    <t>Forecasted Monthly Maximum Demand Revenue ($)</t>
  </si>
  <si>
    <t>Forecasted Monthly Standby demand Revenue ($M)</t>
  </si>
  <si>
    <t>Forecasted Total Retail Base Transmission Revenue ($)</t>
  </si>
  <si>
    <t>32a</t>
  </si>
  <si>
    <t>32b</t>
  </si>
  <si>
    <t>32c</t>
  </si>
  <si>
    <t>32d</t>
  </si>
  <si>
    <t>32e</t>
  </si>
  <si>
    <t>32f</t>
  </si>
  <si>
    <t>32g</t>
  </si>
  <si>
    <t>32h</t>
  </si>
  <si>
    <t>32i</t>
  </si>
  <si>
    <t>32j</t>
  </si>
  <si>
    <t>32k</t>
  </si>
  <si>
    <t>32l</t>
  </si>
  <si>
    <t>32m</t>
  </si>
  <si>
    <t>32n</t>
  </si>
  <si>
    <t>32o</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</si>
  <si>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</si>
  <si>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</si>
  <si>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</si>
  <si>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</si>
  <si>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</si>
  <si>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</si>
  <si>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</si>
  <si>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</si>
  <si>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</si>
  <si>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</si>
  <si>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</si>
  <si>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</si>
  <si>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</si>
  <si>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</si>
  <si>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</si>
  <si>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</si>
  <si>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Note 18</t>
  </si>
  <si>
    <t>Applies to monthly contracted standby kW demand charges</t>
  </si>
  <si>
    <t>from Line1:Col 2</t>
  </si>
  <si>
    <t>from Line 30:Col 4</t>
  </si>
  <si>
    <t>from Line 30:Col 5</t>
  </si>
  <si>
    <t>Note 16</t>
  </si>
  <si>
    <t>Note 17</t>
  </si>
  <si>
    <t>5) For non-demand Schedules, "Total Energy Rate - $/kWh" = Line 1:Col 2 / (Line 1:Col 3) * 1,000,000.</t>
  </si>
  <si>
    <t>6) For demand Schedules, "Total Demand Rate - $/kW" = Line 1:Col 2 / (Line 1:(Col 4 + Col 5)) * 1,000.</t>
  </si>
  <si>
    <t xml:space="preserve"> However, the demand Rate for "TOU-8-Sub" which includes "220 kV" are calculated together </t>
  </si>
  <si>
    <t xml:space="preserve">7) These Rate Groups are being proposed in SCE's 2012 General Rate Case at the California Public Utilities </t>
  </si>
  <si>
    <t xml:space="preserve">8) TOU-8-SUB (below 220 kV) is derived by multiplying the total allocated costs of TOU-8-Sub (includes 220 kV) of Col 1, by the ratio of the Total 12-CP (Line 13:Col 2) pertains to </t>
  </si>
  <si>
    <t xml:space="preserve">9)Line 13:(Col 1 - Col 5). </t>
  </si>
  <si>
    <t>10) Line 13:Col 1 * Line 13:(Col 3 / Col 2).</t>
  </si>
  <si>
    <t>11) Line 13:(Col 5 / Col 6) * 1,000.</t>
  </si>
  <si>
    <t>12) Line 24:(Col 1 - Col 3).  However, for  TOU-8-SEC, TOU-8-Pri, TOU-8-SUB (includes 220 kV), TOU-8-SUB (below 220 kV), TOU-8-SUB (220 kV)</t>
  </si>
  <si>
    <t>13) Line 1:Col 5 * Line 24:Col 7 * 1,000.  However, for  TOU-8-SEC, TOU-8-Pri, TOU-8-SUB (includes 220 kV), TOU-8-SUB (below 220 kV), TOU-8-SUB (220 kV)</t>
  </si>
  <si>
    <t>14) From Line 1:Col 6 (applicable to all kWh usage).</t>
  </si>
  <si>
    <t xml:space="preserve">    And TOU-8-SUB (220 kV) is equal to the corresponding Line 24:Col 2 / Line 1:Col 8 * 1,000.</t>
  </si>
  <si>
    <t>16) Minimum of (TOU-8-SEC from Line 13:Col 7, or corresponding Line 1:Col 7).  However, for TOU-8-SEC, TOU-8-Pri, TOU-8-SUB (below 220 kV), TOU-8-SUB (220 kV)</t>
  </si>
  <si>
    <t>17) Applicable to Connected Load options in $/HP (Horsepower).  Connected load rate is equal to the $/kW in corresponding Line 24:(Col 6,Col 7) time 75%.</t>
  </si>
  <si>
    <t>18) 220 kV service is part of the TOU-8-SUB rate group, however, intervening parties in the CPUC proceedings agreed to identify these customers for rate design treatment purposes</t>
  </si>
  <si>
    <t>Line 31:(Col 3 * Col 6) * 10^6</t>
  </si>
  <si>
    <t>Line 31:(Col 4 * Col 7) * 1,000</t>
  </si>
  <si>
    <t>Line 31:(Col 5 * Col 8) * 1,000</t>
  </si>
  <si>
    <t>Line 32:(Col 1 + Col 2 + Col 3)</t>
  </si>
  <si>
    <t>from Line 1: Col 3</t>
  </si>
  <si>
    <t>= Col 4*Col 5/Col 6 * Col 7</t>
  </si>
  <si>
    <t>= Col 8 / Sum of Col 8</t>
  </si>
  <si>
    <t>Recorded Average Sales (2007 - 2009) - GWh</t>
  </si>
  <si>
    <t>Sales Forecast - GWh</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</si>
  <si>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</si>
  <si>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</si>
  <si>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</si>
  <si>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</si>
  <si>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</si>
  <si>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</si>
  <si>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</si>
  <si>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</si>
  <si>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</si>
  <si>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</si>
  <si>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</si>
  <si>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</si>
  <si>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</si>
  <si>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d) True Up TRR Calculation</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</si>
  <si>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</si>
  <si>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</si>
  <si>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</si>
  <si>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</si>
  <si>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</si>
  <si>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</si>
  <si>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</si>
  <si>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</si>
  <si>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</si>
  <si>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</si>
  <si>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</si>
  <si>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</si>
  <si>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</si>
  <si>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</si>
  <si>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</si>
  <si>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</si>
  <si>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</si>
  <si>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</si>
  <si>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</si>
  <si>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</si>
  <si>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</si>
  <si>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</si>
  <si>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</si>
  <si>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</si>
  <si>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</si>
  <si>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</si>
  <si>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</si>
  <si>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</si>
  <si>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</si>
  <si>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</si>
  <si>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</si>
  <si>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</si>
  <si>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</si>
  <si>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</si>
  <si>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</si>
  <si>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</si>
  <si>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</si>
  <si>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</si>
  <si>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</si>
  <si>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</si>
  <si>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</si>
  <si>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</si>
  <si>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</si>
  <si>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</si>
  <si>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</si>
  <si>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</si>
  <si>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</si>
  <si>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</si>
  <si>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</si>
  <si>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</si>
  <si>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</si>
  <si>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</si>
  <si>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</si>
  <si>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</si>
  <si>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18 C.F.R. §35.19a on lines 11 to 31, Column 6.  If interest rate for any months not known, use most recent known month.</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</si>
  <si>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</si>
  <si>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</si>
  <si>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</si>
  <si>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</si>
  <si>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</si>
  <si>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</si>
  <si>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</si>
  <si>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</si>
  <si>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</si>
  <si>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</si>
  <si>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</si>
  <si>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</si>
  <si>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</si>
  <si>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</si>
  <si>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</si>
  <si>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</si>
  <si>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</si>
  <si>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</si>
  <si>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</si>
  <si>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</si>
  <si>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</si>
  <si>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</si>
  <si>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</si>
  <si>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</si>
  <si>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</si>
  <si>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</si>
  <si>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</si>
  <si>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</si>
  <si>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</si>
  <si>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</si>
  <si>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</si>
  <si>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</si>
  <si>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</si>
  <si>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</si>
  <si>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</si>
  <si>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</si>
  <si>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</si>
  <si>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</si>
  <si>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</si>
  <si>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</si>
  <si>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</si>
  <si>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</si>
  <si>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</si>
  <si>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</si>
  <si>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</si>
  <si>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</si>
  <si>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</si>
  <si>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</si>
  <si>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</si>
  <si>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</si>
  <si>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</si>
  <si>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</si>
  <si>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</si>
  <si>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</si>
  <si>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</si>
  <si>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</si>
  <si>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</si>
  <si>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</si>
  <si>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</si>
  <si>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Amort of Debt Issuance Cost</t>
  </si>
  <si>
    <t>ECAC</t>
  </si>
  <si>
    <t>Relicensing Fees</t>
  </si>
  <si>
    <t>AC Def Inc Tax - Exchg Energy</t>
  </si>
  <si>
    <t>AC Def Inc Tax - ECAC Incent</t>
  </si>
  <si>
    <t>Yuma Axis Generating Stn</t>
  </si>
  <si>
    <t>Executive Incentive Comp</t>
  </si>
  <si>
    <t>Relates to employees in all functions</t>
  </si>
  <si>
    <t>Public Purpose Program Aid &amp; Statutory Costs</t>
  </si>
  <si>
    <t>Acc charges</t>
  </si>
  <si>
    <t>DIT - APS Right of Way</t>
  </si>
  <si>
    <t>Corp Name Change</t>
  </si>
  <si>
    <t>QF termination payments</t>
  </si>
  <si>
    <t>Mescalero Fuel Storage</t>
  </si>
  <si>
    <t>Photovoltaic Facilities</t>
  </si>
  <si>
    <t>Uncollectible Accts. Exp.</t>
  </si>
  <si>
    <t>Component of Working Capital Rate Base Adj.</t>
  </si>
  <si>
    <t>CCFT - TSB -FAS 109</t>
  </si>
  <si>
    <t>Executive Annuity</t>
  </si>
  <si>
    <t>Prepaid Expenses - ACE Limited Ins.</t>
  </si>
  <si>
    <t>Bond Discount Amort</t>
  </si>
  <si>
    <t>Decom Net Earn - Non Qua</t>
  </si>
  <si>
    <t>Def Tax Flow Thru ITC</t>
  </si>
  <si>
    <t>Not Component of Rate Base Per IRC §46(f)(2)</t>
  </si>
  <si>
    <t>Def Tax ITC 2-Yr Average</t>
  </si>
  <si>
    <t>Executive Incentive Plan</t>
  </si>
  <si>
    <t>Pension Reserve</t>
  </si>
  <si>
    <t>Uncollectible Accounts E</t>
  </si>
  <si>
    <t>Purchase Power Energy Settlement</t>
  </si>
  <si>
    <t>ARAM - Gross-Up</t>
  </si>
  <si>
    <t>Ins - Inj/Damages Prov</t>
  </si>
  <si>
    <t>Misc Def Tax - FAS 109</t>
  </si>
  <si>
    <t>Unrealized Gain - Decomm</t>
  </si>
  <si>
    <t>Hazardous Waste</t>
  </si>
  <si>
    <t>Health Care - IBNR</t>
  </si>
  <si>
    <t>Uncollec Accts-Claims</t>
  </si>
  <si>
    <t>Def Tax - CCFT Base Rates - R.L.</t>
  </si>
  <si>
    <t>Relates to all Regulated Electric Property</t>
  </si>
  <si>
    <t>Ins Res/Casualty Loss</t>
  </si>
  <si>
    <t>Stock Options Accrue to APIC</t>
  </si>
  <si>
    <t>Decomm NQ Expenses</t>
  </si>
  <si>
    <t>DIT - SFAS 158 - Short Term</t>
  </si>
  <si>
    <t>Continuation of Account 190 Detail</t>
  </si>
  <si>
    <t>GRC Marine Mitigation</t>
  </si>
  <si>
    <t>Nuc Decomm Adj Mech (NDAM)</t>
  </si>
  <si>
    <t>Pub Purp Prg Adj Mech (PPPAM)</t>
  </si>
  <si>
    <t>DIT - SRPIM</t>
  </si>
  <si>
    <t>DIT WECC Statutory Costs</t>
  </si>
  <si>
    <t xml:space="preserve">Base Revenue Requirement </t>
  </si>
  <si>
    <t>Demand Responsiveness Memo</t>
  </si>
  <si>
    <t>DIT - FIN Reporting Reserves</t>
  </si>
  <si>
    <t>Nuclear Fuel</t>
  </si>
  <si>
    <t>NQ Decom. Withdraws</t>
  </si>
  <si>
    <t>R&amp;D Overcollection</t>
  </si>
  <si>
    <t>DSMAC Expenses</t>
  </si>
  <si>
    <t>Cont in Aid of Const</t>
  </si>
  <si>
    <t>Int Capitalized - AFUDC</t>
  </si>
  <si>
    <t>ITCC - CIAC - State</t>
  </si>
  <si>
    <t>PBOP 401H Amortization</t>
  </si>
  <si>
    <t>Fixed Costs</t>
  </si>
  <si>
    <t>LSFO Differential</t>
  </si>
  <si>
    <t>DFO Differential</t>
  </si>
  <si>
    <t>ADIT - Environ Remed</t>
  </si>
  <si>
    <t>New</t>
  </si>
  <si>
    <t xml:space="preserve">DIT DSM-ENERGY EFFICIENCY </t>
  </si>
  <si>
    <t>DIT DSM-LOW INCOME</t>
  </si>
  <si>
    <t>DIT FIRM TRANSMISSION RIGHTS BA</t>
  </si>
  <si>
    <t>SOLAR INVESTMENT TAX CREDIT</t>
  </si>
  <si>
    <t>Marine Mitigation</t>
  </si>
  <si>
    <t>DIT MISC Reg Liab/Asset (ECAC BA)</t>
  </si>
  <si>
    <t>MRTUMA</t>
  </si>
  <si>
    <t>FHPMA LT</t>
  </si>
  <si>
    <t>FC Cpital LT</t>
  </si>
  <si>
    <t>DIT Renewable Portfolio STD Costs MA</t>
  </si>
  <si>
    <t>Total Electric 190</t>
  </si>
  <si>
    <t>Account 190 Gas and Other Income:</t>
  </si>
  <si>
    <t>DIT - RAR Rollforward - State</t>
  </si>
  <si>
    <t>Gas and Other Non-ISO Related Costs</t>
  </si>
  <si>
    <t>DIT - RAR Rollforward - Federal</t>
  </si>
  <si>
    <t>Ad Val Lien Date-Other</t>
  </si>
  <si>
    <t>CCFT - Gas</t>
  </si>
  <si>
    <t>CCFT - Other</t>
  </si>
  <si>
    <t>CCFT - Water</t>
  </si>
  <si>
    <t>Def Tax - Etiwanda Wst Wtr</t>
  </si>
  <si>
    <t>Rollforward Orig Issue State 09 May Filing</t>
  </si>
  <si>
    <t>Rollforward of settled audit ATL NONRB-Fed</t>
  </si>
  <si>
    <t>Rollforward of settled audit ATL NONRB-State</t>
  </si>
  <si>
    <t>Residential Energy Disconnections MA (REDMA) - LT</t>
  </si>
  <si>
    <t>Palo Verde O&amp;M</t>
  </si>
  <si>
    <t>CCA BA</t>
  </si>
  <si>
    <t>Capital Balancing Accounts</t>
  </si>
  <si>
    <t>Total Account 190 Gas and Other Income</t>
  </si>
  <si>
    <t>Total Account 190</t>
  </si>
  <si>
    <t>FERC Form 1 Account 190</t>
  </si>
  <si>
    <t>3) Account 282 Detail</t>
  </si>
  <si>
    <t>ACCT 282</t>
  </si>
  <si>
    <t>Def Inc Tax-Other Prop Opr Inc</t>
  </si>
  <si>
    <t>Acc Def Inc Tax-So Reas Rev</t>
  </si>
  <si>
    <t>Acc Def Inc Tax-Acrs Opr Inc</t>
  </si>
  <si>
    <t xml:space="preserve">Fully Normalized Deferred Tax </t>
  </si>
  <si>
    <t>Acc Def Inc Tax-Direct Access</t>
  </si>
  <si>
    <t>Def Inc Tax Songs 2&amp;3 ICIP</t>
  </si>
  <si>
    <t>Acc Def Inc Tax-Acrs ICIP PV</t>
  </si>
  <si>
    <t>Acc Def Inc Tax-AFUDC</t>
  </si>
  <si>
    <t>Retirement Adj</t>
  </si>
  <si>
    <t>MV to SCE</t>
  </si>
  <si>
    <t>DIT R &amp; D</t>
  </si>
  <si>
    <t>Defd Tax LT - Prop</t>
  </si>
  <si>
    <t>Fully Normalized Deferred Tax - Book</t>
  </si>
  <si>
    <t>Bonus Depreciation CPUC Adj</t>
  </si>
  <si>
    <t>Street Lights</t>
  </si>
  <si>
    <t>Property-Related Def Tax Adjust</t>
  </si>
  <si>
    <t>FERC Form 1 Account 282</t>
  </si>
  <si>
    <t>FF1 275.5k</t>
  </si>
  <si>
    <t>4) Account 283 Detail</t>
  </si>
  <si>
    <t>ACCT 283</t>
  </si>
  <si>
    <t>Def Tax State - Other (GSI)</t>
  </si>
  <si>
    <t>Lease Acctng - PPBU - Short-term</t>
  </si>
  <si>
    <t>Reg Asset - Deferred Tax - Temp</t>
  </si>
  <si>
    <t>Solar Photovoltaic Program MA (SPVPMA)</t>
  </si>
  <si>
    <t>Balancing Account Overcollection</t>
  </si>
  <si>
    <t>EDRA</t>
  </si>
  <si>
    <t>Payroll Tax</t>
  </si>
  <si>
    <t>Mohave Transition Costs</t>
  </si>
  <si>
    <t>Firm Transmission Rights (Other)</t>
  </si>
  <si>
    <t>Procurement Energy EFF BA</t>
  </si>
  <si>
    <t>Misc Reg Liab/Asset (fka ECAC Bal Acct)</t>
  </si>
  <si>
    <t>Haz Waste Bal Acct. - 182.376 &amp; 254.376</t>
  </si>
  <si>
    <t>Ad Valorem Lien Date - Gen Plant Sale</t>
  </si>
  <si>
    <t>Real Time Energy Metering Account</t>
  </si>
  <si>
    <t>CARE Adjustment (Formerly LISAC)</t>
  </si>
  <si>
    <t>RSBA</t>
  </si>
  <si>
    <t>ESMA - Dynergy</t>
  </si>
  <si>
    <t>ESMA - PS Colorado</t>
  </si>
  <si>
    <t>ESMA - Duke</t>
  </si>
  <si>
    <t>ESMA - Reliant</t>
  </si>
  <si>
    <t>ESMA - Enron Settlement</t>
  </si>
  <si>
    <t>ESMA - PS Colorado Settlement</t>
  </si>
  <si>
    <t>Pension Cost Balancing Account</t>
  </si>
  <si>
    <t>Mohave B/A</t>
  </si>
  <si>
    <t>Project Devel Div. M/A</t>
  </si>
  <si>
    <t>Project Devel Div. M/A - LT</t>
  </si>
  <si>
    <t>DIT DOE Litigation MEMO Account - New 2008</t>
  </si>
  <si>
    <t>CWIP Balancing Account - ST</t>
  </si>
  <si>
    <t>New System Generation M/A - ST</t>
  </si>
  <si>
    <t>DIT AIMMA</t>
  </si>
  <si>
    <t>LT Proc. Plan Tech Assistance M/A (LTAMA)</t>
  </si>
  <si>
    <t>NDSCMA - (New 10/08)</t>
  </si>
  <si>
    <t>Amortization of Debt Expense</t>
  </si>
  <si>
    <t>Refundable Receivable Line Extension</t>
  </si>
  <si>
    <t>DOE Decontamination &amp; Decommissioning</t>
  </si>
  <si>
    <t>Cum. Effect - FAS 109-SONGS NUC DBD Csts</t>
  </si>
  <si>
    <t>263A Adjustment</t>
  </si>
  <si>
    <t>AFUDC - Equity</t>
  </si>
  <si>
    <t>CIAC-Deferred Rev-FAS 109 Gross-up</t>
  </si>
  <si>
    <t>Continuation of Account 283 Detail</t>
  </si>
  <si>
    <t>Electric (continued):</t>
  </si>
  <si>
    <t>Depreciation - Cal - Electric</t>
  </si>
  <si>
    <t>Removal Costs - Electric</t>
  </si>
  <si>
    <t>Repair Allowance</t>
  </si>
  <si>
    <t>Right of Way Amort.</t>
  </si>
  <si>
    <t>Unreal Gain - Decom - Q - Invest</t>
  </si>
  <si>
    <t>Capitalized Software - Others - NEW IN 11/07</t>
  </si>
  <si>
    <t>Capitalized Software Costs - Tax</t>
  </si>
  <si>
    <t>Capitalized Software Costs</t>
  </si>
  <si>
    <t>Repair - CPUC Repair Deduction</t>
  </si>
  <si>
    <t>Repair - Contra Deferreds/Repair Deduction Reserve</t>
  </si>
  <si>
    <t>Capitalized Software - ERP (Flowthru) - NEW IN 11/07</t>
  </si>
  <si>
    <t>Capitalized Software Costs - ERP</t>
  </si>
  <si>
    <t>Lease Acctng - PPBU - Long-term</t>
  </si>
  <si>
    <t>Nuclear Unit Deferred Chges</t>
  </si>
  <si>
    <t>ITC - Deferred Tax - Plant Sale</t>
  </si>
  <si>
    <t xml:space="preserve">Radio Frequency </t>
  </si>
  <si>
    <t>Decomm Trust Earnings - Book</t>
  </si>
  <si>
    <t>Contribution to Qualified Decommissioning Trust</t>
  </si>
  <si>
    <t>Depreciation - Book - Plant Sale</t>
  </si>
  <si>
    <t>Environmental Remediation</t>
  </si>
  <si>
    <t>SFAS 158 - Long Term</t>
  </si>
  <si>
    <t>FERC South Georgia</t>
  </si>
  <si>
    <t xml:space="preserve">Palo Verde Common </t>
  </si>
  <si>
    <t>Catastrophic Memo Account (CEMA L/T)</t>
  </si>
  <si>
    <t>Refunding &amp; Retirement of Debt</t>
  </si>
  <si>
    <t>RECLASS FIN48 Q4 BALANCE</t>
  </si>
  <si>
    <t>Total Electric 283</t>
  </si>
  <si>
    <t>Ad Valorem Lien Date Adj-Gas</t>
  </si>
  <si>
    <t>Depreciation - Cal - Gas</t>
  </si>
  <si>
    <t>GCAC</t>
  </si>
  <si>
    <t>Ad Valorem Lien Date Adj-Water</t>
  </si>
  <si>
    <t>ENVEST - Bad Debt</t>
  </si>
  <si>
    <t>Depreciation - Book - Other</t>
  </si>
  <si>
    <t>Depreciation - Cal Water</t>
  </si>
  <si>
    <t>Executive Retirement Provision</t>
  </si>
  <si>
    <t>CFC Capital Loss</t>
  </si>
  <si>
    <t>Capitalized Software Costs - Normalized</t>
  </si>
  <si>
    <t>Depreciation - Book - Telecom</t>
  </si>
  <si>
    <t>Telecom - Deferred Tax on Reg Asset</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</si>
  <si>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</si>
  <si>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</si>
  <si>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</si>
  <si>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</si>
  <si>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</si>
  <si>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</si>
  <si>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</si>
  <si>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</si>
  <si>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</si>
  <si>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</si>
  <si>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</si>
  <si>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</si>
  <si>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</si>
  <si>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</si>
  <si>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</si>
  <si>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</si>
  <si>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</si>
  <si>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</si>
  <si>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</si>
  <si>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</si>
  <si>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</si>
  <si>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</si>
  <si>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</si>
  <si>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</si>
  <si>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</si>
  <si>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</si>
  <si>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</si>
  <si>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</si>
  <si>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</si>
  <si>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</si>
  <si>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</si>
  <si>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</si>
  <si>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</si>
  <si>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</si>
  <si>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</si>
  <si>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</si>
  <si>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</si>
  <si>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</si>
  <si>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Relates Entirely to CPUC Balancing Account Recovery</t>
  </si>
  <si>
    <t>Relates to Generation Relicensing Fees</t>
  </si>
  <si>
    <t>Relates to PVNGS CPUC Cost Recovery</t>
  </si>
  <si>
    <t>Power Procurement Costs B/A - State PUC</t>
  </si>
  <si>
    <t>Relates to Generation Costs</t>
  </si>
  <si>
    <t>Relates to Telecom Business Costs</t>
  </si>
  <si>
    <t>Relates to Nuclear Generation Insurance Costs</t>
  </si>
  <si>
    <t>Exclude interest-related debt costs</t>
  </si>
  <si>
    <t>Non-Rate Base FAS 109 Tax Flow-Through</t>
  </si>
  <si>
    <t>Relates to Power Procurement Costs</t>
  </si>
  <si>
    <t>Relates to Nuclear Decommissioning Costs</t>
  </si>
  <si>
    <t>Relates to CIAC Non-ISO Property Costs</t>
  </si>
  <si>
    <t>Relates to Generation Fuel Costs</t>
  </si>
  <si>
    <t>Non-Rate Base FAS 109 Gross Up - Generation</t>
  </si>
  <si>
    <t>MountainView Generating Stattion</t>
  </si>
  <si>
    <t>Property-Related CPUC Costs</t>
  </si>
  <si>
    <t>Property-Related FERC Costs</t>
  </si>
  <si>
    <t>Pre-'98 T&amp;D State PUC-Related Costs</t>
  </si>
  <si>
    <t>Relates to Nuclear Generation Costs</t>
  </si>
  <si>
    <t>Repair - FERC Repair Deduction</t>
  </si>
  <si>
    <t>Relates to Steam Generation Costs</t>
  </si>
  <si>
    <t>Total Account 282</t>
  </si>
  <si>
    <t>Retail Costs - State PUC</t>
  </si>
  <si>
    <t>Relates Entirely to FERC Balancing Account Recovery</t>
  </si>
  <si>
    <t>Relates to Refundable Distribution Costs</t>
  </si>
  <si>
    <t>Not Component of Rate Base</t>
  </si>
  <si>
    <t>Non-Rate Base FAS 109 Tax Flow-Thru - CIAC</t>
  </si>
  <si>
    <t>Non-Rate Base FAS 109 Tax Flow-Thru - State Deprec</t>
  </si>
  <si>
    <t>Non-Rate Base FAS 109 Tax Flow-Thru - Removal</t>
  </si>
  <si>
    <t>Non-Rate Base FAS 109 Tax Flow-Thru - Repair</t>
  </si>
  <si>
    <t>Non-Rate Base FAS 109 Tax Flow-Thru - ROW</t>
  </si>
  <si>
    <t>Non-Rate Base FAS 109 Tax Flow-Thru - Nuclear</t>
  </si>
  <si>
    <t>Non-Rate Base FAS 109 Tax Flow-Thru - Software</t>
  </si>
  <si>
    <t>Property-Related CPUC Costs - Repair</t>
  </si>
  <si>
    <t>Non-Rate Base FAS 109 Tax Flow-Thru - Frequency</t>
  </si>
  <si>
    <t>Relates to Sale of Generation Facilities</t>
  </si>
  <si>
    <t>Non-Rate Base FAS 109 Tax Flow-Thru</t>
  </si>
  <si>
    <t>Non-Rate Base FAS 109 Tax Flow-Thru - SGA</t>
  </si>
  <si>
    <t>DOE Ligtigation M/A</t>
  </si>
  <si>
    <t>FIN 48 exclusion for FERC</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</si>
  <si>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</si>
  <si>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</si>
  <si>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</si>
  <si>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</si>
  <si>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</si>
  <si>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</si>
  <si>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</si>
  <si>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</si>
  <si>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</si>
  <si>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</si>
  <si>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</si>
  <si>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</si>
  <si>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</si>
  <si>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r>
      <t xml:space="preserve">Row </t>
    </r>
    <r>
      <rPr>
        <u/>
        <sz val="10"/>
        <rFont val="Arial"/>
        <family val="2"/>
      </rPr>
      <t>39</t>
    </r>
    <r>
      <rPr>
        <sz val="10"/>
        <rFont val="Arial"/>
        <family val="2"/>
      </rPr>
      <t>, Column i</t>
    </r>
  </si>
  <si>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</si>
  <si>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</si>
  <si>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</si>
  <si>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</si>
  <si>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</si>
  <si>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</si>
  <si>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</si>
  <si>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</si>
  <si>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End-User Transmission Rates</t>
  </si>
  <si>
    <t>Base TRR Energy Charge ($/kWh)</t>
  </si>
  <si>
    <t>Base TRR Demand Charge ($/kW)</t>
  </si>
  <si>
    <t>Standby Demand Charge ($/kW)</t>
  </si>
  <si>
    <t>Retail Transmission Rates</t>
  </si>
  <si>
    <t>End-User Transmission Rates Revenues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</si>
  <si>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</si>
  <si>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</si>
  <si>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</si>
  <si>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</si>
  <si>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</si>
  <si>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FERC-Related Balancing Account</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</si>
  <si>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</si>
  <si>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</si>
  <si>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</si>
  <si>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</si>
  <si>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</si>
  <si>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</si>
  <si>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</si>
  <si>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</si>
  <si>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</si>
  <si>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</si>
  <si>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3) Sales Forecast pertaining to the sum of monthly maximum Mega-watt demand - applies to demand schedules (the customer's monthly metered maximum kW demand).</t>
  </si>
  <si>
    <t>4) Sales Forecast pertaining to the sum of monthly contracted standby Mega-watt demand - - applies to standby schedules (the customer's monthly contracted standby kW demand).</t>
  </si>
  <si>
    <t>15) Line 24:Col 2 / Line 1:Col 4 * 1,000 (applicable to monthly maximum kW demand).  However, for TOU-8-SUB (below 220 kV), it is derived by the corresponding Line 24:Col 2 / Line 1:(Col 4 - Col 8) * 1,000.</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</si>
  <si>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</si>
  <si>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</si>
  <si>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</si>
  <si>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</si>
  <si>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4) Forecast Adjustment may be included as provided in the Tariff protocols.</t>
  </si>
  <si>
    <t>Transmission Depreciation Reserve - ISO</t>
  </si>
  <si>
    <t>Distribution Depreciation Reserve - ISO</t>
  </si>
  <si>
    <t>Beginning and End of year amounts in Columns 2 and 14 are from FERC Form 1, as referenced in below notes.</t>
  </si>
  <si>
    <t>=Sum C2 to C4</t>
  </si>
  <si>
    <t>=Sum C2 to C11</t>
  </si>
  <si>
    <t xml:space="preserve">1) Forecast Period is October of year following the Prior Year through September of the next year.   </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</si>
  <si>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</si>
  <si>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</si>
  <si>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</si>
  <si>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</si>
  <si>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</si>
  <si>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</si>
  <si>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</si>
  <si>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</si>
  <si>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</si>
  <si>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</si>
  <si>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</si>
  <si>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</si>
  <si>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</si>
  <si>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</si>
  <si>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</si>
  <si>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</si>
  <si>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</si>
  <si>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</si>
  <si>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</si>
  <si>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</si>
  <si>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</si>
  <si>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</si>
  <si>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</si>
  <si>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Series A Pref., 5.349% initial rate</t>
  </si>
  <si>
    <t>Dividend rate is variable after 4/30/2010</t>
  </si>
  <si>
    <t>Series B Pref., 6.125%</t>
  </si>
  <si>
    <t>Series C Pref., 6.000%</t>
  </si>
  <si>
    <t>Event</t>
  </si>
  <si>
    <t>Issue/Event</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</si>
  <si>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</si>
  <si>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</si>
  <si>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</si>
  <si>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</si>
  <si>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</si>
  <si>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</si>
  <si>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</si>
  <si>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</si>
  <si>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</si>
  <si>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</si>
  <si>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</si>
  <si>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</si>
  <si>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</si>
  <si>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</si>
  <si>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</si>
  <si>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</si>
  <si>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</si>
  <si>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</si>
  <si>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</si>
  <si>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</si>
  <si>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</si>
  <si>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</si>
  <si>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</si>
  <si>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</si>
  <si>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</si>
  <si>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</si>
  <si>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</si>
  <si>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</si>
  <si>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</si>
  <si>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</si>
  <si>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</si>
  <si>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</si>
  <si>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</si>
  <si>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</si>
  <si>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</si>
  <si>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</si>
  <si>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</si>
  <si>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</si>
  <si>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</si>
  <si>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</si>
  <si>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</si>
  <si>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</si>
  <si>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</si>
  <si>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</si>
  <si>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</si>
  <si>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</si>
  <si>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</si>
  <si>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</si>
  <si>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</si>
  <si>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</si>
  <si>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</si>
  <si>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</si>
  <si>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</si>
  <si>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</si>
  <si>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</si>
  <si>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</si>
  <si>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</si>
  <si>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One Time True Up Adjustment amounts (see Instruction #5) attributable to a previous Prior Year are entered on Column 4, Line 11.</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</si>
  <si>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</si>
  <si>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</si>
  <si>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</si>
  <si>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</si>
  <si>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</si>
  <si>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</si>
  <si>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</si>
  <si>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</si>
  <si>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</si>
  <si>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</si>
  <si>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Relates to 100% ISO facilities</t>
  </si>
  <si>
    <t>3) Calculation of final True Up TRR with Franchise Fees and Uncollectibles Expenses</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</si>
  <si>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</si>
  <si>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</si>
  <si>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</si>
  <si>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</si>
  <si>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</si>
  <si>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</si>
  <si>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</si>
  <si>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</si>
  <si>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</si>
  <si>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</si>
  <si>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</si>
  <si>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</si>
  <si>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</si>
  <si>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</si>
  <si>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</si>
  <si>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</si>
  <si>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</si>
  <si>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</si>
  <si>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</si>
  <si>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</si>
  <si>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</si>
  <si>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</si>
  <si>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</si>
  <si>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</si>
  <si>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t>136 FERC ¶ 61,074</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</si>
  <si>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</si>
  <si>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</si>
  <si>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</si>
  <si>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</si>
  <si>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</si>
  <si>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</si>
  <si>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</si>
  <si>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</si>
  <si>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</si>
  <si>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</si>
  <si>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CPUC D. 09-03-025</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</si>
  <si>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</si>
  <si>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</si>
  <si>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</si>
  <si>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</si>
  <si>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</si>
  <si>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</si>
  <si>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</si>
  <si>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</si>
  <si>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</si>
  <si>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</si>
  <si>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</si>
  <si>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New Mexico Statutes, Chapter 7, Article 2A</t>
  </si>
  <si>
    <t>Arizona Statute, Title 43, Part 43.1111</t>
  </si>
  <si>
    <t>DC Code, Division VIII, Title 47, Part 47-1807.02(a)(4)</t>
  </si>
  <si>
    <t>a) California:</t>
  </si>
  <si>
    <t>2) Federal Source Statute:</t>
  </si>
  <si>
    <t>3) State Source Statues (Enter Reference to each State Marginal Tax Rate Statute below):</t>
  </si>
  <si>
    <t xml:space="preserve">California Code, Division 2, Part 11, Chapter 2, Article 2, Section 23151(e) </t>
  </si>
  <si>
    <t>Internal Revenue Code Section 11(b)(1)(D)</t>
  </si>
  <si>
    <t>F:  Exclude amount of costs transfered to account from A&amp;G Account 920 pursuant to Order 668</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</si>
  <si>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</si>
  <si>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</si>
  <si>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</si>
  <si>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</si>
  <si>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</si>
  <si>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</si>
  <si>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</si>
  <si>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</si>
  <si>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</si>
  <si>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</si>
  <si>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</si>
  <si>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</si>
  <si>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Dec 2009</t>
  </si>
  <si>
    <t>Jan 2010</t>
  </si>
  <si>
    <t>Feb 2010</t>
  </si>
  <si>
    <t>Mar 2010</t>
  </si>
  <si>
    <t>Apr 2010</t>
  </si>
  <si>
    <t>May 2010</t>
  </si>
  <si>
    <t xml:space="preserve">Jun 2010 </t>
  </si>
  <si>
    <t>Jul 2010</t>
  </si>
  <si>
    <t>Aug 2010</t>
  </si>
  <si>
    <t>Sep 2010</t>
  </si>
  <si>
    <t>Oct 2010</t>
  </si>
  <si>
    <t>Nov 2010</t>
  </si>
  <si>
    <t>Dec 2010</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</si>
  <si>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</si>
  <si>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</si>
  <si>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</si>
  <si>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</si>
  <si>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</si>
  <si>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</si>
  <si>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</si>
  <si>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</si>
  <si>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</si>
  <si>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</si>
  <si>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</si>
  <si>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</si>
  <si>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</si>
  <si>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</si>
  <si>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</si>
  <si>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</si>
  <si>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</si>
  <si>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</si>
  <si>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</si>
  <si>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</si>
  <si>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</si>
  <si>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</si>
  <si>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</si>
  <si>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</si>
  <si>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</si>
  <si>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</si>
  <si>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</si>
  <si>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</si>
  <si>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</si>
  <si>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</si>
  <si>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</si>
  <si>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</si>
  <si>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</si>
  <si>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</si>
  <si>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</si>
  <si>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</si>
  <si>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</si>
  <si>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</si>
  <si>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</si>
  <si>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</si>
  <si>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</si>
  <si>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</si>
  <si>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</si>
  <si>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</si>
  <si>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</si>
  <si>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</si>
  <si>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</si>
  <si>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</si>
  <si>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</si>
  <si>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</si>
  <si>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</si>
  <si>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</si>
  <si>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</si>
  <si>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</si>
  <si>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</si>
  <si>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</si>
  <si>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</si>
  <si>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</si>
  <si>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</si>
  <si>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</si>
  <si>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</si>
  <si>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</si>
  <si>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</si>
  <si>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</si>
  <si>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</si>
  <si>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</si>
  <si>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</si>
  <si>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</si>
  <si>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</si>
  <si>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</si>
  <si>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</si>
  <si>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</si>
  <si>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</si>
  <si>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</si>
  <si>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</si>
  <si>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</si>
  <si>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</si>
  <si>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</si>
  <si>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</si>
  <si>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</si>
  <si>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</si>
  <si>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</si>
  <si>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</si>
  <si>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</si>
  <si>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</si>
  <si>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</si>
  <si>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</si>
  <si>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</si>
  <si>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</si>
  <si>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</si>
  <si>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Non-ISO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</si>
  <si>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</si>
  <si>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</si>
  <si>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</si>
  <si>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</si>
  <si>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</si>
  <si>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</si>
  <si>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</si>
  <si>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</si>
  <si>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</si>
  <si>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</si>
  <si>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</si>
  <si>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</si>
  <si>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</si>
  <si>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</si>
  <si>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</si>
  <si>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</si>
  <si>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</si>
  <si>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</si>
  <si>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</si>
  <si>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</si>
  <si>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</si>
  <si>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</si>
  <si>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</si>
  <si>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</si>
  <si>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</si>
  <si>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</si>
  <si>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</si>
  <si>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</si>
  <si>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</si>
  <si>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</si>
  <si>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</si>
  <si>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</si>
  <si>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</si>
  <si>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2009-2011</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</si>
  <si>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</si>
  <si>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</si>
  <si>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</si>
  <si>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</si>
  <si>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</si>
  <si>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</si>
  <si>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</si>
  <si>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</si>
  <si>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</si>
  <si>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</si>
  <si>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</si>
  <si>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</si>
  <si>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</si>
  <si>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</si>
  <si>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</si>
  <si>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</si>
  <si>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</si>
  <si>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</si>
  <si>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</si>
  <si>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</si>
  <si>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</si>
  <si>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</si>
  <si>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 xml:space="preserve">2) Sales Forecast in total Giga-watt hours usage - applies to non-demand schedules, and it's the customers' total annual kWh consumption.  </t>
  </si>
  <si>
    <t>Billing determinants in columns 3-5 developed based on same sales forecast on Schedule 32 "SCE Retail Sales at ISO Grid level".</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</si>
  <si>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</si>
  <si>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</si>
  <si>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</si>
  <si>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</si>
  <si>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</si>
  <si>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</si>
  <si>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</si>
  <si>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</si>
  <si>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</si>
  <si>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</si>
  <si>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</si>
  <si>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</si>
  <si>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</si>
  <si>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</si>
  <si>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</si>
  <si>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</si>
  <si>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</si>
  <si>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</si>
  <si>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</si>
  <si>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</si>
  <si>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</si>
  <si>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</si>
  <si>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</si>
  <si>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</si>
  <si>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</si>
  <si>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</si>
  <si>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</si>
  <si>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</si>
  <si>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Jan 1, 2010</t>
  </si>
  <si>
    <t>Dec 31, 2010</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</si>
  <si>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</si>
  <si>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</si>
  <si>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</si>
  <si>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</si>
  <si>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</si>
  <si>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</si>
  <si>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</si>
  <si>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</si>
  <si>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</si>
  <si>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</si>
  <si>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</si>
  <si>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</si>
  <si>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</si>
  <si>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</si>
  <si>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</si>
  <si>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</si>
  <si>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</si>
  <si>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</si>
  <si>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</si>
  <si>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</si>
  <si>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</si>
  <si>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</si>
  <si>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</si>
  <si>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</si>
  <si>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</si>
  <si>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</si>
  <si>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</si>
  <si>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</si>
  <si>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</si>
  <si>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</si>
  <si>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</si>
  <si>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</si>
  <si>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</si>
  <si>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</si>
  <si>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</si>
  <si>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</si>
  <si>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</si>
  <si>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</si>
  <si>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</si>
  <si>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</si>
  <si>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</si>
  <si>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</si>
  <si>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</si>
  <si>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</si>
  <si>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</si>
  <si>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</si>
  <si>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</si>
  <si>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</si>
  <si>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</si>
  <si>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</si>
  <si>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</si>
  <si>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</si>
  <si>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</si>
  <si>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</si>
  <si>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</si>
  <si>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</si>
  <si>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</si>
  <si>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</si>
  <si>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</si>
  <si>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</si>
  <si>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</si>
  <si>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</si>
  <si>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</si>
  <si>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</si>
  <si>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</si>
  <si>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</si>
  <si>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</si>
  <si>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</si>
  <si>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</si>
  <si>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</si>
  <si>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</si>
  <si>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</si>
  <si>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</si>
  <si>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</si>
  <si>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</si>
  <si>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</si>
  <si>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</si>
  <si>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</si>
  <si>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</si>
  <si>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</si>
  <si>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</si>
  <si>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</si>
  <si>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C: Relates to all Regulated Electric Property</t>
  </si>
  <si>
    <t>C: Relates to employees in all functions</t>
  </si>
  <si>
    <t>C: Relates to executive compensation</t>
  </si>
  <si>
    <t>C: Relates to book/tax deduction timing differences</t>
  </si>
  <si>
    <t>C: FERC-Related state deductions</t>
  </si>
  <si>
    <t>C: Relates to debt</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</si>
  <si>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</si>
  <si>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</si>
  <si>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</si>
  <si>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</si>
  <si>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</si>
  <si>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</si>
  <si>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</si>
  <si>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</si>
  <si>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</si>
  <si>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</si>
  <si>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</si>
  <si>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</si>
  <si>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</si>
  <si>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</si>
  <si>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</si>
  <si>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</si>
  <si>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</si>
  <si>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</si>
  <si>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</si>
  <si>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</si>
  <si>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</si>
  <si>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</si>
  <si>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</si>
  <si>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</si>
  <si>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</si>
  <si>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</si>
  <si>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</si>
  <si>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</si>
  <si>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</si>
  <si>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</si>
  <si>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</si>
  <si>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</si>
  <si>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</si>
  <si>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</si>
  <si>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</si>
  <si>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</si>
  <si>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</si>
  <si>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</si>
  <si>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</si>
  <si>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</si>
  <si>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</si>
  <si>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</si>
  <si>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</si>
  <si>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</si>
  <si>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</si>
  <si>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</si>
  <si>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</si>
  <si>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</si>
  <si>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</si>
  <si>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</si>
  <si>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</si>
  <si>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</si>
  <si>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</si>
  <si>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</si>
  <si>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</si>
  <si>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</si>
  <si>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</si>
  <si>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</si>
  <si>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</si>
  <si>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</si>
  <si>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</si>
  <si>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</si>
  <si>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</si>
  <si>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</si>
  <si>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</si>
  <si>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</si>
  <si>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</si>
  <si>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</si>
  <si>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</si>
  <si>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</si>
  <si>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</si>
  <si>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</si>
  <si>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</si>
  <si>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</si>
  <si>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</si>
  <si>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</si>
  <si>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</si>
  <si>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</si>
  <si>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</si>
  <si>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</si>
  <si>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</si>
  <si>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</si>
  <si>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</si>
  <si>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C4 10-CWIP
L30-50</t>
  </si>
  <si>
    <t>C5 10-CWIP
L30-50</t>
  </si>
  <si>
    <t>C6 10-CWIP
L30-50</t>
  </si>
  <si>
    <t>N/A</t>
  </si>
  <si>
    <t>= Prior Month C7
+C1+C3</t>
  </si>
  <si>
    <t>= Prior Month C7 
* L88/12</t>
  </si>
  <si>
    <t>= Prior Month C9
 + C8</t>
  </si>
  <si>
    <t>=C11* (1-L70)
* (1+L73+L67)</t>
  </si>
  <si>
    <t>3) Non-Incentive Plant Forecast (See Note 1)</t>
  </si>
  <si>
    <t>= Prior Month C2
+C2+C5+C6</t>
  </si>
  <si>
    <t>December Prior Year plant balances and accrual rates are as shown on Schedule 17 Depreciation</t>
  </si>
  <si>
    <t>2) Sum of Incentive Plant Calculations and Non-Incentive Calculations, lines 23-43 and lines 44-64</t>
  </si>
  <si>
    <t>= C1 * 
16-Plnt Add Line 65</t>
  </si>
  <si>
    <t>= (C4 - C5) *
16-Plnt Add Line 65</t>
  </si>
  <si>
    <t>Complete this Schedule every other Annual Update beginning with the 2014 Annual Update (for Rate Year 2015)</t>
  </si>
  <si>
    <t>if the absolute value of the sum of the Cumulative PBOP Recovery Difference and the Future PBOP Recovery Difference is greater</t>
  </si>
  <si>
    <t>than 20% of the sum of SCE's forecast PBOP expense for the current year and the following year.</t>
  </si>
  <si>
    <t>Check of above-described condition:</t>
  </si>
  <si>
    <t>Years</t>
  </si>
  <si>
    <t>Cumulative PBOP Recovery Difference</t>
  </si>
  <si>
    <t>Future PBOP Recovery Difference</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</si>
  <si>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</si>
  <si>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</si>
  <si>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</si>
  <si>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</si>
  <si>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</si>
  <si>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</si>
  <si>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</si>
  <si>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</si>
  <si>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</si>
  <si>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PBOP</t>
  </si>
  <si>
    <t xml:space="preserve">Filing </t>
  </si>
  <si>
    <t xml:space="preserve">PBOPs </t>
  </si>
  <si>
    <t>Recovery</t>
  </si>
  <si>
    <t>Expenses</t>
  </si>
  <si>
    <t xml:space="preserve">1) The Cumulative PBOP Recovery Difference is the cumulative over-recovery or under-recovery of SCE’s PBOP expense amount </t>
  </si>
  <si>
    <t xml:space="preserve">during the period beginning on the date the currently-effective Authorized PBOB Expense Amount became effective and </t>
  </si>
  <si>
    <t>ending on December 31 of the immediately preceding Rate Year (“Prior PBOP Recovery Period”)</t>
  </si>
  <si>
    <t>Current Authorized PBOPs Expense Amount:</t>
  </si>
  <si>
    <t>Schedule 20, Note 3</t>
  </si>
  <si>
    <t>Over (-) or</t>
  </si>
  <si>
    <t>Under (+)</t>
  </si>
  <si>
    <t xml:space="preserve">First Year currently-effective </t>
  </si>
  <si>
    <t>PBOP Amount became effective:</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</si>
  <si>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</si>
  <si>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</si>
  <si>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</si>
  <si>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</si>
  <si>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</si>
  <si>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</si>
  <si>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 Recovery Difference:</t>
  </si>
  <si>
    <t>Projected Expense:</t>
  </si>
  <si>
    <t>Sum of first two years of Forecast PBOPs Expenses</t>
  </si>
  <si>
    <t>Projected Recovery:</t>
  </si>
  <si>
    <t>(Current Authorized PBOPs Expense Amount) * 2</t>
  </si>
  <si>
    <t>Future PBOP Recovery Difference:</t>
  </si>
  <si>
    <t>Projected Expense less Projected Recovery</t>
  </si>
  <si>
    <t>Five Year Forecast PBOPs Expenses:</t>
  </si>
  <si>
    <t>Forecast PBOP</t>
  </si>
  <si>
    <t>Twenty Percent of sum of forecast PBOP Expense for current</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</si>
  <si>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</si>
  <si>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</si>
  <si>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</si>
  <si>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</si>
  <si>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</si>
  <si>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</si>
  <si>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Calculation of Cumulative PBOP Recovery Difference (see Instruction 1):</t>
  </si>
  <si>
    <t>Note 2, Line i</t>
  </si>
  <si>
    <t>1) Enter "PBOPs Recovery" amounts in each line corresponding to a year in the "Prior PBOP Recovery Period" equal to the</t>
  </si>
  <si>
    <t>Current Authorized PBOPs Expense Amount in Note 1.  Enter "PBOPs Expenses" for each year equal to SCE's actual PBOPs expenses.</t>
  </si>
  <si>
    <t>(d+e) * 0.2</t>
  </si>
  <si>
    <t>Unfunded Reserves</t>
  </si>
  <si>
    <t>Determination of Unfunded Reserves</t>
  </si>
  <si>
    <t>(Line 17, Col 3)</t>
  </si>
  <si>
    <t>Unfunded</t>
  </si>
  <si>
    <t>Reserves</t>
  </si>
  <si>
    <t>Provision for Injuries and Damages</t>
  </si>
  <si>
    <t>(Line 26)</t>
  </si>
  <si>
    <t>Provision for Vac/Sick Leave</t>
  </si>
  <si>
    <t>(Line 33)</t>
  </si>
  <si>
    <t>Provision for Supplemental Executive Retirement Plan</t>
  </si>
  <si>
    <t>(Line 42)</t>
  </si>
  <si>
    <t>(Line 14 + Line 15 + Line 16)</t>
  </si>
  <si>
    <t>Calculations</t>
  </si>
  <si>
    <t>BOY/EOY</t>
  </si>
  <si>
    <t>Injuries and Damages - Acct. 2251010</t>
  </si>
  <si>
    <t>Company Records - Input (Negative)</t>
  </si>
  <si>
    <t>Net Injuries and Damages</t>
  </si>
  <si>
    <t>(Line 22 + Line 23)</t>
  </si>
  <si>
    <t>(27-Allocators, Line 9)</t>
  </si>
  <si>
    <t>ISO Transmission Rate Base Applicable</t>
  </si>
  <si>
    <t>(Line 24 x Line 25)</t>
  </si>
  <si>
    <t>Vacation Leave</t>
  </si>
  <si>
    <t>Vacation and Personal Time Accruals - Acct. 2350080</t>
  </si>
  <si>
    <t xml:space="preserve">Net Vacation Leave </t>
  </si>
  <si>
    <t>(Line 29 + Line 30)</t>
  </si>
  <si>
    <t>(Line 31 x Line 32)</t>
  </si>
  <si>
    <t>Supplemental Executive Retirement Plan</t>
  </si>
  <si>
    <t>Times:</t>
  </si>
  <si>
    <t>Applicable Rate Base Percentage</t>
  </si>
  <si>
    <t>Sub-Total Supplemental Executive Retirement Plan</t>
  </si>
  <si>
    <t>(Line 36 x Line 37)</t>
  </si>
  <si>
    <t>Net Supplemental Executive Retirement Plan</t>
  </si>
  <si>
    <t>(Line 38 + Line 39)</t>
  </si>
  <si>
    <t>(Line 40 x Line 41)</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</si>
  <si>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</si>
  <si>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</si>
  <si>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</si>
  <si>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</si>
  <si>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</si>
  <si>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</si>
  <si>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</si>
  <si>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</si>
  <si>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</si>
  <si>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</si>
  <si>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</si>
  <si>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</si>
  <si>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</si>
  <si>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</si>
  <si>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</si>
  <si>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</si>
  <si>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</si>
  <si>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</si>
  <si>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</si>
  <si>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</si>
  <si>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</si>
  <si>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</si>
  <si>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</si>
  <si>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</si>
  <si>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</si>
  <si>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</si>
  <si>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</si>
  <si>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</si>
  <si>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</si>
  <si>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</si>
  <si>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</si>
  <si>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(-Line 22 x (1-BaseTRR, Line 58))</t>
  </si>
  <si>
    <t>(-Line 29 x (1-BaseTRR, Line 58))</t>
  </si>
  <si>
    <t>(-Line 38 x (1-BaseTRR, Line 58))</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</si>
  <si>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</si>
  <si>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</si>
  <si>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</si>
  <si>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</si>
  <si>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</si>
  <si>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</si>
  <si>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</si>
  <si>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</si>
  <si>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</si>
  <si>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</si>
  <si>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</si>
  <si>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</si>
  <si>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</si>
  <si>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</si>
  <si>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</si>
  <si>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</si>
  <si>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</si>
  <si>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</si>
  <si>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</si>
  <si>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</si>
  <si>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</si>
  <si>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</si>
  <si>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</si>
  <si>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</si>
  <si>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</si>
  <si>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</si>
  <si>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E: Add NOIC annual payout</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</si>
  <si>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</si>
  <si>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</si>
  <si>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</si>
  <si>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</si>
  <si>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</si>
  <si>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</si>
  <si>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</si>
  <si>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</si>
  <si>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</si>
  <si>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</si>
  <si>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</si>
  <si>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</si>
  <si>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</si>
  <si>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</si>
  <si>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</si>
  <si>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</si>
  <si>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</si>
  <si>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</si>
  <si>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</si>
  <si>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</si>
  <si>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</si>
  <si>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</si>
  <si>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</si>
  <si>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</si>
  <si>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</si>
  <si>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</si>
  <si>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</si>
  <si>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</si>
  <si>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</si>
  <si>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</si>
  <si>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</si>
  <si>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</si>
  <si>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6) Fill in matrix of all retail revenues from Prior Year in table on lines 92 to 103.</t>
  </si>
  <si>
    <t>7) Enter Total Sales to Ultimate Consumers on line 106 and verify that it equals the total on line 104.</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</si>
  <si>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</si>
  <si>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</si>
  <si>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</si>
  <si>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</si>
  <si>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</si>
  <si>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</si>
  <si>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</si>
  <si>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</si>
  <si>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</si>
  <si>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</si>
  <si>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</si>
  <si>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</si>
  <si>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</si>
  <si>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</si>
  <si>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</si>
  <si>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</si>
  <si>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</si>
  <si>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</si>
  <si>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</si>
  <si>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</si>
  <si>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</si>
  <si>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</si>
  <si>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</si>
  <si>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</si>
  <si>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</si>
  <si>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</si>
  <si>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</si>
  <si>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</si>
  <si>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</si>
  <si>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</si>
  <si>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</si>
  <si>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</si>
  <si>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</si>
  <si>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t>2012 TRBAA</t>
  </si>
  <si>
    <t>ER12-236</t>
  </si>
  <si>
    <t>1/16 (O&amp;M + A&amp;G)</t>
  </si>
  <si>
    <t>Income Taxes = [((RB * ER) + D) * (CTR/(1 – CTR))]  + CO/(1 – CTR)</t>
  </si>
  <si>
    <t>actual non-capitalized A&amp;G NOIC payout.</t>
  </si>
  <si>
    <t>Actual non-capitalized NOIC Payouts:</t>
  </si>
  <si>
    <t>Forecast 12-CP Retail Load:</t>
  </si>
  <si>
    <t>End of Year Amount</t>
  </si>
  <si>
    <t>Beginning of Year Amount</t>
  </si>
  <si>
    <t>2) Sum of project specific values from lines 53-73, 76-96, 99-119, 122-142, 145-165, 168-188, 191-211, 214-234, 237-257, 260-280,…</t>
  </si>
  <si>
    <t>2) Enter forecast project specific values on lines 53-73, 76-96, 99-119, 122-142, 145-165, 168-188, 191-211, 214-234, 237-257, 260-280,...</t>
  </si>
  <si>
    <t>Full Development of Retail and Wholesale Base TRRs</t>
  </si>
  <si>
    <t>Presentation of Prior Year CWIP and Forecast Period Incremental CWIP</t>
  </si>
  <si>
    <t>True Up TRR without Franchise Fees and Uncollectibles Expense included:</t>
  </si>
  <si>
    <t>k</t>
  </si>
  <si>
    <t xml:space="preserve">b) EOY General and Intangible Depreciation Reserve </t>
  </si>
  <si>
    <t>G: Exclude any amount of ACE awards or Spot Bonuses in O&amp;M accounts 560-592..</t>
  </si>
  <si>
    <t>3) Devers to Col. River</t>
  </si>
  <si>
    <t>3) Devers-Col. River</t>
  </si>
  <si>
    <t>7, 17</t>
  </si>
  <si>
    <t>Exhibit G-1</t>
  </si>
  <si>
    <t>divided by total labor in these same accounts (column 3):</t>
  </si>
  <si>
    <t>Straddle Subs (Cross 200 kV boundary):</t>
  </si>
  <si>
    <t>Formula Rate Spreadsheet for January 1, 2012 through September 30, 2012</t>
  </si>
  <si>
    <t>Gross Plant that can directly be determined to be HV or LV:</t>
  </si>
  <si>
    <t>Settlement in ER11-3697</t>
  </si>
  <si>
    <t>= Sum (Cols. 2-14)/13</t>
  </si>
  <si>
    <t xml:space="preserve">Year </t>
  </si>
  <si>
    <t>AFCRCWIP = CLTD  + (COS * (1/(1 - CTR)))</t>
  </si>
  <si>
    <t xml:space="preserve">1) No change in Return on Common Equity will be made absent a Section 205 filing at the Commission. </t>
  </si>
  <si>
    <t>Reacquired Bonds -- Account 222 (Note 2): enter - of FF1</t>
  </si>
  <si>
    <t xml:space="preserve">Unamortized Issuance Costs (Note 9): enter negative </t>
  </si>
  <si>
    <t>Unappropriated Undist. Sub. Earnings -- Acct. 216.1 (Note 12): enter - of FF1</t>
  </si>
  <si>
    <t>Accumulated Other Comprehensive Loss -- Account 219 (Note 13): enter - of FF1</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</si>
</sst>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quot;$&quot;#,##0.0000000"/>
    <numFmt numFmtId="170" formatCode="0.000"/>
    <numFmt numFmtId="171" formatCode="0.0%"/>
    <numFmt numFmtId="172" formatCode="#,##0.000"/>
    <numFmt numFmtId="173" formatCode="&quot;$&quot;#,##0.0"/>
    <numFmt numFmtId="174" formatCode="0.00000%"/>
    <numFmt numFmtId="175" formatCode="&quot;$&quot;#,##0.00000"/>
    <numFmt numFmtId="176" formatCode="0.0000"/>
    <numFmt numFmtId="177" formatCode="_(&quot;$&quot;* #,##0.00_);_(&quot;$&quot;* \(#,##0.00\);_(&quot;$&quot;* &quot;-&quot;_);_(@_)"/>
    <numFmt numFmtId="178" formatCode="_-* #,##0.00\ _D_M_-;\-* #,##0.00\ _D_M_-;_-* &quot;-&quot;??\ _D_M_-;_-@_-"/>
    <numFmt numFmtId="179" formatCode="_-* #,##0\ _D_M_-;\-* #,##0\ _D_M_-;_-* &quot;-&quot;??\ _D_M_-;_-@_-"/>
    <numFmt numFmtId="180" formatCode="_(&quot;$&quot;* #,##0_);_(&quot;$&quot;* \(#,##0\);_(&quot;$&quot;* &quot;-&quot;??_);_(@_)"/>
    <numFmt numFmtId="181" formatCode="#,##0.0_);[Red]\(#,##0.0\)"/>
    <numFmt numFmtId="182" formatCode="#,##0.0000"/>
    <numFmt numFmtId="183" formatCode="#,##0.0"/>
    <numFmt numFmtId="184" formatCode="_(* #,##0.00000_);_(* \(#,##0.00000\);_(* &quot;-&quot;??_);_(@_)"/>
    <numFmt numFmtId="185" formatCode="m/d/yy;@"/>
    <numFmt numFmtId="186" formatCode="&quot;$&quot;#,##0.000000"/>
  </numFmts>
  <fonts count="6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vertAlign val="superscript"/>
      <sz val="10"/>
      <name val="Arial"/>
      <family val="2"/>
    </font>
    <font>
      <b/>
      <vertAlign val="subscript"/>
      <sz val="10"/>
      <name val="Arial"/>
      <family val="2"/>
    </font>
    <font>
      <b/>
      <sz val="10"/>
      <name val="Times New Roman"/>
      <family val="1"/>
    </font>
    <font>
      <b/>
      <sz val="16"/>
      <name val="Arial"/>
      <family val="2"/>
    </font>
    <font>
      <sz val="11"/>
      <color theme="1"/>
      <name val="Calibri"/>
      <family val="2"/>
      <scheme val="minor"/>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0"/>
      <name val="Arial"/>
      <family val="2"/>
    </font>
    <font>
      <sz val="18"/>
      <name val="Times New Roman"/>
      <family val="1"/>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u/>
      <sz val="11"/>
      <name val="Calibri"/>
      <family val="2"/>
      <scheme val="minor"/>
    </font>
    <font>
      <b/>
      <sz val="14"/>
      <name val="Arial"/>
      <family val="2"/>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18">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right/>
      <top style="thin">
        <color indexed="64"/>
      </top>
      <bottom style="double">
        <color indexed="64"/>
      </bottom>
      <diagonal/>
    </border>
  </borders>
  <cellStyleXfs count="125">
    <xf numFmtId="0" fontId="0" fillId="0" borderId="0"/>
    <xf numFmtId="0" fontId="26" fillId="8" borderId="0" applyNumberFormat="0" applyBorder="0" applyAlignment="0" applyProtection="0"/>
    <xf numFmtId="0" fontId="26" fillId="9" borderId="0" applyNumberFormat="0" applyBorder="0" applyAlignment="0" applyProtection="0"/>
    <xf numFmtId="0" fontId="27" fillId="10"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7" fillId="14"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7" fillId="18"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7" fillId="1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7" fillId="9" borderId="0" applyNumberFormat="0" applyBorder="0" applyAlignment="0" applyProtection="0"/>
    <xf numFmtId="0" fontId="26" fillId="20" borderId="0" applyNumberFormat="0" applyBorder="0" applyAlignment="0" applyProtection="0"/>
    <xf numFmtId="0" fontId="26" fillId="13" borderId="0" applyNumberFormat="0" applyBorder="0" applyAlignment="0" applyProtection="0"/>
    <xf numFmtId="0" fontId="27" fillId="21" borderId="0" applyNumberFormat="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78" fontId="11" fillId="0" borderId="0" applyFont="0" applyFill="0" applyBorder="0" applyAlignment="0" applyProtection="0"/>
    <xf numFmtId="44" fontId="8" fillId="0" borderId="0" applyFont="0" applyFill="0" applyBorder="0" applyAlignment="0" applyProtection="0"/>
    <xf numFmtId="0" fontId="28" fillId="22" borderId="0" applyNumberFormat="0" applyBorder="0" applyAlignment="0" applyProtection="0"/>
    <xf numFmtId="0" fontId="28" fillId="23" borderId="0" applyNumberFormat="0" applyBorder="0" applyAlignment="0" applyProtection="0"/>
    <xf numFmtId="0" fontId="28" fillId="24" borderId="0" applyNumberFormat="0" applyBorder="0" applyAlignment="0" applyProtection="0"/>
    <xf numFmtId="0" fontId="17" fillId="0" borderId="0" applyNumberFormat="0" applyFill="0" applyBorder="0" applyAlignment="0" applyProtection="0">
      <alignment vertical="top"/>
      <protection locked="0"/>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38" fontId="18" fillId="0" borderId="0"/>
    <xf numFmtId="9" fontId="8" fillId="0" borderId="0" applyFont="0" applyFill="0" applyBorder="0" applyAlignment="0" applyProtection="0"/>
    <xf numFmtId="9" fontId="32" fillId="0" borderId="0" applyFont="0" applyFill="0" applyBorder="0" applyAlignment="0" applyProtection="0"/>
    <xf numFmtId="9" fontId="11" fillId="0" borderId="0" applyFont="0" applyFill="0" applyBorder="0" applyAlignment="0" applyProtection="0"/>
    <xf numFmtId="4" fontId="31" fillId="25" borderId="1" applyNumberFormat="0" applyProtection="0">
      <alignment vertical="center"/>
    </xf>
    <xf numFmtId="4" fontId="33" fillId="25" borderId="1" applyNumberFormat="0" applyProtection="0">
      <alignment vertical="center"/>
    </xf>
    <xf numFmtId="4" fontId="31" fillId="25" borderId="1" applyNumberFormat="0" applyProtection="0">
      <alignment horizontal="left" vertical="center" indent="1"/>
    </xf>
    <xf numFmtId="0" fontId="31" fillId="25" borderId="1" applyNumberFormat="0" applyProtection="0">
      <alignment horizontal="left" vertical="top" indent="1"/>
    </xf>
    <xf numFmtId="4" fontId="31" fillId="27" borderId="0" applyNumberFormat="0" applyProtection="0">
      <alignment horizontal="left" vertical="center" indent="1"/>
    </xf>
    <xf numFmtId="4" fontId="29" fillId="2" borderId="1" applyNumberFormat="0" applyProtection="0">
      <alignment horizontal="right" vertical="center"/>
    </xf>
    <xf numFmtId="4" fontId="29" fillId="4" borderId="1" applyNumberFormat="0" applyProtection="0">
      <alignment horizontal="right" vertical="center"/>
    </xf>
    <xf numFmtId="4" fontId="29" fillId="11" borderId="1" applyNumberFormat="0" applyProtection="0">
      <alignment horizontal="right" vertical="center"/>
    </xf>
    <xf numFmtId="4" fontId="29" fillId="6" borderId="1" applyNumberFormat="0" applyProtection="0">
      <alignment horizontal="right" vertical="center"/>
    </xf>
    <xf numFmtId="4" fontId="29" fillId="7" borderId="1" applyNumberFormat="0" applyProtection="0">
      <alignment horizontal="right" vertical="center"/>
    </xf>
    <xf numFmtId="4" fontId="29" fillId="19" borderId="1" applyNumberFormat="0" applyProtection="0">
      <alignment horizontal="right" vertical="center"/>
    </xf>
    <xf numFmtId="4" fontId="29" fillId="15" borderId="1" applyNumberFormat="0" applyProtection="0">
      <alignment horizontal="right" vertical="center"/>
    </xf>
    <xf numFmtId="4" fontId="29" fillId="28" borderId="1" applyNumberFormat="0" applyProtection="0">
      <alignment horizontal="right" vertical="center"/>
    </xf>
    <xf numFmtId="4" fontId="29" fillId="5" borderId="1" applyNumberFormat="0" applyProtection="0">
      <alignment horizontal="right" vertical="center"/>
    </xf>
    <xf numFmtId="4" fontId="31" fillId="29" borderId="2" applyNumberFormat="0" applyProtection="0">
      <alignment horizontal="left" vertical="center" indent="1"/>
    </xf>
    <xf numFmtId="4" fontId="29" fillId="30" borderId="0" applyNumberFormat="0" applyProtection="0">
      <alignment horizontal="left" vertical="center" indent="1"/>
    </xf>
    <xf numFmtId="4" fontId="34" fillId="31" borderId="0" applyNumberFormat="0" applyProtection="0">
      <alignment horizontal="left" vertical="center" indent="1"/>
    </xf>
    <xf numFmtId="4" fontId="29" fillId="27" borderId="1" applyNumberFormat="0" applyProtection="0">
      <alignment horizontal="right" vertical="center"/>
    </xf>
    <xf numFmtId="4" fontId="29" fillId="30" borderId="0" applyNumberFormat="0" applyProtection="0">
      <alignment horizontal="left" vertical="center" indent="1"/>
    </xf>
    <xf numFmtId="4" fontId="29" fillId="27" borderId="0" applyNumberFormat="0" applyProtection="0">
      <alignment horizontal="left" vertical="center" indent="1"/>
    </xf>
    <xf numFmtId="0" fontId="11" fillId="31" borderId="1" applyNumberFormat="0" applyProtection="0">
      <alignment horizontal="left" vertical="center" indent="1"/>
    </xf>
    <xf numFmtId="0" fontId="11" fillId="31" borderId="1" applyNumberFormat="0" applyProtection="0">
      <alignment horizontal="left" vertical="top" indent="1"/>
    </xf>
    <xf numFmtId="0" fontId="11" fillId="27" borderId="1" applyNumberFormat="0" applyProtection="0">
      <alignment horizontal="left" vertical="center" indent="1"/>
    </xf>
    <xf numFmtId="0" fontId="11" fillId="27" borderId="1" applyNumberFormat="0" applyProtection="0">
      <alignment horizontal="left" vertical="top" indent="1"/>
    </xf>
    <xf numFmtId="0" fontId="11" fillId="3" borderId="1" applyNumberFormat="0" applyProtection="0">
      <alignment horizontal="left" vertical="center" indent="1"/>
    </xf>
    <xf numFmtId="0" fontId="11" fillId="3" borderId="1" applyNumberFormat="0" applyProtection="0">
      <alignment horizontal="left" vertical="top" indent="1"/>
    </xf>
    <xf numFmtId="0" fontId="11" fillId="30" borderId="1" applyNumberFormat="0" applyProtection="0">
      <alignment horizontal="left" vertical="center" indent="1"/>
    </xf>
    <xf numFmtId="0" fontId="11" fillId="30" borderId="1" applyNumberFormat="0" applyProtection="0">
      <alignment horizontal="left" vertical="top" indent="1"/>
    </xf>
    <xf numFmtId="0" fontId="11" fillId="32" borderId="3" applyNumberFormat="0">
      <protection locked="0"/>
    </xf>
    <xf numFmtId="4" fontId="29" fillId="26" borderId="1" applyNumberFormat="0" applyProtection="0">
      <alignment vertical="center"/>
    </xf>
    <xf numFmtId="4" fontId="35" fillId="26" borderId="1" applyNumberFormat="0" applyProtection="0">
      <alignment vertical="center"/>
    </xf>
    <xf numFmtId="4" fontId="29" fillId="26" borderId="1" applyNumberFormat="0" applyProtection="0">
      <alignment horizontal="left" vertical="center" indent="1"/>
    </xf>
    <xf numFmtId="0" fontId="29" fillId="26" borderId="1" applyNumberFormat="0" applyProtection="0">
      <alignment horizontal="left" vertical="top" indent="1"/>
    </xf>
    <xf numFmtId="4" fontId="29" fillId="30" borderId="1" applyNumberFormat="0" applyProtection="0">
      <alignment horizontal="right" vertical="center"/>
    </xf>
    <xf numFmtId="4" fontId="35" fillId="30" borderId="1" applyNumberFormat="0" applyProtection="0">
      <alignment horizontal="right" vertical="center"/>
    </xf>
    <xf numFmtId="4" fontId="29" fillId="27" borderId="1" applyNumberFormat="0" applyProtection="0">
      <alignment horizontal="left" vertical="center" indent="1"/>
    </xf>
    <xf numFmtId="0" fontId="29" fillId="27" borderId="1" applyNumberFormat="0" applyProtection="0">
      <alignment horizontal="left" vertical="top" indent="1"/>
    </xf>
    <xf numFmtId="4" fontId="36" fillId="33" borderId="0" applyNumberFormat="0" applyProtection="0">
      <alignment horizontal="left" vertical="center" indent="1"/>
    </xf>
    <xf numFmtId="4" fontId="30" fillId="30" borderId="1" applyNumberFormat="0" applyProtection="0">
      <alignment horizontal="right" vertical="center"/>
    </xf>
    <xf numFmtId="0" fontId="37" fillId="0" borderId="0" applyNumberFormat="0" applyFill="0" applyBorder="0" applyAlignment="0" applyProtection="0"/>
    <xf numFmtId="0" fontId="8" fillId="0" borderId="0"/>
    <xf numFmtId="0" fontId="6" fillId="0" borderId="0"/>
    <xf numFmtId="0" fontId="6" fillId="0" borderId="0"/>
    <xf numFmtId="178" fontId="8" fillId="0" borderId="0" applyFont="0" applyFill="0" applyBorder="0" applyAlignment="0" applyProtection="0"/>
    <xf numFmtId="0" fontId="8" fillId="31" borderId="1" applyNumberFormat="0" applyProtection="0">
      <alignment horizontal="left" vertical="center" indent="1"/>
    </xf>
    <xf numFmtId="0" fontId="8" fillId="31" borderId="1" applyNumberFormat="0" applyProtection="0">
      <alignment horizontal="left" vertical="top" indent="1"/>
    </xf>
    <xf numFmtId="0" fontId="8" fillId="27" borderId="1" applyNumberFormat="0" applyProtection="0">
      <alignment horizontal="left" vertical="center" indent="1"/>
    </xf>
    <xf numFmtId="0" fontId="8" fillId="27" borderId="1" applyNumberFormat="0" applyProtection="0">
      <alignment horizontal="left" vertical="top" indent="1"/>
    </xf>
    <xf numFmtId="0" fontId="8" fillId="3" borderId="1" applyNumberFormat="0" applyProtection="0">
      <alignment horizontal="left" vertical="center" indent="1"/>
    </xf>
    <xf numFmtId="0" fontId="8" fillId="3" borderId="1" applyNumberFormat="0" applyProtection="0">
      <alignment horizontal="left" vertical="top" indent="1"/>
    </xf>
    <xf numFmtId="0" fontId="8" fillId="30" borderId="1" applyNumberFormat="0" applyProtection="0">
      <alignment horizontal="left" vertical="center" indent="1"/>
    </xf>
    <xf numFmtId="0" fontId="8" fillId="30" borderId="1" applyNumberFormat="0" applyProtection="0">
      <alignment horizontal="left" vertical="top" indent="1"/>
    </xf>
    <xf numFmtId="0" fontId="8" fillId="32" borderId="3" applyNumberFormat="0">
      <protection locked="0"/>
    </xf>
    <xf numFmtId="0" fontId="59"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8" fontId="8" fillId="0" borderId="0" applyFont="0" applyFill="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5"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1302">
    <xf numFmtId="0" fontId="0" fillId="0" borderId="0" xfId="0"/>
    <xf numFmtId="0" fontId="9" fillId="0" borderId="0" xfId="0" applyFont="1"/>
    <xf numFmtId="0" fontId="9" fillId="0" borderId="0" xfId="0" applyFont="1" applyAlignment="1">
      <alignment horizontal="center"/>
    </xf>
    <xf numFmtId="0" fontId="12" fillId="0" borderId="0" xfId="0" applyFont="1" applyAlignment="1">
      <alignment horizontal="center"/>
    </xf>
    <xf numFmtId="0" fontId="9" fillId="0" borderId="0" xfId="0" quotePrefix="1" applyFont="1" applyAlignment="1">
      <alignment horizontal="center"/>
    </xf>
    <xf numFmtId="0" fontId="11" fillId="0" borderId="0" xfId="0" applyFont="1" applyFill="1" applyBorder="1" applyAlignment="1">
      <alignment horizontal="left" indent="1"/>
    </xf>
    <xf numFmtId="164" fontId="0" fillId="34" borderId="0" xfId="0" applyNumberFormat="1" applyFill="1"/>
    <xf numFmtId="164" fontId="0" fillId="0" borderId="0" xfId="0" applyNumberFormat="1"/>
    <xf numFmtId="165" fontId="0" fillId="0" borderId="0" xfId="0" applyNumberFormat="1"/>
    <xf numFmtId="0" fontId="0" fillId="35" borderId="0" xfId="0" applyFill="1"/>
    <xf numFmtId="0" fontId="13" fillId="35" borderId="0" xfId="0" applyFont="1" applyFill="1"/>
    <xf numFmtId="0" fontId="14" fillId="35" borderId="0" xfId="0" applyFont="1" applyFill="1"/>
    <xf numFmtId="0" fontId="11" fillId="0" borderId="0" xfId="0" applyFont="1"/>
    <xf numFmtId="0" fontId="11" fillId="0" borderId="0" xfId="0" applyFont="1" applyAlignment="1">
      <alignment horizontal="left" indent="1"/>
    </xf>
    <xf numFmtId="0" fontId="0" fillId="0" borderId="0" xfId="0" applyFill="1"/>
    <xf numFmtId="0" fontId="11" fillId="0" borderId="0" xfId="0" applyFont="1" applyFill="1"/>
    <xf numFmtId="0" fontId="0" fillId="0" borderId="0" xfId="0" applyAlignment="1">
      <alignment horizontal="left" indent="1"/>
    </xf>
    <xf numFmtId="0" fontId="11" fillId="0" borderId="0" xfId="28" applyFont="1"/>
    <xf numFmtId="0" fontId="11" fillId="0" borderId="0" xfId="28" applyFont="1" applyBorder="1" applyAlignment="1"/>
    <xf numFmtId="0" fontId="11" fillId="0" borderId="0" xfId="28" applyFont="1" applyBorder="1"/>
    <xf numFmtId="0" fontId="11" fillId="0" borderId="0" xfId="28" applyFont="1" applyBorder="1" applyAlignment="1">
      <alignment horizontal="left"/>
    </xf>
    <xf numFmtId="0" fontId="11" fillId="0" borderId="0" xfId="28" applyNumberFormat="1" applyFont="1" applyFill="1" applyBorder="1" applyAlignment="1">
      <alignment horizontal="left"/>
    </xf>
    <xf numFmtId="0" fontId="9" fillId="0" borderId="0" xfId="28" applyNumberFormat="1" applyFont="1" applyFill="1" applyBorder="1" applyAlignment="1">
      <alignment horizontal="left"/>
    </xf>
    <xf numFmtId="3" fontId="11" fillId="0" borderId="0" xfId="28" applyNumberFormat="1" applyFont="1" applyFill="1" applyBorder="1" applyAlignment="1"/>
    <xf numFmtId="1" fontId="11" fillId="0" borderId="0" xfId="28" applyNumberFormat="1" applyFont="1" applyFill="1" applyBorder="1" applyAlignment="1">
      <alignment horizontal="center"/>
    </xf>
    <xf numFmtId="0" fontId="12" fillId="0" borderId="0" xfId="28" applyFont="1" applyBorder="1" applyAlignment="1">
      <alignment horizontal="center"/>
    </xf>
    <xf numFmtId="0" fontId="9" fillId="0" borderId="0" xfId="28" applyFont="1" applyAlignment="1">
      <alignment horizontal="center"/>
    </xf>
    <xf numFmtId="167" fontId="11" fillId="0" borderId="0" xfId="28" applyNumberFormat="1" applyFont="1" applyFill="1" applyBorder="1" applyAlignment="1">
      <alignment horizontal="right"/>
    </xf>
    <xf numFmtId="167" fontId="11" fillId="0" borderId="0" xfId="20" applyNumberFormat="1" applyFont="1" applyFill="1" applyBorder="1" applyAlignment="1">
      <alignment horizontal="right"/>
    </xf>
    <xf numFmtId="0" fontId="12" fillId="0" borderId="0" xfId="28" applyFont="1" applyFill="1" applyBorder="1" applyAlignment="1">
      <alignment horizontal="center"/>
    </xf>
    <xf numFmtId="3" fontId="11" fillId="0" borderId="0" xfId="28" applyNumberFormat="1" applyFont="1" applyFill="1" applyBorder="1" applyAlignment="1">
      <alignment horizontal="left" indent="1"/>
    </xf>
    <xf numFmtId="0" fontId="12" fillId="0" borderId="0" xfId="28" applyFont="1" applyAlignment="1">
      <alignment horizontal="center"/>
    </xf>
    <xf numFmtId="0" fontId="11" fillId="0" borderId="0" xfId="28" applyFont="1" applyBorder="1" applyAlignment="1">
      <alignment horizontal="right"/>
    </xf>
    <xf numFmtId="164" fontId="11" fillId="0" borderId="0" xfId="20" applyNumberFormat="1" applyFont="1" applyFill="1" applyBorder="1" applyAlignment="1">
      <alignment horizontal="right"/>
    </xf>
    <xf numFmtId="0" fontId="11" fillId="0" borderId="0" xfId="28" applyNumberFormat="1" applyFont="1" applyFill="1" applyBorder="1" applyAlignment="1">
      <alignment horizontal="right"/>
    </xf>
    <xf numFmtId="167" fontId="11" fillId="0" borderId="0" xfId="28" quotePrefix="1" applyNumberFormat="1" applyFont="1" applyFill="1" applyBorder="1" applyAlignment="1">
      <alignment horizontal="left" indent="1"/>
    </xf>
    <xf numFmtId="165" fontId="15" fillId="0" borderId="0" xfId="20" applyNumberFormat="1" applyFont="1" applyFill="1" applyBorder="1" applyAlignment="1">
      <alignment horizontal="right"/>
    </xf>
    <xf numFmtId="0" fontId="0" fillId="0" borderId="0" xfId="0" applyAlignment="1">
      <alignment horizontal="right"/>
    </xf>
    <xf numFmtId="0" fontId="13" fillId="35" borderId="0" xfId="0" applyFont="1" applyFill="1" applyBorder="1"/>
    <xf numFmtId="0" fontId="14" fillId="35" borderId="0" xfId="0" applyFont="1" applyFill="1" applyBorder="1"/>
    <xf numFmtId="0" fontId="9" fillId="0" borderId="0" xfId="0" applyFont="1" applyFill="1" applyBorder="1"/>
    <xf numFmtId="0" fontId="11" fillId="0" borderId="0" xfId="0" applyFont="1" applyFill="1" applyBorder="1"/>
    <xf numFmtId="3" fontId="11" fillId="0" borderId="0" xfId="28" applyNumberFormat="1" applyFont="1" applyFill="1" applyBorder="1" applyAlignment="1">
      <alignment horizontal="left"/>
    </xf>
    <xf numFmtId="10" fontId="0" fillId="0" borderId="0" xfId="0" applyNumberFormat="1"/>
    <xf numFmtId="0" fontId="0" fillId="34" borderId="0" xfId="0" applyFill="1"/>
    <xf numFmtId="0" fontId="9" fillId="0" borderId="0" xfId="0" applyFont="1" applyFill="1"/>
    <xf numFmtId="0" fontId="15" fillId="0" borderId="0" xfId="0" applyFont="1" applyFill="1"/>
    <xf numFmtId="0" fontId="11" fillId="0" borderId="0" xfId="0" applyFont="1" applyFill="1" applyAlignment="1">
      <alignment horizontal="left" indent="1"/>
    </xf>
    <xf numFmtId="164" fontId="11" fillId="0" borderId="0" xfId="0" applyNumberFormat="1" applyFont="1" applyFill="1"/>
    <xf numFmtId="165" fontId="11" fillId="0" borderId="0" xfId="0" applyNumberFormat="1" applyFont="1" applyFill="1"/>
    <xf numFmtId="165" fontId="15" fillId="0" borderId="0" xfId="0" applyNumberFormat="1" applyFont="1" applyFill="1"/>
    <xf numFmtId="165" fontId="0" fillId="34" borderId="0" xfId="0" applyNumberFormat="1" applyFill="1"/>
    <xf numFmtId="0" fontId="11" fillId="0" borderId="0" xfId="0" applyFont="1" applyAlignment="1">
      <alignment horizontal="left"/>
    </xf>
    <xf numFmtId="0" fontId="12" fillId="0" borderId="0" xfId="0" applyFont="1"/>
    <xf numFmtId="0" fontId="0" fillId="0" borderId="0" xfId="0" quotePrefix="1"/>
    <xf numFmtId="0" fontId="12" fillId="0" borderId="0" xfId="0" applyFont="1" applyAlignment="1">
      <alignment horizontal="left"/>
    </xf>
    <xf numFmtId="0" fontId="0" fillId="0" borderId="0" xfId="0" quotePrefix="1" applyAlignment="1">
      <alignment horizontal="center"/>
    </xf>
    <xf numFmtId="0" fontId="9" fillId="0" borderId="0" xfId="0" applyFont="1" applyAlignment="1">
      <alignment horizontal="left" indent="2"/>
    </xf>
    <xf numFmtId="0" fontId="0" fillId="0" borderId="0" xfId="0" applyAlignment="1">
      <alignment horizontal="right" indent="1"/>
    </xf>
    <xf numFmtId="164" fontId="16" fillId="0" borderId="0" xfId="0" applyNumberFormat="1" applyFont="1"/>
    <xf numFmtId="164" fontId="15" fillId="0" borderId="0" xfId="0" applyNumberFormat="1" applyFont="1" applyAlignment="1">
      <alignment horizontal="right"/>
    </xf>
    <xf numFmtId="164" fontId="11" fillId="0" borderId="0" xfId="0" applyNumberFormat="1" applyFont="1" applyAlignment="1">
      <alignment horizontal="right"/>
    </xf>
    <xf numFmtId="0" fontId="0" fillId="0" borderId="0" xfId="0" applyBorder="1"/>
    <xf numFmtId="0" fontId="0" fillId="0" borderId="0" xfId="0" applyAlignment="1">
      <alignment horizontal="center"/>
    </xf>
    <xf numFmtId="0" fontId="12" fillId="0" borderId="0" xfId="0" applyFont="1" applyBorder="1" applyAlignment="1">
      <alignment horizontal="center"/>
    </xf>
    <xf numFmtId="164" fontId="0" fillId="0" borderId="0" xfId="0" applyNumberFormat="1" applyFill="1"/>
    <xf numFmtId="3" fontId="11" fillId="0" borderId="0" xfId="0" applyNumberFormat="1" applyFont="1" applyFill="1"/>
    <xf numFmtId="0" fontId="0" fillId="0" borderId="0" xfId="0" applyAlignment="1">
      <alignment horizontal="left"/>
    </xf>
    <xf numFmtId="164" fontId="11" fillId="34" borderId="0" xfId="20" applyNumberFormat="1" applyFont="1" applyFill="1" applyBorder="1" applyAlignment="1">
      <alignment horizontal="right"/>
    </xf>
    <xf numFmtId="0" fontId="11" fillId="0" borderId="0" xfId="0" applyFont="1" applyFill="1" applyBorder="1" applyAlignment="1">
      <alignment horizontal="left"/>
    </xf>
    <xf numFmtId="165" fontId="0" fillId="0" borderId="0" xfId="0" applyNumberFormat="1" applyFill="1"/>
    <xf numFmtId="0" fontId="9" fillId="0" borderId="0" xfId="0" applyFont="1" applyAlignment="1">
      <alignment horizontal="right"/>
    </xf>
    <xf numFmtId="0" fontId="11" fillId="0" borderId="0" xfId="0" quotePrefix="1" applyFont="1" applyFill="1" applyAlignment="1">
      <alignment horizontal="left" indent="1"/>
    </xf>
    <xf numFmtId="0" fontId="9" fillId="0" borderId="0" xfId="0" applyFont="1" applyAlignment="1">
      <alignment horizontal="left" indent="1"/>
    </xf>
    <xf numFmtId="166" fontId="0" fillId="0" borderId="0" xfId="0" applyNumberFormat="1"/>
    <xf numFmtId="0" fontId="11" fillId="0" borderId="0" xfId="0" applyFont="1" applyFill="1" applyBorder="1" applyAlignment="1">
      <alignment vertical="top"/>
    </xf>
    <xf numFmtId="166" fontId="0" fillId="0" borderId="0" xfId="0" applyNumberFormat="1" applyAlignment="1"/>
    <xf numFmtId="164" fontId="9" fillId="0" borderId="0" xfId="0" applyNumberFormat="1" applyFont="1"/>
    <xf numFmtId="167" fontId="9" fillId="0" borderId="0" xfId="20" applyNumberFormat="1" applyFont="1" applyFill="1" applyBorder="1" applyAlignment="1">
      <alignment horizontal="center"/>
    </xf>
    <xf numFmtId="0" fontId="15" fillId="0" borderId="0" xfId="0" applyFont="1"/>
    <xf numFmtId="0" fontId="11"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4" fontId="0" fillId="34" borderId="0" xfId="0" applyNumberFormat="1" applyFill="1" applyAlignment="1"/>
    <xf numFmtId="164" fontId="16" fillId="34" borderId="0" xfId="0" applyNumberFormat="1" applyFont="1" applyFill="1" applyAlignment="1"/>
    <xf numFmtId="165" fontId="16" fillId="0" borderId="0" xfId="0" applyNumberFormat="1" applyFont="1"/>
    <xf numFmtId="3" fontId="0" fillId="0" borderId="0" xfId="0" applyNumberFormat="1" applyAlignment="1">
      <alignment horizontal="center"/>
    </xf>
    <xf numFmtId="0" fontId="9" fillId="0" borderId="0" xfId="0" applyFont="1" applyAlignment="1">
      <alignment horizontal="left"/>
    </xf>
    <xf numFmtId="0" fontId="12" fillId="0" borderId="0" xfId="0" quotePrefix="1" applyFont="1" applyAlignment="1">
      <alignment horizontal="center"/>
    </xf>
    <xf numFmtId="1" fontId="11" fillId="0" borderId="0" xfId="28" applyNumberFormat="1" applyFont="1" applyFill="1" applyBorder="1" applyAlignment="1">
      <alignment horizontal="right"/>
    </xf>
    <xf numFmtId="0" fontId="11" fillId="0" borderId="0" xfId="0" applyFont="1" applyBorder="1" applyAlignment="1">
      <alignment vertical="top"/>
    </xf>
    <xf numFmtId="0" fontId="11" fillId="0" borderId="0" xfId="0" applyFont="1" applyAlignment="1">
      <alignment horizontal="center"/>
    </xf>
    <xf numFmtId="174" fontId="0" fillId="34" borderId="0" xfId="0" applyNumberFormat="1" applyFill="1"/>
    <xf numFmtId="164" fontId="11" fillId="0" borderId="0" xfId="0" applyNumberFormat="1" applyFont="1" applyAlignment="1">
      <alignment horizontal="center"/>
    </xf>
    <xf numFmtId="0" fontId="9" fillId="0" borderId="0" xfId="0" applyFont="1" applyAlignment="1">
      <alignment wrapText="1"/>
    </xf>
    <xf numFmtId="164" fontId="15" fillId="0" borderId="0" xfId="0" applyNumberFormat="1" applyFont="1"/>
    <xf numFmtId="175" fontId="0" fillId="0" borderId="0" xfId="0" applyNumberFormat="1"/>
    <xf numFmtId="169" fontId="0" fillId="0" borderId="0" xfId="0" applyNumberFormat="1"/>
    <xf numFmtId="0" fontId="11" fillId="0" borderId="0" xfId="0" applyFont="1" applyAlignment="1">
      <alignment horizontal="right"/>
    </xf>
    <xf numFmtId="0" fontId="11" fillId="36" borderId="0" xfId="0" applyFont="1" applyFill="1" applyAlignment="1">
      <alignment horizontal="left" indent="1"/>
    </xf>
    <xf numFmtId="0" fontId="11" fillId="0" borderId="0" xfId="0" quotePrefix="1" applyFont="1" applyAlignment="1">
      <alignment horizontal="center"/>
    </xf>
    <xf numFmtId="0" fontId="0" fillId="36" borderId="0" xfId="0" applyFill="1"/>
    <xf numFmtId="2" fontId="0" fillId="0" borderId="0" xfId="0" applyNumberFormat="1"/>
    <xf numFmtId="0" fontId="11" fillId="0" borderId="0" xfId="0" applyFont="1" applyAlignment="1">
      <alignment horizontal="left" indent="2"/>
    </xf>
    <xf numFmtId="3" fontId="0" fillId="36" borderId="0" xfId="0" applyNumberFormat="1" applyFill="1"/>
    <xf numFmtId="3" fontId="0" fillId="0" borderId="0" xfId="0" applyNumberFormat="1"/>
    <xf numFmtId="3" fontId="15" fillId="36" borderId="0" xfId="0" applyNumberFormat="1" applyFont="1" applyFill="1"/>
    <xf numFmtId="164" fontId="11" fillId="0" borderId="0" xfId="0" applyNumberFormat="1" applyFont="1"/>
    <xf numFmtId="164" fontId="16" fillId="0" borderId="0" xfId="0" applyNumberFormat="1" applyFont="1" applyFill="1"/>
    <xf numFmtId="0" fontId="9" fillId="0" borderId="0" xfId="0" applyFont="1" applyAlignment="1">
      <alignment horizontal="left" indent="3"/>
    </xf>
    <xf numFmtId="164" fontId="11" fillId="0" borderId="0" xfId="0" quotePrefix="1" applyNumberFormat="1" applyFont="1" applyFill="1" applyAlignment="1">
      <alignment horizontal="right"/>
    </xf>
    <xf numFmtId="164" fontId="11" fillId="0" borderId="0" xfId="0" applyNumberFormat="1" applyFont="1" applyFill="1" applyAlignment="1">
      <alignment horizontal="right"/>
    </xf>
    <xf numFmtId="0" fontId="11" fillId="0" borderId="0" xfId="0" applyFont="1" applyFill="1" applyAlignment="1">
      <alignment horizontal="center"/>
    </xf>
    <xf numFmtId="164" fontId="0" fillId="36" borderId="0" xfId="0" applyNumberFormat="1" applyFill="1"/>
    <xf numFmtId="164" fontId="15" fillId="34" borderId="0" xfId="0" applyNumberFormat="1" applyFont="1" applyFill="1"/>
    <xf numFmtId="168" fontId="11" fillId="0" borderId="0" xfId="20" applyNumberFormat="1" applyFont="1" applyFill="1" applyBorder="1" applyAlignment="1">
      <alignment horizontal="right"/>
    </xf>
    <xf numFmtId="0" fontId="11" fillId="0" borderId="0" xfId="0" applyFont="1" applyFill="1" applyAlignment="1">
      <alignment horizontal="left"/>
    </xf>
    <xf numFmtId="0" fontId="9" fillId="0" borderId="0" xfId="0" applyFont="1" applyFill="1" applyAlignment="1">
      <alignment horizontal="center"/>
    </xf>
    <xf numFmtId="164" fontId="15" fillId="0" borderId="0" xfId="0" applyNumberFormat="1" applyFont="1" applyFill="1"/>
    <xf numFmtId="3" fontId="0" fillId="0" borderId="0" xfId="0" applyNumberFormat="1" applyFill="1"/>
    <xf numFmtId="0" fontId="0" fillId="0" borderId="0" xfId="0" applyFill="1" applyAlignment="1">
      <alignment horizontal="left" indent="1"/>
    </xf>
    <xf numFmtId="0" fontId="11" fillId="0" borderId="0" xfId="0" quotePrefix="1" applyFont="1" applyAlignment="1">
      <alignment horizontal="left" indent="1"/>
    </xf>
    <xf numFmtId="0" fontId="11" fillId="36" borderId="0" xfId="0" applyFont="1" applyFill="1"/>
    <xf numFmtId="164" fontId="15" fillId="36" borderId="0" xfId="0" applyNumberFormat="1" applyFont="1" applyFill="1"/>
    <xf numFmtId="166" fontId="11" fillId="0" borderId="0" xfId="0" applyNumberFormat="1" applyFont="1" applyAlignment="1">
      <alignment horizontal="left" indent="1"/>
    </xf>
    <xf numFmtId="0" fontId="15" fillId="0" borderId="0" xfId="0" applyFont="1" applyAlignment="1">
      <alignment horizontal="center"/>
    </xf>
    <xf numFmtId="164" fontId="16" fillId="36" borderId="0" xfId="0" applyNumberFormat="1" applyFont="1" applyFill="1"/>
    <xf numFmtId="0" fontId="0" fillId="37" borderId="0" xfId="0" applyFill="1"/>
    <xf numFmtId="0" fontId="12" fillId="0" borderId="0" xfId="0" applyFont="1" applyFill="1" applyBorder="1" applyAlignment="1">
      <alignment horizontal="center"/>
    </xf>
    <xf numFmtId="0" fontId="13" fillId="0" borderId="0" xfId="0" applyFont="1" applyFill="1" applyBorder="1"/>
    <xf numFmtId="0" fontId="14" fillId="0" borderId="0" xfId="0" applyFont="1" applyFill="1" applyBorder="1"/>
    <xf numFmtId="0" fontId="12" fillId="0" borderId="0" xfId="0" applyFont="1" applyFill="1" applyAlignment="1">
      <alignment horizontal="center"/>
    </xf>
    <xf numFmtId="168" fontId="11" fillId="0" borderId="0" xfId="0" applyNumberFormat="1" applyFont="1"/>
    <xf numFmtId="0" fontId="20" fillId="0" borderId="0" xfId="34" applyFont="1"/>
    <xf numFmtId="167" fontId="20" fillId="0" borderId="0" xfId="19" applyNumberFormat="1" applyFont="1" applyBorder="1"/>
    <xf numFmtId="0" fontId="20" fillId="0" borderId="0" xfId="34" applyFont="1" applyBorder="1" applyAlignment="1">
      <alignment horizontal="left"/>
    </xf>
    <xf numFmtId="0" fontId="20" fillId="0" borderId="0" xfId="34" applyFont="1" applyBorder="1"/>
    <xf numFmtId="10" fontId="20" fillId="0" borderId="0" xfId="37" applyNumberFormat="1" applyFont="1" applyBorder="1" applyAlignment="1">
      <alignment horizontal="left" indent="3"/>
    </xf>
    <xf numFmtId="0" fontId="20" fillId="0" borderId="0" xfId="34" applyFont="1" applyBorder="1" applyAlignment="1">
      <alignment horizontal="right" wrapText="1"/>
    </xf>
    <xf numFmtId="42" fontId="20" fillId="0" borderId="0" xfId="34" applyNumberFormat="1" applyFont="1"/>
    <xf numFmtId="177" fontId="20" fillId="0" borderId="0" xfId="34" applyNumberFormat="1" applyFont="1"/>
    <xf numFmtId="0" fontId="21" fillId="0" borderId="0" xfId="34" applyFont="1"/>
    <xf numFmtId="0" fontId="21" fillId="0" borderId="0" xfId="34" applyFont="1" applyBorder="1" applyAlignment="1">
      <alignment vertical="center" wrapText="1"/>
    </xf>
    <xf numFmtId="42" fontId="21" fillId="0" borderId="0" xfId="19" applyNumberFormat="1" applyFont="1" applyBorder="1" applyAlignment="1">
      <alignment vertical="center"/>
    </xf>
    <xf numFmtId="171" fontId="21" fillId="0" borderId="0" xfId="37" applyNumberFormat="1" applyFont="1" applyBorder="1" applyAlignment="1">
      <alignment horizontal="center" vertical="center"/>
    </xf>
    <xf numFmtId="42" fontId="0" fillId="0" borderId="0" xfId="0" applyNumberFormat="1"/>
    <xf numFmtId="164" fontId="20" fillId="0" borderId="0" xfId="19" applyNumberFormat="1" applyFont="1" applyBorder="1"/>
    <xf numFmtId="3" fontId="11" fillId="0" borderId="0" xfId="0" applyNumberFormat="1" applyFont="1"/>
    <xf numFmtId="0" fontId="20" fillId="0" borderId="0" xfId="28" applyFont="1"/>
    <xf numFmtId="164" fontId="0" fillId="0" borderId="0" xfId="0" applyNumberFormat="1" applyAlignment="1">
      <alignment horizontal="right" indent="1"/>
    </xf>
    <xf numFmtId="164" fontId="0" fillId="0" borderId="0" xfId="0" applyNumberFormat="1" applyAlignment="1"/>
    <xf numFmtId="164" fontId="15" fillId="36" borderId="0" xfId="0" applyNumberFormat="1" applyFont="1" applyFill="1" applyAlignment="1"/>
    <xf numFmtId="165" fontId="22" fillId="0" borderId="0" xfId="0" applyNumberFormat="1" applyFont="1"/>
    <xf numFmtId="165" fontId="23" fillId="0" borderId="0" xfId="0" applyNumberFormat="1" applyFont="1"/>
    <xf numFmtId="166" fontId="0" fillId="0" borderId="0" xfId="0" applyNumberFormat="1" applyFill="1"/>
    <xf numFmtId="166" fontId="11" fillId="0" borderId="0" xfId="0" applyNumberFormat="1" applyFont="1" applyFill="1" applyAlignment="1">
      <alignment horizontal="left" indent="1"/>
    </xf>
    <xf numFmtId="1" fontId="11" fillId="36" borderId="0" xfId="28" applyNumberFormat="1" applyFont="1" applyFill="1" applyBorder="1" applyAlignment="1">
      <alignment horizontal="center"/>
    </xf>
    <xf numFmtId="0" fontId="11" fillId="0" borderId="0" xfId="28" applyNumberFormat="1" applyFont="1" applyFill="1" applyBorder="1" applyAlignment="1">
      <alignment horizontal="left" indent="1"/>
    </xf>
    <xf numFmtId="0" fontId="0" fillId="36" borderId="0" xfId="0" quotePrefix="1" applyFill="1" applyAlignment="1">
      <alignment horizontal="center"/>
    </xf>
    <xf numFmtId="0" fontId="0" fillId="36" borderId="0" xfId="0" applyFill="1" applyAlignment="1">
      <alignment horizontal="center"/>
    </xf>
    <xf numFmtId="0" fontId="11" fillId="0" borderId="0" xfId="28" applyNumberFormat="1" applyFont="1" applyFill="1" applyBorder="1" applyAlignment="1">
      <alignment horizontal="left" indent="2"/>
    </xf>
    <xf numFmtId="0" fontId="9" fillId="0" borderId="0" xfId="0" quotePrefix="1" applyFont="1" applyAlignment="1">
      <alignment horizontal="right"/>
    </xf>
    <xf numFmtId="164" fontId="11" fillId="36" borderId="0" xfId="19" applyNumberFormat="1" applyFont="1" applyFill="1" applyBorder="1"/>
    <xf numFmtId="164" fontId="11" fillId="0" borderId="0" xfId="19" applyNumberFormat="1" applyFont="1" applyBorder="1"/>
    <xf numFmtId="164" fontId="15" fillId="36" borderId="0" xfId="19" applyNumberFormat="1" applyFont="1" applyFill="1" applyBorder="1"/>
    <xf numFmtId="164" fontId="11" fillId="0" borderId="0" xfId="0" applyNumberFormat="1" applyFont="1" applyAlignment="1">
      <alignment horizontal="left" indent="1"/>
    </xf>
    <xf numFmtId="164" fontId="11" fillId="0" borderId="0" xfId="19" applyNumberFormat="1" applyFont="1" applyBorder="1" applyAlignment="1">
      <alignment horizontal="left" indent="1"/>
    </xf>
    <xf numFmtId="10" fontId="11" fillId="0" borderId="0" xfId="37" applyNumberFormat="1" applyFont="1" applyBorder="1" applyAlignment="1">
      <alignment horizontal="center"/>
    </xf>
    <xf numFmtId="10" fontId="15" fillId="0" borderId="0" xfId="37" applyNumberFormat="1" applyFont="1" applyBorder="1" applyAlignment="1">
      <alignment horizontal="center"/>
    </xf>
    <xf numFmtId="164" fontId="9" fillId="0" borderId="0" xfId="19" applyNumberFormat="1" applyFont="1" applyBorder="1" applyAlignment="1">
      <alignment vertical="center"/>
    </xf>
    <xf numFmtId="10" fontId="9" fillId="0" borderId="0" xfId="37" applyNumberFormat="1" applyFont="1" applyBorder="1" applyAlignment="1">
      <alignment horizontal="center" vertical="center"/>
    </xf>
    <xf numFmtId="0" fontId="12" fillId="0" borderId="0" xfId="34" applyFont="1" applyAlignment="1">
      <alignment horizontal="center"/>
    </xf>
    <xf numFmtId="0" fontId="9" fillId="0" borderId="0" xfId="34" applyFont="1" applyBorder="1"/>
    <xf numFmtId="0" fontId="11" fillId="0" borderId="0" xfId="34" applyFont="1" applyBorder="1" applyAlignment="1">
      <alignment horizontal="left" indent="2"/>
    </xf>
    <xf numFmtId="0" fontId="9" fillId="0" borderId="0" xfId="34" applyFont="1" applyBorder="1" applyAlignment="1">
      <alignment horizontal="left"/>
    </xf>
    <xf numFmtId="0" fontId="9" fillId="0" borderId="0" xfId="34" applyFont="1" applyBorder="1" applyAlignment="1">
      <alignment horizontal="left" wrapText="1"/>
    </xf>
    <xf numFmtId="0" fontId="11" fillId="0" borderId="0" xfId="34" applyFont="1" applyBorder="1" applyAlignment="1">
      <alignment horizontal="left" wrapText="1"/>
    </xf>
    <xf numFmtId="0" fontId="9" fillId="0" borderId="0" xfId="34" applyFont="1" applyBorder="1" applyAlignment="1">
      <alignment vertical="center" wrapText="1"/>
    </xf>
    <xf numFmtId="0" fontId="9" fillId="0" borderId="0" xfId="34" applyFont="1"/>
    <xf numFmtId="0" fontId="9" fillId="0" borderId="0" xfId="34" applyFont="1" applyAlignment="1">
      <alignment horizontal="center"/>
    </xf>
    <xf numFmtId="0" fontId="11" fillId="0" borderId="0" xfId="34" applyFont="1"/>
    <xf numFmtId="0" fontId="11" fillId="36" borderId="0" xfId="34" applyFont="1" applyFill="1"/>
    <xf numFmtId="0" fontId="12" fillId="0" borderId="0" xfId="34" applyFont="1" applyFill="1" applyAlignment="1">
      <alignment horizontal="center"/>
    </xf>
    <xf numFmtId="167" fontId="11" fillId="0" borderId="0" xfId="19" applyNumberFormat="1" applyFont="1" applyBorder="1"/>
    <xf numFmtId="171" fontId="11" fillId="0" borderId="0" xfId="37" applyNumberFormat="1" applyFont="1" applyBorder="1" applyAlignment="1">
      <alignment horizontal="left" indent="3"/>
    </xf>
    <xf numFmtId="164" fontId="11" fillId="36" borderId="0" xfId="0" applyNumberFormat="1" applyFont="1" applyFill="1"/>
    <xf numFmtId="0" fontId="11" fillId="0" borderId="0" xfId="34" applyFont="1" applyBorder="1" applyAlignment="1">
      <alignment horizontal="left"/>
    </xf>
    <xf numFmtId="41" fontId="11" fillId="0" borderId="0" xfId="19" applyNumberFormat="1" applyFont="1" applyBorder="1"/>
    <xf numFmtId="41" fontId="11" fillId="0" borderId="0" xfId="34" applyNumberFormat="1" applyFont="1" applyBorder="1"/>
    <xf numFmtId="10" fontId="11" fillId="0" borderId="0" xfId="34" applyNumberFormat="1" applyFont="1" applyBorder="1" applyAlignment="1">
      <alignment horizontal="center"/>
    </xf>
    <xf numFmtId="5" fontId="11" fillId="36" borderId="0" xfId="19" applyNumberFormat="1" applyFont="1" applyFill="1" applyBorder="1"/>
    <xf numFmtId="10" fontId="11" fillId="0" borderId="0" xfId="37" applyNumberFormat="1" applyFont="1" applyFill="1" applyBorder="1" applyAlignment="1">
      <alignment horizontal="center"/>
    </xf>
    <xf numFmtId="5" fontId="15" fillId="36" borderId="0" xfId="19" applyNumberFormat="1" applyFont="1" applyFill="1" applyBorder="1"/>
    <xf numFmtId="10" fontId="15" fillId="0" borderId="0" xfId="37" applyNumberFormat="1" applyFont="1" applyFill="1" applyBorder="1" applyAlignment="1">
      <alignment horizontal="center"/>
    </xf>
    <xf numFmtId="0" fontId="11" fillId="0" borderId="0" xfId="34" applyFont="1" applyBorder="1" applyAlignment="1">
      <alignment horizontal="right" wrapText="1"/>
    </xf>
    <xf numFmtId="0" fontId="9" fillId="0" borderId="0" xfId="34" applyFont="1" applyBorder="1" applyAlignment="1">
      <alignment horizontal="left" vertical="center" wrapText="1"/>
    </xf>
    <xf numFmtId="0" fontId="44" fillId="36" borderId="0" xfId="34" applyFont="1" applyFill="1"/>
    <xf numFmtId="0" fontId="11" fillId="36" borderId="0" xfId="28" applyFont="1" applyFill="1" applyBorder="1" applyAlignment="1">
      <alignment horizontal="center"/>
    </xf>
    <xf numFmtId="0" fontId="11" fillId="36" borderId="0" xfId="0" applyFont="1" applyFill="1" applyAlignment="1"/>
    <xf numFmtId="0" fontId="11" fillId="0" borderId="0" xfId="0" quotePrefix="1" applyFont="1" applyAlignment="1">
      <alignment horizontal="center" vertical="justify"/>
    </xf>
    <xf numFmtId="0" fontId="9" fillId="36" borderId="0" xfId="0" applyFont="1" applyFill="1" applyAlignment="1">
      <alignment horizontal="center"/>
    </xf>
    <xf numFmtId="0" fontId="12" fillId="36" borderId="0" xfId="0" applyFont="1" applyFill="1" applyAlignment="1">
      <alignment horizontal="center"/>
    </xf>
    <xf numFmtId="0" fontId="9" fillId="0" borderId="0" xfId="28" applyFont="1" applyFill="1" applyBorder="1" applyAlignment="1">
      <alignment horizontal="left"/>
    </xf>
    <xf numFmtId="1" fontId="11" fillId="0" borderId="0" xfId="28" quotePrefix="1" applyNumberFormat="1" applyFont="1" applyFill="1" applyBorder="1" applyAlignment="1">
      <alignment horizontal="right"/>
    </xf>
    <xf numFmtId="164" fontId="11" fillId="0" borderId="0" xfId="0" quotePrefix="1" applyNumberFormat="1" applyFont="1" applyAlignment="1">
      <alignment horizontal="center"/>
    </xf>
    <xf numFmtId="0" fontId="9" fillId="0" borderId="0" xfId="0" applyFont="1" applyBorder="1" applyAlignment="1">
      <alignment horizontal="center"/>
    </xf>
    <xf numFmtId="0" fontId="9" fillId="0" borderId="3" xfId="0" applyFont="1" applyBorder="1" applyAlignment="1">
      <alignment horizontal="center"/>
    </xf>
    <xf numFmtId="0" fontId="9" fillId="0" borderId="3" xfId="0" applyFont="1" applyFill="1" applyBorder="1" applyAlignment="1">
      <alignment horizontal="center"/>
    </xf>
    <xf numFmtId="0" fontId="9" fillId="0" borderId="3" xfId="0" applyNumberFormat="1" applyFont="1" applyBorder="1" applyAlignment="1">
      <alignment horizontal="center" wrapText="1"/>
    </xf>
    <xf numFmtId="0" fontId="9" fillId="0" borderId="3" xfId="0" applyNumberFormat="1" applyFont="1" applyFill="1" applyBorder="1" applyAlignment="1">
      <alignment wrapText="1"/>
    </xf>
    <xf numFmtId="0" fontId="9" fillId="0" borderId="3" xfId="0" applyNumberFormat="1" applyFont="1" applyBorder="1" applyAlignment="1">
      <alignment wrapText="1"/>
    </xf>
    <xf numFmtId="0" fontId="9" fillId="0" borderId="3" xfId="0" applyFont="1" applyFill="1" applyBorder="1" applyAlignment="1">
      <alignment horizontal="center" wrapText="1"/>
    </xf>
    <xf numFmtId="0" fontId="9" fillId="0" borderId="3" xfId="0" applyFont="1" applyBorder="1" applyAlignment="1">
      <alignment horizontal="center" wrapText="1"/>
    </xf>
    <xf numFmtId="0" fontId="11" fillId="0" borderId="3" xfId="0" quotePrefix="1" applyNumberFormat="1" applyFont="1" applyFill="1" applyBorder="1" applyAlignment="1">
      <alignment horizontal="center"/>
    </xf>
    <xf numFmtId="0" fontId="11" fillId="0" borderId="3" xfId="0" quotePrefix="1" applyNumberFormat="1" applyFont="1" applyFill="1" applyBorder="1" applyAlignment="1">
      <alignment horizontal="left"/>
    </xf>
    <xf numFmtId="0" fontId="11" fillId="0" borderId="3" xfId="0" quotePrefix="1" applyNumberFormat="1" applyFont="1" applyFill="1" applyBorder="1"/>
    <xf numFmtId="0" fontId="11" fillId="0" borderId="3" xfId="0" applyFont="1" applyFill="1" applyBorder="1" applyAlignment="1">
      <alignment horizontal="center"/>
    </xf>
    <xf numFmtId="37" fontId="11" fillId="0" borderId="3" xfId="0" applyNumberFormat="1" applyFont="1" applyFill="1" applyBorder="1" applyAlignment="1">
      <alignment horizontal="center"/>
    </xf>
    <xf numFmtId="37" fontId="11" fillId="0" borderId="3" xfId="0" applyNumberFormat="1" applyFont="1" applyBorder="1" applyAlignment="1">
      <alignment horizontal="center"/>
    </xf>
    <xf numFmtId="0" fontId="11" fillId="0" borderId="3" xfId="0" quotePrefix="1" applyNumberFormat="1" applyFont="1" applyBorder="1" applyAlignment="1">
      <alignment horizontal="center"/>
    </xf>
    <xf numFmtId="0" fontId="11" fillId="0" borderId="3" xfId="0" quotePrefix="1" applyNumberFormat="1" applyFont="1" applyBorder="1"/>
    <xf numFmtId="0" fontId="11" fillId="0" borderId="3" xfId="0" applyFont="1" applyBorder="1" applyAlignment="1">
      <alignment horizontal="center"/>
    </xf>
    <xf numFmtId="0" fontId="9" fillId="0" borderId="0" xfId="0" quotePrefix="1" applyNumberFormat="1" applyFont="1" applyBorder="1" applyAlignment="1">
      <alignment horizontal="center"/>
    </xf>
    <xf numFmtId="0" fontId="9" fillId="0" borderId="0" xfId="0" applyNumberFormat="1" applyFont="1" applyFill="1" applyBorder="1"/>
    <xf numFmtId="0" fontId="9" fillId="0" borderId="0" xfId="0" quotePrefix="1" applyNumberFormat="1" applyFont="1" applyBorder="1"/>
    <xf numFmtId="0" fontId="9" fillId="0" borderId="0" xfId="0" quotePrefix="1" applyNumberFormat="1" applyFont="1" applyFill="1" applyBorder="1"/>
    <xf numFmtId="37" fontId="11" fillId="0" borderId="0" xfId="0" applyNumberFormat="1" applyFont="1" applyFill="1" applyBorder="1" applyAlignment="1">
      <alignment horizontal="center"/>
    </xf>
    <xf numFmtId="0" fontId="11" fillId="0" borderId="0" xfId="0" applyFont="1" applyBorder="1" applyAlignment="1">
      <alignment horizontal="center"/>
    </xf>
    <xf numFmtId="0" fontId="11" fillId="0" borderId="0" xfId="0" quotePrefix="1" applyNumberFormat="1" applyFont="1" applyBorder="1" applyAlignment="1">
      <alignment horizontal="center"/>
    </xf>
    <xf numFmtId="0" fontId="11" fillId="0" borderId="3" xfId="0" applyFont="1" applyFill="1" applyBorder="1"/>
    <xf numFmtId="37" fontId="9" fillId="0" borderId="0" xfId="0" applyNumberFormat="1" applyFont="1" applyFill="1" applyBorder="1" applyAlignment="1">
      <alignment horizontal="center"/>
    </xf>
    <xf numFmtId="0" fontId="11" fillId="0" borderId="3" xfId="0" quotePrefix="1" applyNumberFormat="1" applyFont="1" applyBorder="1" applyAlignment="1">
      <alignment horizontal="left"/>
    </xf>
    <xf numFmtId="0" fontId="11" fillId="0" borderId="3" xfId="0" applyNumberFormat="1" applyFont="1" applyFill="1" applyBorder="1"/>
    <xf numFmtId="0" fontId="11" fillId="0" borderId="3" xfId="0" applyNumberFormat="1" applyFont="1" applyFill="1" applyBorder="1" applyAlignment="1">
      <alignment horizontal="left"/>
    </xf>
    <xf numFmtId="39" fontId="11" fillId="0" borderId="0" xfId="19" applyNumberFormat="1" applyFont="1" applyBorder="1" applyAlignment="1">
      <alignment horizontal="center"/>
    </xf>
    <xf numFmtId="0" fontId="11" fillId="0" borderId="0" xfId="0" applyFont="1" applyFill="1" applyBorder="1" applyAlignment="1">
      <alignment horizontal="center"/>
    </xf>
    <xf numFmtId="39" fontId="11" fillId="0" borderId="0" xfId="19" applyNumberFormat="1" applyFont="1" applyFill="1" applyBorder="1" applyAlignment="1">
      <alignment horizontal="center"/>
    </xf>
    <xf numFmtId="0" fontId="11" fillId="0" borderId="0" xfId="0" applyFont="1" applyBorder="1"/>
    <xf numFmtId="0" fontId="9" fillId="0" borderId="3" xfId="0" applyNumberFormat="1" applyFont="1" applyFill="1" applyBorder="1" applyAlignment="1">
      <alignment horizontal="right"/>
    </xf>
    <xf numFmtId="0" fontId="11" fillId="0" borderId="0" xfId="0" quotePrefix="1" applyNumberFormat="1" applyFont="1" applyBorder="1"/>
    <xf numFmtId="0" fontId="11" fillId="0" borderId="0" xfId="0" quotePrefix="1" applyNumberFormat="1" applyFont="1" applyFill="1" applyBorder="1"/>
    <xf numFmtId="164" fontId="11" fillId="0" borderId="0" xfId="19" applyNumberFormat="1" applyFont="1" applyBorder="1" applyAlignment="1">
      <alignment horizontal="right"/>
    </xf>
    <xf numFmtId="0" fontId="15" fillId="0" borderId="0" xfId="0" applyFont="1" applyBorder="1" applyAlignment="1">
      <alignment horizontal="center"/>
    </xf>
    <xf numFmtId="49" fontId="11" fillId="0" borderId="0" xfId="19" applyNumberFormat="1" applyFont="1" applyBorder="1" applyAlignment="1">
      <alignment horizontal="left" indent="1"/>
    </xf>
    <xf numFmtId="0" fontId="45" fillId="0" borderId="0" xfId="0" applyFont="1"/>
    <xf numFmtId="0" fontId="45" fillId="0" borderId="0" xfId="0" applyFont="1" applyAlignment="1">
      <alignment horizontal="right"/>
    </xf>
    <xf numFmtId="164" fontId="45" fillId="0" borderId="0" xfId="0" applyNumberFormat="1" applyFont="1"/>
    <xf numFmtId="0" fontId="46" fillId="0" borderId="0" xfId="0" applyFont="1" applyAlignment="1">
      <alignment horizontal="center"/>
    </xf>
    <xf numFmtId="164" fontId="45" fillId="0" borderId="0" xfId="0" applyNumberFormat="1" applyFont="1" applyFill="1"/>
    <xf numFmtId="164" fontId="45" fillId="36" borderId="0" xfId="0" applyNumberFormat="1" applyFont="1" applyFill="1"/>
    <xf numFmtId="10" fontId="45" fillId="34" borderId="0" xfId="0" applyNumberFormat="1" applyFont="1" applyFill="1"/>
    <xf numFmtId="164" fontId="45" fillId="0" borderId="0" xfId="0" applyNumberFormat="1" applyFont="1" applyAlignment="1">
      <alignment horizontal="right"/>
    </xf>
    <xf numFmtId="164" fontId="45" fillId="0" borderId="0" xfId="0" quotePrefix="1" applyNumberFormat="1" applyFont="1" applyAlignment="1">
      <alignment horizontal="center"/>
    </xf>
    <xf numFmtId="164" fontId="45" fillId="0" borderId="0" xfId="0" quotePrefix="1" applyNumberFormat="1" applyFont="1" applyFill="1" applyAlignment="1">
      <alignment horizontal="center"/>
    </xf>
    <xf numFmtId="0" fontId="45" fillId="0" borderId="0" xfId="0" applyFont="1" applyFill="1"/>
    <xf numFmtId="10" fontId="45" fillId="0" borderId="0" xfId="0" applyNumberFormat="1" applyFont="1" applyFill="1"/>
    <xf numFmtId="164" fontId="46" fillId="0" borderId="0" xfId="0" applyNumberFormat="1" applyFont="1" applyAlignment="1">
      <alignment horizontal="center"/>
    </xf>
    <xf numFmtId="0" fontId="43" fillId="0" borderId="0" xfId="0" applyFont="1" applyAlignment="1">
      <alignment horizontal="center"/>
    </xf>
    <xf numFmtId="164" fontId="47" fillId="0" borderId="0" xfId="0" applyNumberFormat="1" applyFont="1" applyAlignment="1">
      <alignment horizontal="center"/>
    </xf>
    <xf numFmtId="0" fontId="48" fillId="0" borderId="0" xfId="0" applyFont="1" applyAlignment="1">
      <alignment horizontal="center"/>
    </xf>
    <xf numFmtId="164" fontId="49" fillId="0" borderId="0" xfId="0" applyNumberFormat="1" applyFont="1"/>
    <xf numFmtId="164" fontId="45" fillId="0" borderId="0" xfId="0" applyNumberFormat="1" applyFont="1" applyFill="1" applyAlignment="1">
      <alignment horizontal="right"/>
    </xf>
    <xf numFmtId="166" fontId="45" fillId="0" borderId="0" xfId="0" applyNumberFormat="1" applyFont="1"/>
    <xf numFmtId="164" fontId="45" fillId="34" borderId="0" xfId="0" applyNumberFormat="1" applyFont="1" applyFill="1"/>
    <xf numFmtId="0" fontId="45" fillId="0" borderId="0" xfId="0" applyFont="1" applyAlignment="1">
      <alignment horizontal="left" indent="1"/>
    </xf>
    <xf numFmtId="165" fontId="45" fillId="0" borderId="0" xfId="0" applyNumberFormat="1" applyFont="1"/>
    <xf numFmtId="0" fontId="45" fillId="0" borderId="0" xfId="0" applyFont="1" applyAlignment="1">
      <alignment horizontal="center"/>
    </xf>
    <xf numFmtId="0" fontId="11" fillId="0" borderId="0" xfId="0" quotePrefix="1" applyFont="1" applyAlignment="1">
      <alignment horizontal="right"/>
    </xf>
    <xf numFmtId="0" fontId="9" fillId="36" borderId="0" xfId="0" quotePrefix="1" applyFont="1" applyFill="1" applyAlignment="1">
      <alignment horizontal="center"/>
    </xf>
    <xf numFmtId="0" fontId="9" fillId="0" borderId="0" xfId="28" applyFont="1"/>
    <xf numFmtId="0" fontId="11" fillId="36" borderId="0" xfId="28" applyFont="1" applyFill="1"/>
    <xf numFmtId="0" fontId="9" fillId="0" borderId="0" xfId="28" applyFont="1" applyFill="1" applyBorder="1" applyAlignment="1">
      <alignment horizontal="left" vertical="center"/>
    </xf>
    <xf numFmtId="0" fontId="9" fillId="0" borderId="0" xfId="28" applyFont="1" applyFill="1" applyBorder="1" applyAlignment="1">
      <alignment horizontal="center" vertical="center" wrapText="1"/>
    </xf>
    <xf numFmtId="0" fontId="9" fillId="0" borderId="0" xfId="28" applyFont="1" applyFill="1" applyBorder="1" applyAlignment="1">
      <alignment horizontal="center" vertical="center"/>
    </xf>
    <xf numFmtId="0" fontId="9" fillId="0" borderId="0" xfId="28" applyFont="1" applyFill="1" applyBorder="1" applyAlignment="1">
      <alignment horizontal="center"/>
    </xf>
    <xf numFmtId="0" fontId="9" fillId="0" borderId="0" xfId="28" applyFont="1" applyBorder="1" applyAlignment="1">
      <alignment horizontal="center" vertical="center" wrapText="1"/>
    </xf>
    <xf numFmtId="0" fontId="11" fillId="0" borderId="0" xfId="28" applyFont="1" applyFill="1" applyBorder="1" applyAlignment="1">
      <alignment horizontal="left" vertical="center" indent="1"/>
    </xf>
    <xf numFmtId="164" fontId="11" fillId="0" borderId="0" xfId="28" applyNumberFormat="1" applyFont="1" applyFill="1" applyBorder="1" applyAlignment="1">
      <alignment horizontal="right" vertical="center" wrapText="1"/>
    </xf>
    <xf numFmtId="164" fontId="11" fillId="0" borderId="0" xfId="20" applyNumberFormat="1" applyFont="1" applyFill="1"/>
    <xf numFmtId="164" fontId="11" fillId="0" borderId="0" xfId="28" applyNumberFormat="1" applyFont="1" applyFill="1" applyBorder="1" applyAlignment="1">
      <alignment horizontal="right"/>
    </xf>
    <xf numFmtId="164" fontId="15" fillId="0" borderId="0" xfId="28" applyNumberFormat="1" applyFont="1" applyFill="1" applyBorder="1" applyAlignment="1">
      <alignment horizontal="right" vertical="center" wrapText="1"/>
    </xf>
    <xf numFmtId="164" fontId="15" fillId="0" borderId="0" xfId="20" applyNumberFormat="1" applyFont="1" applyFill="1"/>
    <xf numFmtId="164" fontId="15" fillId="0" borderId="0" xfId="28" applyNumberFormat="1" applyFont="1" applyFill="1" applyBorder="1" applyAlignment="1">
      <alignment horizontal="right"/>
    </xf>
    <xf numFmtId="164" fontId="15" fillId="36" borderId="0" xfId="28" applyNumberFormat="1" applyFont="1" applyFill="1" applyBorder="1" applyAlignment="1">
      <alignment horizontal="right" vertical="center" wrapText="1"/>
    </xf>
    <xf numFmtId="164" fontId="11" fillId="0" borderId="0" xfId="28" applyNumberFormat="1" applyFont="1" applyFill="1" applyAlignment="1">
      <alignment vertical="center"/>
    </xf>
    <xf numFmtId="0" fontId="11" fillId="0" borderId="0" xfId="28" applyFont="1" applyFill="1"/>
    <xf numFmtId="41" fontId="11" fillId="0" borderId="0" xfId="20" applyNumberFormat="1" applyFont="1" applyFill="1"/>
    <xf numFmtId="41" fontId="11" fillId="0" borderId="0" xfId="28" applyNumberFormat="1" applyFont="1" applyFill="1"/>
    <xf numFmtId="41" fontId="11" fillId="0" borderId="0" xfId="20" applyNumberFormat="1" applyFont="1"/>
    <xf numFmtId="41" fontId="11" fillId="0" borderId="0" xfId="20" applyNumberFormat="1" applyFont="1" applyAlignment="1" applyProtection="1">
      <alignment horizontal="right" indent="2"/>
    </xf>
    <xf numFmtId="0" fontId="9" fillId="0" borderId="0" xfId="28" applyFont="1" applyFill="1"/>
    <xf numFmtId="0" fontId="11" fillId="0" borderId="0" xfId="28" applyFont="1" applyFill="1" applyAlignment="1">
      <alignment horizontal="left" wrapText="1" indent="1"/>
    </xf>
    <xf numFmtId="164" fontId="11" fillId="0" borderId="0" xfId="28" applyNumberFormat="1" applyFont="1" applyFill="1"/>
    <xf numFmtId="41" fontId="24" fillId="0" borderId="0" xfId="20" applyNumberFormat="1" applyFont="1" applyFill="1"/>
    <xf numFmtId="164" fontId="24" fillId="0" borderId="0" xfId="20" applyNumberFormat="1" applyFont="1" applyFill="1"/>
    <xf numFmtId="42" fontId="24" fillId="0" borderId="0" xfId="28" applyNumberFormat="1" applyFont="1"/>
    <xf numFmtId="164" fontId="24" fillId="36" borderId="0" xfId="20" applyNumberFormat="1" applyFont="1" applyFill="1"/>
    <xf numFmtId="0" fontId="9" fillId="0" borderId="0" xfId="28" applyFont="1" applyAlignment="1">
      <alignment horizontal="right"/>
    </xf>
    <xf numFmtId="42" fontId="11" fillId="0" borderId="0" xfId="28" applyNumberFormat="1" applyFont="1"/>
    <xf numFmtId="42" fontId="11" fillId="0" borderId="0" xfId="20" applyNumberFormat="1" applyFont="1" applyBorder="1"/>
    <xf numFmtId="42" fontId="11" fillId="0" borderId="0" xfId="28" applyNumberFormat="1" applyFont="1" applyBorder="1"/>
    <xf numFmtId="164" fontId="11" fillId="0" borderId="0" xfId="20" applyNumberFormat="1" applyFont="1" applyBorder="1"/>
    <xf numFmtId="43" fontId="11" fillId="0" borderId="0" xfId="28" applyNumberFormat="1" applyFont="1"/>
    <xf numFmtId="41" fontId="11" fillId="0" borderId="0" xfId="28" applyNumberFormat="1" applyFont="1"/>
    <xf numFmtId="0" fontId="9" fillId="0" borderId="0" xfId="28" applyFont="1" applyAlignment="1">
      <alignment horizontal="center" wrapText="1"/>
    </xf>
    <xf numFmtId="0" fontId="12" fillId="0" borderId="0" xfId="28" applyFont="1"/>
    <xf numFmtId="164" fontId="11" fillId="0" borderId="0" xfId="28" applyNumberFormat="1" applyFont="1" applyBorder="1"/>
    <xf numFmtId="0" fontId="11" fillId="0" borderId="0" xfId="28" applyFont="1" applyFill="1" applyBorder="1" applyAlignment="1">
      <alignment horizontal="right" vertical="center"/>
    </xf>
    <xf numFmtId="168" fontId="11" fillId="0" borderId="0" xfId="39" applyNumberFormat="1" applyFont="1" applyFill="1" applyBorder="1" applyAlignment="1">
      <alignment vertical="center"/>
    </xf>
    <xf numFmtId="10" fontId="11" fillId="0" borderId="0" xfId="39" applyNumberFormat="1" applyFont="1" applyFill="1" applyBorder="1" applyAlignment="1">
      <alignment vertical="center"/>
    </xf>
    <xf numFmtId="0" fontId="25" fillId="0" borderId="0" xfId="28" applyFont="1" applyAlignment="1">
      <alignment vertical="center"/>
    </xf>
    <xf numFmtId="0" fontId="11" fillId="0" borderId="0" xfId="28" applyFont="1" applyAlignment="1">
      <alignment vertical="center"/>
    </xf>
    <xf numFmtId="0" fontId="11" fillId="0" borderId="0" xfId="28" applyFont="1" applyFill="1" applyBorder="1"/>
    <xf numFmtId="10" fontId="11" fillId="0" borderId="0" xfId="39" applyNumberFormat="1" applyFont="1" applyFill="1" applyBorder="1"/>
    <xf numFmtId="42" fontId="11" fillId="0" borderId="0" xfId="20" applyNumberFormat="1" applyFont="1" applyFill="1"/>
    <xf numFmtId="39" fontId="9" fillId="0" borderId="3" xfId="22" quotePrefix="1" applyNumberFormat="1" applyFont="1" applyBorder="1" applyAlignment="1">
      <alignment horizontal="center" wrapText="1"/>
    </xf>
    <xf numFmtId="39" fontId="9" fillId="0" borderId="3" xfId="22" applyNumberFormat="1" applyFont="1" applyBorder="1" applyAlignment="1">
      <alignment horizontal="center" wrapText="1"/>
    </xf>
    <xf numFmtId="39" fontId="11" fillId="0" borderId="3" xfId="22" quotePrefix="1" applyNumberFormat="1" applyFont="1" applyFill="1" applyBorder="1" applyAlignment="1">
      <alignment horizontal="center"/>
    </xf>
    <xf numFmtId="178" fontId="9" fillId="0" borderId="3" xfId="22" applyNumberFormat="1" applyFont="1" applyBorder="1" applyAlignment="1">
      <alignment horizontal="center" wrapText="1"/>
    </xf>
    <xf numFmtId="39" fontId="9" fillId="0" borderId="0" xfId="22" quotePrefix="1" applyNumberFormat="1" applyFont="1" applyBorder="1" applyAlignment="1">
      <alignment horizontal="center"/>
    </xf>
    <xf numFmtId="37" fontId="9" fillId="0" borderId="3" xfId="22" quotePrefix="1" applyNumberFormat="1" applyFont="1" applyBorder="1" applyAlignment="1">
      <alignment horizontal="center"/>
    </xf>
    <xf numFmtId="37" fontId="9" fillId="0" borderId="0" xfId="22" quotePrefix="1" applyNumberFormat="1" applyFont="1" applyBorder="1" applyAlignment="1">
      <alignment horizontal="center"/>
    </xf>
    <xf numFmtId="37" fontId="11" fillId="0" borderId="3" xfId="22" quotePrefix="1" applyNumberFormat="1" applyFont="1" applyBorder="1" applyAlignment="1">
      <alignment horizontal="center"/>
    </xf>
    <xf numFmtId="37" fontId="11" fillId="0" borderId="3" xfId="22" quotePrefix="1" applyNumberFormat="1" applyFont="1" applyFill="1" applyBorder="1" applyAlignment="1">
      <alignment horizontal="center"/>
    </xf>
    <xf numFmtId="39" fontId="11" fillId="0" borderId="0" xfId="22" quotePrefix="1" applyNumberFormat="1" applyFont="1" applyBorder="1" applyAlignment="1">
      <alignment horizontal="center"/>
    </xf>
    <xf numFmtId="178" fontId="11" fillId="0" borderId="0" xfId="22" applyNumberFormat="1" applyFont="1" applyBorder="1" applyAlignment="1">
      <alignment horizontal="center"/>
    </xf>
    <xf numFmtId="0" fontId="11" fillId="0" borderId="3" xfId="22" applyNumberFormat="1" applyFont="1" applyFill="1" applyBorder="1" applyAlignment="1">
      <alignment horizontal="left"/>
    </xf>
    <xf numFmtId="37" fontId="11" fillId="36" borderId="3" xfId="22" quotePrefix="1" applyNumberFormat="1" applyFont="1" applyFill="1" applyBorder="1" applyAlignment="1">
      <alignment horizontal="center"/>
    </xf>
    <xf numFmtId="0" fontId="11" fillId="36" borderId="3" xfId="0" applyFont="1" applyFill="1" applyBorder="1" applyAlignment="1">
      <alignment horizontal="center"/>
    </xf>
    <xf numFmtId="37" fontId="11" fillId="36" borderId="3" xfId="0" applyNumberFormat="1" applyFont="1" applyFill="1" applyBorder="1" applyAlignment="1">
      <alignment horizontal="center"/>
    </xf>
    <xf numFmtId="37" fontId="11" fillId="36" borderId="3" xfId="22" applyNumberFormat="1" applyFont="1" applyFill="1" applyBorder="1" applyAlignment="1">
      <alignment horizontal="center"/>
    </xf>
    <xf numFmtId="39" fontId="11" fillId="36" borderId="3" xfId="22" quotePrefix="1" applyNumberFormat="1" applyFont="1" applyFill="1" applyBorder="1" applyAlignment="1">
      <alignment horizontal="center"/>
    </xf>
    <xf numFmtId="39" fontId="11" fillId="36" borderId="4" xfId="22" quotePrefix="1" applyNumberFormat="1" applyFont="1" applyFill="1" applyBorder="1" applyAlignment="1">
      <alignment horizontal="center"/>
    </xf>
    <xf numFmtId="37" fontId="9" fillId="36" borderId="3" xfId="22" quotePrefix="1" applyNumberFormat="1" applyFont="1" applyFill="1" applyBorder="1" applyAlignment="1">
      <alignment horizontal="center"/>
    </xf>
    <xf numFmtId="179" fontId="11" fillId="36" borderId="3" xfId="22" applyNumberFormat="1" applyFont="1" applyFill="1" applyBorder="1"/>
    <xf numFmtId="37" fontId="9" fillId="0" borderId="0" xfId="22" quotePrefix="1" applyNumberFormat="1" applyFont="1" applyFill="1" applyBorder="1" applyAlignment="1">
      <alignment horizontal="center"/>
    </xf>
    <xf numFmtId="37" fontId="9" fillId="0" borderId="3" xfId="22" quotePrefix="1" applyNumberFormat="1" applyFont="1" applyFill="1" applyBorder="1" applyAlignment="1">
      <alignment horizontal="center"/>
    </xf>
    <xf numFmtId="39" fontId="9" fillId="0" borderId="0" xfId="22" quotePrefix="1" applyNumberFormat="1" applyFont="1" applyFill="1" applyBorder="1" applyAlignment="1">
      <alignment horizontal="center"/>
    </xf>
    <xf numFmtId="39" fontId="9" fillId="0" borderId="3" xfId="22" applyNumberFormat="1" applyFont="1" applyFill="1" applyBorder="1" applyAlignment="1">
      <alignment horizontal="center" wrapText="1"/>
    </xf>
    <xf numFmtId="39" fontId="11" fillId="0" borderId="0" xfId="22" applyNumberFormat="1" applyFont="1" applyFill="1" applyBorder="1" applyAlignment="1">
      <alignment horizontal="center"/>
    </xf>
    <xf numFmtId="39" fontId="11" fillId="0" borderId="0" xfId="22" quotePrefix="1" applyNumberFormat="1" applyFont="1" applyFill="1" applyBorder="1" applyAlignment="1">
      <alignment horizontal="center"/>
    </xf>
    <xf numFmtId="39" fontId="44" fillId="0" borderId="0" xfId="22" quotePrefix="1" applyNumberFormat="1" applyFont="1" applyBorder="1" applyAlignment="1">
      <alignment horizontal="center"/>
    </xf>
    <xf numFmtId="39" fontId="11" fillId="0" borderId="3" xfId="22" applyNumberFormat="1" applyFont="1" applyBorder="1" applyAlignment="1">
      <alignment horizontal="center" wrapText="1"/>
    </xf>
    <xf numFmtId="179" fontId="44" fillId="0" borderId="0" xfId="22" applyNumberFormat="1" applyFont="1" applyBorder="1" applyAlignment="1">
      <alignment horizontal="center"/>
    </xf>
    <xf numFmtId="39" fontId="44" fillId="0" borderId="0" xfId="22" applyNumberFormat="1" applyFont="1" applyBorder="1" applyAlignment="1">
      <alignment horizontal="left"/>
    </xf>
    <xf numFmtId="37" fontId="9" fillId="37" borderId="3" xfId="22" quotePrefix="1" applyNumberFormat="1" applyFont="1" applyFill="1" applyBorder="1" applyAlignment="1">
      <alignment horizontal="center"/>
    </xf>
    <xf numFmtId="39" fontId="9" fillId="37" borderId="3" xfId="22" applyNumberFormat="1" applyFont="1" applyFill="1" applyBorder="1" applyAlignment="1">
      <alignment horizontal="center"/>
    </xf>
    <xf numFmtId="39" fontId="50" fillId="0" borderId="0" xfId="22" quotePrefix="1" applyNumberFormat="1" applyFont="1" applyBorder="1" applyAlignment="1">
      <alignment horizontal="center"/>
    </xf>
    <xf numFmtId="37" fontId="9" fillId="36" borderId="5" xfId="22" quotePrefix="1" applyNumberFormat="1" applyFont="1" applyFill="1" applyBorder="1" applyAlignment="1">
      <alignment horizontal="center"/>
    </xf>
    <xf numFmtId="0" fontId="9" fillId="37" borderId="0" xfId="0" quotePrefix="1" applyNumberFormat="1" applyFont="1" applyFill="1" applyBorder="1"/>
    <xf numFmtId="0" fontId="9" fillId="37" borderId="0" xfId="0" applyFont="1" applyFill="1" applyBorder="1"/>
    <xf numFmtId="37" fontId="50" fillId="0" borderId="0" xfId="22" quotePrefix="1" applyNumberFormat="1" applyFont="1" applyBorder="1" applyAlignment="1">
      <alignment horizontal="center"/>
    </xf>
    <xf numFmtId="0" fontId="11" fillId="36" borderId="3" xfId="0" quotePrefix="1" applyNumberFormat="1" applyFont="1" applyFill="1" applyBorder="1"/>
    <xf numFmtId="0" fontId="11" fillId="36" borderId="3" xfId="0" quotePrefix="1" applyNumberFormat="1" applyFont="1" applyFill="1" applyBorder="1" applyAlignment="1">
      <alignment horizontal="left"/>
    </xf>
    <xf numFmtId="0" fontId="11" fillId="36" borderId="3" xfId="0" applyNumberFormat="1" applyFont="1" applyFill="1" applyBorder="1"/>
    <xf numFmtId="0" fontId="11" fillId="36" borderId="3" xfId="0" applyNumberFormat="1" applyFont="1" applyFill="1" applyBorder="1" applyAlignment="1">
      <alignment horizontal="left"/>
    </xf>
    <xf numFmtId="0" fontId="11" fillId="36" borderId="3" xfId="22" applyNumberFormat="1" applyFont="1" applyFill="1" applyBorder="1" applyAlignment="1">
      <alignment horizontal="left"/>
    </xf>
    <xf numFmtId="0" fontId="11" fillId="36" borderId="3" xfId="0" quotePrefix="1" applyNumberFormat="1" applyFont="1" applyFill="1" applyBorder="1" applyAlignment="1">
      <alignment horizontal="center"/>
    </xf>
    <xf numFmtId="0" fontId="11" fillId="37" borderId="3" xfId="0" applyFont="1" applyFill="1" applyBorder="1" applyAlignment="1">
      <alignment horizontal="center"/>
    </xf>
    <xf numFmtId="0" fontId="11" fillId="37" borderId="3" xfId="0" applyFont="1" applyFill="1" applyBorder="1"/>
    <xf numFmtId="39" fontId="11" fillId="37" borderId="3" xfId="22" applyNumberFormat="1" applyFont="1" applyFill="1" applyBorder="1" applyAlignment="1">
      <alignment horizontal="center"/>
    </xf>
    <xf numFmtId="0" fontId="9" fillId="37" borderId="3" xfId="0" applyFont="1" applyFill="1" applyBorder="1" applyAlignment="1">
      <alignment horizontal="center"/>
    </xf>
    <xf numFmtId="37" fontId="11" fillId="0" borderId="3" xfId="22" applyNumberFormat="1" applyFont="1" applyFill="1" applyBorder="1" applyAlignment="1">
      <alignment horizontal="center"/>
    </xf>
    <xf numFmtId="39" fontId="11" fillId="0" borderId="3" xfId="22" applyNumberFormat="1" applyFont="1" applyFill="1" applyBorder="1" applyAlignment="1">
      <alignment horizontal="center"/>
    </xf>
    <xf numFmtId="49" fontId="11" fillId="0" borderId="0" xfId="22" applyNumberFormat="1" applyFont="1" applyBorder="1" applyAlignment="1">
      <alignment horizontal="left"/>
    </xf>
    <xf numFmtId="39" fontId="11" fillId="0" borderId="3" xfId="22" applyNumberFormat="1" applyFont="1" applyBorder="1" applyAlignment="1">
      <alignment horizontal="right"/>
    </xf>
    <xf numFmtId="10" fontId="11" fillId="0" borderId="3" xfId="38" applyNumberFormat="1" applyFont="1" applyFill="1" applyBorder="1" applyAlignment="1">
      <alignment horizontal="center"/>
    </xf>
    <xf numFmtId="39" fontId="11" fillId="0" borderId="3" xfId="22" quotePrefix="1" applyNumberFormat="1" applyFont="1" applyBorder="1" applyAlignment="1">
      <alignment horizontal="center"/>
    </xf>
    <xf numFmtId="39" fontId="9" fillId="0" borderId="3" xfId="22" applyNumberFormat="1" applyFont="1" applyFill="1" applyBorder="1" applyAlignment="1">
      <alignment horizontal="right" wrapText="1"/>
    </xf>
    <xf numFmtId="0" fontId="11" fillId="37" borderId="3" xfId="0" quotePrefix="1" applyNumberFormat="1" applyFont="1" applyFill="1" applyBorder="1"/>
    <xf numFmtId="0" fontId="11" fillId="36" borderId="6" xfId="0" applyFont="1" applyFill="1" applyBorder="1" applyAlignment="1"/>
    <xf numFmtId="0" fontId="11" fillId="36" borderId="4" xfId="0" applyFont="1" applyFill="1" applyBorder="1" applyAlignment="1"/>
    <xf numFmtId="0" fontId="11" fillId="36" borderId="3" xfId="0" applyFont="1" applyFill="1" applyBorder="1"/>
    <xf numFmtId="39" fontId="11" fillId="36" borderId="3" xfId="22" applyNumberFormat="1" applyFont="1" applyFill="1" applyBorder="1" applyAlignment="1">
      <alignment horizontal="center"/>
    </xf>
    <xf numFmtId="39" fontId="11" fillId="36" borderId="3" xfId="0" applyNumberFormat="1" applyFont="1" applyFill="1" applyBorder="1" applyAlignment="1">
      <alignment horizontal="center"/>
    </xf>
    <xf numFmtId="0" fontId="9" fillId="36" borderId="3" xfId="0" quotePrefix="1" applyNumberFormat="1" applyFont="1" applyFill="1" applyBorder="1"/>
    <xf numFmtId="39" fontId="9" fillId="36" borderId="3" xfId="22" quotePrefix="1" applyNumberFormat="1" applyFont="1" applyFill="1" applyBorder="1" applyAlignment="1">
      <alignment horizontal="center"/>
    </xf>
    <xf numFmtId="0" fontId="9" fillId="36" borderId="3" xfId="0" applyNumberFormat="1" applyFont="1" applyFill="1" applyBorder="1"/>
    <xf numFmtId="37" fontId="9" fillId="0" borderId="0" xfId="22" applyNumberFormat="1" applyFont="1" applyFill="1" applyBorder="1" applyAlignment="1">
      <alignment horizontal="center"/>
    </xf>
    <xf numFmtId="0" fontId="0" fillId="36" borderId="0" xfId="0" applyFill="1" applyAlignment="1">
      <alignment horizontal="left" vertical="top" wrapText="1"/>
    </xf>
    <xf numFmtId="39" fontId="9" fillId="0" borderId="0" xfId="22" applyNumberFormat="1" applyFont="1" applyBorder="1" applyAlignment="1">
      <alignment horizontal="center"/>
    </xf>
    <xf numFmtId="39" fontId="9" fillId="0" borderId="0" xfId="22" applyNumberFormat="1" applyFont="1" applyFill="1" applyBorder="1" applyAlignment="1">
      <alignment horizontal="center"/>
    </xf>
    <xf numFmtId="39" fontId="9" fillId="37" borderId="7" xfId="22" applyNumberFormat="1" applyFont="1" applyFill="1" applyBorder="1" applyAlignment="1">
      <alignment horizontal="center"/>
    </xf>
    <xf numFmtId="39" fontId="9" fillId="37" borderId="0" xfId="22" quotePrefix="1" applyNumberFormat="1" applyFont="1" applyFill="1" applyBorder="1" applyAlignment="1">
      <alignment horizontal="center"/>
    </xf>
    <xf numFmtId="39" fontId="11" fillId="0" borderId="0" xfId="22" applyNumberFormat="1" applyFont="1" applyBorder="1" applyAlignment="1">
      <alignment horizontal="center"/>
    </xf>
    <xf numFmtId="0" fontId="12" fillId="0" borderId="0" xfId="0" quotePrefix="1" applyFont="1" applyFill="1" applyAlignment="1">
      <alignment horizontal="center"/>
    </xf>
    <xf numFmtId="164" fontId="9" fillId="0" borderId="0" xfId="0" applyNumberFormat="1" applyFont="1" applyFill="1" applyAlignment="1">
      <alignment horizontal="center"/>
    </xf>
    <xf numFmtId="164" fontId="12" fillId="0" borderId="0" xfId="0" applyNumberFormat="1" applyFont="1" applyFill="1" applyAlignment="1">
      <alignment horizontal="center"/>
    </xf>
    <xf numFmtId="164" fontId="12" fillId="36" borderId="0" xfId="0" applyNumberFormat="1" applyFont="1" applyFill="1" applyAlignment="1">
      <alignment horizontal="center"/>
    </xf>
    <xf numFmtId="0" fontId="11" fillId="0" borderId="0" xfId="0" quotePrefix="1" applyFont="1" applyFill="1" applyAlignment="1">
      <alignment horizontal="center"/>
    </xf>
    <xf numFmtId="0" fontId="11" fillId="0" borderId="0" xfId="0" applyFont="1" applyFill="1" applyAlignment="1">
      <alignment horizontal="right"/>
    </xf>
    <xf numFmtId="164" fontId="15" fillId="0" borderId="0" xfId="0" applyNumberFormat="1" applyFont="1" applyFill="1" applyAlignment="1">
      <alignment horizontal="right"/>
    </xf>
    <xf numFmtId="164" fontId="11" fillId="36" borderId="0" xfId="0" applyNumberFormat="1" applyFont="1" applyFill="1" applyAlignment="1">
      <alignment horizontal="right"/>
    </xf>
    <xf numFmtId="10" fontId="45" fillId="0" borderId="0" xfId="0" applyNumberFormat="1" applyFont="1"/>
    <xf numFmtId="164" fontId="51" fillId="0" borderId="0" xfId="0" applyNumberFormat="1" applyFont="1"/>
    <xf numFmtId="0" fontId="47" fillId="0" borderId="0" xfId="0" applyFont="1" applyAlignment="1">
      <alignment horizontal="center"/>
    </xf>
    <xf numFmtId="3" fontId="45" fillId="36" borderId="0" xfId="0" applyNumberFormat="1" applyFont="1" applyFill="1"/>
    <xf numFmtId="3" fontId="45" fillId="0" borderId="0" xfId="0" applyNumberFormat="1" applyFont="1"/>
    <xf numFmtId="0" fontId="43" fillId="0" borderId="0" xfId="0" applyFont="1"/>
    <xf numFmtId="0" fontId="52" fillId="0" borderId="0" xfId="0" applyFont="1" applyAlignment="1">
      <alignment horizontal="left" indent="1"/>
    </xf>
    <xf numFmtId="10" fontId="52" fillId="0" borderId="0" xfId="0" applyNumberFormat="1" applyFont="1"/>
    <xf numFmtId="0" fontId="52" fillId="0" borderId="0" xfId="0" applyFont="1"/>
    <xf numFmtId="0" fontId="52" fillId="0" borderId="0" xfId="0" applyFont="1" applyAlignment="1">
      <alignment horizontal="right"/>
    </xf>
    <xf numFmtId="0" fontId="17" fillId="0" borderId="0" xfId="27" applyAlignment="1" applyProtection="1"/>
    <xf numFmtId="0" fontId="15" fillId="0" borderId="0" xfId="0" applyFont="1" applyFill="1" applyAlignment="1">
      <alignment horizontal="center"/>
    </xf>
    <xf numFmtId="168" fontId="11" fillId="0" borderId="0" xfId="0" applyNumberFormat="1" applyFont="1" applyFill="1" applyAlignment="1">
      <alignment horizontal="right"/>
    </xf>
    <xf numFmtId="0" fontId="11" fillId="0" borderId="0" xfId="0" applyFont="1" applyFill="1" applyAlignment="1">
      <alignment horizontal="left" indent="2"/>
    </xf>
    <xf numFmtId="0" fontId="0" fillId="0" borderId="0" xfId="0" applyFill="1" applyAlignment="1">
      <alignment horizontal="left" indent="2"/>
    </xf>
    <xf numFmtId="0" fontId="11" fillId="0" borderId="0" xfId="0" applyFont="1" applyFill="1" applyAlignment="1">
      <alignment horizontal="left" indent="3"/>
    </xf>
    <xf numFmtId="164" fontId="45" fillId="36" borderId="0" xfId="0" applyNumberFormat="1" applyFont="1" applyFill="1" applyAlignment="1">
      <alignment horizontal="right"/>
    </xf>
    <xf numFmtId="166" fontId="45" fillId="0" borderId="0" xfId="0" quotePrefix="1" applyNumberFormat="1" applyFont="1" applyAlignment="1">
      <alignment horizontal="right"/>
    </xf>
    <xf numFmtId="168" fontId="15" fillId="0" borderId="0" xfId="0" applyNumberFormat="1" applyFont="1"/>
    <xf numFmtId="49" fontId="0" fillId="0" borderId="0" xfId="0" applyNumberFormat="1" applyAlignment="1">
      <alignment horizontal="center"/>
    </xf>
    <xf numFmtId="49" fontId="48" fillId="0" borderId="0" xfId="0" applyNumberFormat="1" applyFont="1" applyAlignment="1">
      <alignment horizontal="center"/>
    </xf>
    <xf numFmtId="0" fontId="0" fillId="0" borderId="0" xfId="0" applyFont="1"/>
    <xf numFmtId="164" fontId="11" fillId="36" borderId="0" xfId="23" applyNumberFormat="1" applyFont="1" applyFill="1" applyAlignment="1">
      <alignment horizontal="right"/>
    </xf>
    <xf numFmtId="49" fontId="0" fillId="0" borderId="0" xfId="0" applyNumberFormat="1" applyAlignment="1">
      <alignment horizontal="left" indent="1"/>
    </xf>
    <xf numFmtId="0" fontId="53" fillId="0" borderId="0" xfId="0" applyFont="1" applyAlignment="1">
      <alignment horizontal="center" vertical="top"/>
    </xf>
    <xf numFmtId="0" fontId="11" fillId="0" borderId="0" xfId="0" applyFont="1" applyAlignment="1">
      <alignment horizontal="left" wrapText="1"/>
    </xf>
    <xf numFmtId="49" fontId="52" fillId="0" borderId="0" xfId="0" applyNumberFormat="1" applyFont="1" applyAlignment="1">
      <alignment horizontal="left" indent="1"/>
    </xf>
    <xf numFmtId="0" fontId="52" fillId="0" borderId="0" xfId="0" applyFont="1" applyAlignment="1">
      <alignment horizontal="left" wrapText="1"/>
    </xf>
    <xf numFmtId="164" fontId="11" fillId="0" borderId="0" xfId="23" applyNumberFormat="1" applyFont="1" applyFill="1" applyAlignment="1">
      <alignment horizontal="right"/>
    </xf>
    <xf numFmtId="0" fontId="53" fillId="0" borderId="0" xfId="0" applyFont="1" applyAlignment="1">
      <alignment horizontal="center"/>
    </xf>
    <xf numFmtId="180" fontId="0" fillId="0" borderId="0" xfId="23" applyNumberFormat="1" applyFont="1"/>
    <xf numFmtId="0" fontId="0" fillId="0" borderId="0" xfId="0" applyFont="1" applyBorder="1"/>
    <xf numFmtId="164" fontId="30" fillId="0" borderId="0" xfId="0" applyNumberFormat="1" applyFont="1" applyBorder="1"/>
    <xf numFmtId="164" fontId="0" fillId="0" borderId="0" xfId="0" applyNumberFormat="1" applyFont="1" applyAlignment="1">
      <alignment horizontal="right"/>
    </xf>
    <xf numFmtId="164" fontId="42" fillId="36" borderId="0" xfId="23" applyNumberFormat="1" applyFont="1" applyFill="1" applyAlignment="1">
      <alignment horizontal="right"/>
    </xf>
    <xf numFmtId="164" fontId="0" fillId="0" borderId="0" xfId="0" applyNumberFormat="1" applyFont="1" applyFill="1" applyAlignment="1">
      <alignment horizontal="right"/>
    </xf>
    <xf numFmtId="3" fontId="0" fillId="0" borderId="0" xfId="23" applyNumberFormat="1" applyFont="1" applyBorder="1" applyAlignment="1">
      <alignment horizontal="right"/>
    </xf>
    <xf numFmtId="49" fontId="52" fillId="0" borderId="0" xfId="0" quotePrefix="1" applyNumberFormat="1" applyFont="1" applyAlignment="1">
      <alignment horizontal="left" indent="1"/>
    </xf>
    <xf numFmtId="49" fontId="11" fillId="0" borderId="0" xfId="0" applyNumberFormat="1" applyFont="1" applyAlignment="1">
      <alignment horizontal="left" indent="1"/>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9" fillId="36" borderId="0" xfId="0" applyFont="1" applyFill="1" applyAlignment="1">
      <alignment horizontal="left"/>
    </xf>
    <xf numFmtId="0" fontId="0" fillId="0" borderId="0" xfId="0" quotePrefix="1" applyFont="1" applyFill="1" applyAlignment="1">
      <alignment horizontal="left" indent="1"/>
    </xf>
    <xf numFmtId="0" fontId="9" fillId="0" borderId="0" xfId="0" applyFont="1" applyFill="1" applyAlignment="1">
      <alignment horizontal="left"/>
    </xf>
    <xf numFmtId="0" fontId="44" fillId="0" borderId="0" xfId="0" applyFont="1" applyAlignment="1">
      <alignment horizontal="left" indent="1"/>
    </xf>
    <xf numFmtId="0" fontId="12" fillId="0" borderId="0" xfId="0" applyFont="1" applyAlignment="1">
      <alignment horizontal="left" indent="1"/>
    </xf>
    <xf numFmtId="0" fontId="9"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0" fontId="9" fillId="34" borderId="0" xfId="28" applyFont="1" applyFill="1"/>
    <xf numFmtId="10" fontId="0" fillId="0" borderId="3" xfId="0" applyNumberFormat="1" applyBorder="1"/>
    <xf numFmtId="164" fontId="0" fillId="0" borderId="3" xfId="0" applyNumberFormat="1" applyBorder="1"/>
    <xf numFmtId="3" fontId="0" fillId="0" borderId="3" xfId="0" applyNumberFormat="1" applyBorder="1"/>
    <xf numFmtId="166" fontId="0" fillId="0" borderId="0" xfId="0" applyNumberFormat="1" applyAlignment="1">
      <alignment horizontal="center"/>
    </xf>
    <xf numFmtId="164" fontId="0" fillId="0" borderId="0" xfId="0" applyNumberFormat="1" applyBorder="1"/>
    <xf numFmtId="3" fontId="0" fillId="0" borderId="0" xfId="0" applyNumberFormat="1" applyBorder="1"/>
    <xf numFmtId="166" fontId="0" fillId="0" borderId="0" xfId="0" applyNumberFormat="1" applyBorder="1" applyAlignment="1">
      <alignment horizontal="center"/>
    </xf>
    <xf numFmtId="164" fontId="0" fillId="0" borderId="8" xfId="0" applyNumberFormat="1" applyFill="1" applyBorder="1"/>
    <xf numFmtId="3" fontId="0" fillId="0" borderId="8" xfId="0" applyNumberFormat="1" applyFill="1" applyBorder="1"/>
    <xf numFmtId="0" fontId="0" fillId="0" borderId="8" xfId="0" applyBorder="1" applyAlignment="1">
      <alignment horizontal="center"/>
    </xf>
    <xf numFmtId="166" fontId="0" fillId="0" borderId="0" xfId="0" applyNumberFormat="1" applyFill="1" applyAlignment="1">
      <alignment horizontal="center"/>
    </xf>
    <xf numFmtId="181" fontId="9" fillId="0" borderId="0" xfId="35" applyNumberFormat="1" applyFont="1" applyFill="1" applyAlignment="1">
      <alignment horizontal="left"/>
    </xf>
    <xf numFmtId="164" fontId="0" fillId="0" borderId="0" xfId="0" applyNumberFormat="1" applyAlignment="1">
      <alignment horizontal="right"/>
    </xf>
    <xf numFmtId="175" fontId="0" fillId="0" borderId="0" xfId="0" applyNumberFormat="1" applyFill="1" applyAlignment="1">
      <alignment horizontal="center"/>
    </xf>
    <xf numFmtId="175" fontId="0" fillId="0" borderId="0" xfId="0" quotePrefix="1" applyNumberFormat="1" applyFill="1" applyAlignment="1">
      <alignment horizontal="center"/>
    </xf>
    <xf numFmtId="164" fontId="0" fillId="0" borderId="8" xfId="0" applyNumberFormat="1" applyBorder="1"/>
    <xf numFmtId="164" fontId="0" fillId="0" borderId="8" xfId="0" applyNumberFormat="1" applyBorder="1" applyAlignment="1">
      <alignment horizontal="right"/>
    </xf>
    <xf numFmtId="175" fontId="0" fillId="0" borderId="8" xfId="0" applyNumberFormat="1" applyFill="1" applyBorder="1" applyAlignment="1">
      <alignment horizontal="center"/>
    </xf>
    <xf numFmtId="166" fontId="0" fillId="0" borderId="8" xfId="0" applyNumberFormat="1" applyFill="1" applyBorder="1" applyAlignment="1">
      <alignment horizontal="center"/>
    </xf>
    <xf numFmtId="175" fontId="0" fillId="0" borderId="8" xfId="0" quotePrefix="1" applyNumberFormat="1" applyFill="1" applyBorder="1" applyAlignment="1">
      <alignment horizontal="center"/>
    </xf>
    <xf numFmtId="183" fontId="0" fillId="0" borderId="0" xfId="0" applyNumberFormat="1" applyFill="1"/>
    <xf numFmtId="183" fontId="15" fillId="0" borderId="0" xfId="0" applyNumberFormat="1" applyFont="1" applyFill="1"/>
    <xf numFmtId="10" fontId="0" fillId="0" borderId="3" xfId="39" applyNumberFormat="1" applyFont="1" applyBorder="1"/>
    <xf numFmtId="0" fontId="46" fillId="0" borderId="0" xfId="0" applyFont="1"/>
    <xf numFmtId="0" fontId="45" fillId="36" borderId="0" xfId="0" applyFont="1" applyFill="1"/>
    <xf numFmtId="0" fontId="12" fillId="0" borderId="0" xfId="28" applyNumberFormat="1" applyFont="1" applyFill="1" applyBorder="1" applyAlignment="1">
      <alignment horizontal="left"/>
    </xf>
    <xf numFmtId="0" fontId="12" fillId="0" borderId="0" xfId="28" applyNumberFormat="1" applyFont="1" applyFill="1" applyBorder="1" applyAlignment="1">
      <alignment horizontal="center"/>
    </xf>
    <xf numFmtId="3" fontId="12" fillId="0" borderId="0" xfId="28" applyNumberFormat="1" applyFont="1" applyFill="1" applyBorder="1" applyAlignment="1">
      <alignment horizontal="center"/>
    </xf>
    <xf numFmtId="164" fontId="51" fillId="36" borderId="0" xfId="0" applyNumberFormat="1" applyFont="1" applyFill="1"/>
    <xf numFmtId="0" fontId="47" fillId="0" borderId="0" xfId="0" applyFont="1"/>
    <xf numFmtId="0" fontId="9" fillId="36" borderId="0" xfId="0" quotePrefix="1" applyFont="1" applyFill="1" applyAlignment="1">
      <alignment vertical="center"/>
    </xf>
    <xf numFmtId="164" fontId="11" fillId="36" borderId="8" xfId="0" applyNumberFormat="1" applyFont="1" applyFill="1" applyBorder="1"/>
    <xf numFmtId="164" fontId="48" fillId="0" borderId="0" xfId="0" applyNumberFormat="1" applyFont="1" applyAlignment="1">
      <alignment horizontal="center"/>
    </xf>
    <xf numFmtId="165" fontId="8" fillId="34" borderId="0" xfId="0" applyNumberFormat="1" applyFont="1" applyFill="1"/>
    <xf numFmtId="165" fontId="8" fillId="0" borderId="0" xfId="0" applyNumberFormat="1" applyFont="1" applyFill="1"/>
    <xf numFmtId="168" fontId="9" fillId="0" borderId="0" xfId="0" applyNumberFormat="1" applyFont="1" applyFill="1" applyAlignment="1">
      <alignment horizontal="center"/>
    </xf>
    <xf numFmtId="37" fontId="9" fillId="0" borderId="3" xfId="22" applyNumberFormat="1" applyFont="1" applyBorder="1" applyAlignment="1">
      <alignment horizontal="center"/>
    </xf>
    <xf numFmtId="37" fontId="9" fillId="36" borderId="3" xfId="22" applyNumberFormat="1" applyFont="1" applyFill="1" applyBorder="1" applyAlignment="1">
      <alignment horizontal="center"/>
    </xf>
    <xf numFmtId="37" fontId="9" fillId="0" borderId="3" xfId="22" applyNumberFormat="1" applyFont="1" applyFill="1" applyBorder="1" applyAlignment="1">
      <alignment horizontal="center"/>
    </xf>
    <xf numFmtId="37" fontId="9" fillId="0" borderId="3" xfId="0" applyNumberFormat="1" applyFont="1" applyBorder="1" applyAlignment="1">
      <alignment horizontal="center"/>
    </xf>
    <xf numFmtId="37" fontId="9" fillId="37" borderId="3" xfId="0" applyNumberFormat="1" applyFont="1" applyFill="1" applyBorder="1" applyAlignment="1">
      <alignment horizontal="center"/>
    </xf>
    <xf numFmtId="164" fontId="11" fillId="0" borderId="0" xfId="19" applyNumberFormat="1" applyFont="1" applyBorder="1" applyAlignment="1">
      <alignment horizontal="center"/>
    </xf>
    <xf numFmtId="37" fontId="9" fillId="0" borderId="0" xfId="0" applyNumberFormat="1" applyFont="1" applyBorder="1" applyAlignment="1">
      <alignment horizontal="center"/>
    </xf>
    <xf numFmtId="164" fontId="15" fillId="36" borderId="0" xfId="0" applyNumberFormat="1" applyFont="1" applyFill="1" applyAlignment="1">
      <alignment horizontal="right"/>
    </xf>
    <xf numFmtId="0" fontId="11" fillId="36" borderId="0" xfId="0" applyFont="1" applyFill="1" applyAlignment="1">
      <alignment horizontal="right"/>
    </xf>
    <xf numFmtId="164" fontId="0" fillId="0" borderId="0" xfId="0" applyNumberFormat="1" applyAlignment="1">
      <alignment horizontal="center"/>
    </xf>
    <xf numFmtId="0" fontId="9" fillId="0" borderId="0" xfId="28" applyFont="1" applyAlignment="1">
      <alignment horizontal="left" vertical="center"/>
    </xf>
    <xf numFmtId="0" fontId="11" fillId="0" borderId="0" xfId="28"/>
    <xf numFmtId="0" fontId="41" fillId="0" borderId="0" xfId="28" applyFont="1" applyFill="1" applyAlignment="1">
      <alignment horizontal="left"/>
    </xf>
    <xf numFmtId="0" fontId="41" fillId="0" borderId="0" xfId="28" applyFont="1" applyFill="1" applyAlignment="1">
      <alignment horizontal="center"/>
    </xf>
    <xf numFmtId="0" fontId="41" fillId="0" borderId="0" xfId="28" applyNumberFormat="1" applyFont="1" applyFill="1" applyAlignment="1">
      <alignment horizontal="center"/>
    </xf>
    <xf numFmtId="0" fontId="41" fillId="0" borderId="0" xfId="28" applyFont="1" applyAlignment="1">
      <alignment horizontal="center"/>
    </xf>
    <xf numFmtId="0" fontId="9" fillId="0" borderId="0" xfId="28" applyFont="1" applyAlignment="1">
      <alignment horizontal="left"/>
    </xf>
    <xf numFmtId="0" fontId="41" fillId="36" borderId="0" xfId="28" applyNumberFormat="1" applyFont="1" applyFill="1" applyAlignment="1">
      <alignment horizontal="center"/>
    </xf>
    <xf numFmtId="0" fontId="9" fillId="0" borderId="0" xfId="28" applyFont="1" applyAlignment="1">
      <alignment vertical="top"/>
    </xf>
    <xf numFmtId="0" fontId="9" fillId="0" borderId="0" xfId="28" applyFont="1" applyAlignment="1">
      <alignment horizontal="left" vertical="top"/>
    </xf>
    <xf numFmtId="0" fontId="9" fillId="0" borderId="0" xfId="28" applyFont="1" applyAlignment="1">
      <alignment horizontal="center" vertical="top"/>
    </xf>
    <xf numFmtId="0" fontId="9" fillId="0" borderId="0" xfId="28" applyFont="1" applyFill="1" applyAlignment="1">
      <alignment horizontal="center" vertical="top"/>
    </xf>
    <xf numFmtId="0" fontId="9" fillId="0" borderId="0" xfId="28" applyNumberFormat="1" applyFont="1" applyFill="1" applyAlignment="1">
      <alignment horizontal="center" vertical="top"/>
    </xf>
    <xf numFmtId="0" fontId="41" fillId="0" borderId="0" xfId="28" applyFont="1" applyAlignment="1">
      <alignment horizontal="center" vertical="top"/>
    </xf>
    <xf numFmtId="0" fontId="9" fillId="0" borderId="0" xfId="28" applyFont="1" applyAlignment="1"/>
    <xf numFmtId="0" fontId="9" fillId="0" borderId="0" xfId="28" applyFont="1" applyFill="1" applyAlignment="1">
      <alignment horizontal="center"/>
    </xf>
    <xf numFmtId="0" fontId="9" fillId="0" borderId="0" xfId="28" applyNumberFormat="1" applyFont="1" applyFill="1" applyAlignment="1">
      <alignment horizontal="center"/>
    </xf>
    <xf numFmtId="0" fontId="12" fillId="0" borderId="0" xfId="0" quotePrefix="1" applyFont="1" applyAlignment="1">
      <alignment horizontal="center" vertical="top"/>
    </xf>
    <xf numFmtId="0" fontId="12" fillId="0" borderId="0" xfId="0" quotePrefix="1" applyNumberFormat="1" applyFont="1" applyAlignment="1">
      <alignment horizontal="center" vertical="top"/>
    </xf>
    <xf numFmtId="0" fontId="11" fillId="0" borderId="0" xfId="28" quotePrefix="1" applyFont="1" applyFill="1" applyAlignment="1">
      <alignment horizontal="center" vertical="center"/>
    </xf>
    <xf numFmtId="0" fontId="11" fillId="0" borderId="0" xfId="28" applyNumberFormat="1" applyFont="1" applyFill="1" applyAlignment="1">
      <alignment horizontal="center" vertical="center"/>
    </xf>
    <xf numFmtId="0" fontId="9" fillId="0" borderId="0" xfId="28" applyFont="1" applyAlignment="1">
      <alignment horizontal="center" vertical="center"/>
    </xf>
    <xf numFmtId="0" fontId="11" fillId="0" borderId="0" xfId="28" quotePrefix="1" applyFont="1" applyFill="1" applyAlignment="1">
      <alignment horizontal="center"/>
    </xf>
    <xf numFmtId="167" fontId="11" fillId="0" borderId="0" xfId="28" applyNumberFormat="1" applyFill="1"/>
    <xf numFmtId="43" fontId="29" fillId="0" borderId="0" xfId="0" applyNumberFormat="1" applyFont="1"/>
    <xf numFmtId="0" fontId="29" fillId="0" borderId="0" xfId="0" applyNumberFormat="1" applyFont="1"/>
    <xf numFmtId="0" fontId="11" fillId="0" borderId="0" xfId="28" applyAlignment="1">
      <alignment horizontal="center"/>
    </xf>
    <xf numFmtId="167" fontId="11" fillId="0" borderId="0" xfId="22" applyNumberFormat="1"/>
    <xf numFmtId="167" fontId="11" fillId="0" borderId="0" xfId="28" applyNumberFormat="1"/>
    <xf numFmtId="0" fontId="9" fillId="0" borderId="0" xfId="28" applyFont="1" applyBorder="1" applyAlignment="1"/>
    <xf numFmtId="0" fontId="9" fillId="0" borderId="3" xfId="28" applyFont="1" applyFill="1" applyBorder="1" applyAlignment="1">
      <alignment horizontal="center"/>
    </xf>
    <xf numFmtId="0" fontId="9" fillId="0" borderId="6" xfId="28" applyNumberFormat="1" applyFont="1" applyFill="1" applyBorder="1" applyAlignment="1">
      <alignment horizontal="center"/>
    </xf>
    <xf numFmtId="0" fontId="9" fillId="0" borderId="3" xfId="28" applyFont="1" applyBorder="1" applyAlignment="1">
      <alignment horizontal="center"/>
    </xf>
    <xf numFmtId="0" fontId="9" fillId="0" borderId="3" xfId="28" applyNumberFormat="1" applyFont="1" applyBorder="1" applyAlignment="1">
      <alignment horizontal="center"/>
    </xf>
    <xf numFmtId="0" fontId="12" fillId="0" borderId="0" xfId="28" applyFont="1" applyBorder="1" applyAlignment="1"/>
    <xf numFmtId="0" fontId="9" fillId="0" borderId="0" xfId="28" applyFont="1" applyBorder="1" applyAlignment="1">
      <alignment horizontal="center"/>
    </xf>
    <xf numFmtId="0" fontId="9" fillId="0" borderId="0" xfId="28" applyNumberFormat="1" applyFont="1" applyBorder="1" applyAlignment="1">
      <alignment horizontal="center"/>
    </xf>
    <xf numFmtId="167" fontId="11" fillId="0" borderId="0" xfId="28" applyNumberFormat="1" applyFill="1" applyBorder="1"/>
    <xf numFmtId="0" fontId="11" fillId="36" borderId="0" xfId="22" applyNumberFormat="1" applyFont="1" applyFill="1" applyBorder="1" applyAlignment="1">
      <alignment horizontal="center"/>
    </xf>
    <xf numFmtId="167" fontId="11" fillId="0" borderId="0" xfId="28" applyNumberFormat="1" applyBorder="1" applyAlignment="1">
      <alignment horizontal="center"/>
    </xf>
    <xf numFmtId="167" fontId="11" fillId="0" borderId="0" xfId="28" applyNumberFormat="1" applyBorder="1"/>
    <xf numFmtId="0" fontId="11" fillId="0" borderId="0" xfId="28" applyBorder="1"/>
    <xf numFmtId="0" fontId="0" fillId="0" borderId="0" xfId="0" quotePrefix="1" applyFill="1"/>
    <xf numFmtId="0" fontId="11" fillId="36" borderId="0" xfId="28" applyFill="1"/>
    <xf numFmtId="0" fontId="11" fillId="36" borderId="0" xfId="28" applyNumberFormat="1" applyFill="1"/>
    <xf numFmtId="0" fontId="11" fillId="0" borderId="0" xfId="28" applyFill="1" applyBorder="1"/>
    <xf numFmtId="167" fontId="11" fillId="0" borderId="0" xfId="28" applyNumberFormat="1" applyFont="1" applyFill="1" applyBorder="1"/>
    <xf numFmtId="0" fontId="24" fillId="36" borderId="0" xfId="22" applyNumberFormat="1" applyFont="1" applyFill="1" applyBorder="1" applyAlignment="1">
      <alignment horizontal="center"/>
    </xf>
    <xf numFmtId="167" fontId="11" fillId="0" borderId="0" xfId="28" applyNumberFormat="1" applyFont="1" applyBorder="1" applyAlignment="1">
      <alignment horizontal="center"/>
    </xf>
    <xf numFmtId="167" fontId="11" fillId="0" borderId="0" xfId="28" applyNumberFormat="1" applyFont="1" applyBorder="1"/>
    <xf numFmtId="0" fontId="0" fillId="36" borderId="0" xfId="0" quotePrefix="1" applyFill="1"/>
    <xf numFmtId="167" fontId="11" fillId="36" borderId="0" xfId="28" quotePrefix="1" applyNumberFormat="1" applyFont="1" applyFill="1" applyBorder="1" applyAlignment="1">
      <alignment horizontal="center"/>
    </xf>
    <xf numFmtId="167" fontId="24" fillId="0" borderId="0" xfId="28" applyNumberFormat="1" applyFont="1" applyFill="1" applyBorder="1"/>
    <xf numFmtId="167" fontId="11" fillId="0" borderId="8" xfId="28" applyNumberFormat="1" applyBorder="1" applyAlignment="1">
      <alignment horizontal="center"/>
    </xf>
    <xf numFmtId="167" fontId="11" fillId="0" borderId="8" xfId="28" quotePrefix="1" applyNumberFormat="1" applyFont="1" applyFill="1" applyBorder="1" applyAlignment="1">
      <alignment horizontal="center"/>
    </xf>
    <xf numFmtId="167" fontId="11" fillId="0" borderId="8" xfId="28" applyNumberFormat="1" applyFont="1" applyFill="1" applyBorder="1" applyAlignment="1">
      <alignment horizontal="center"/>
    </xf>
    <xf numFmtId="0" fontId="9" fillId="0" borderId="0" xfId="28" applyFont="1" applyBorder="1"/>
    <xf numFmtId="167" fontId="11" fillId="0" borderId="0" xfId="22" applyNumberFormat="1" applyFont="1" applyFill="1" applyBorder="1"/>
    <xf numFmtId="0" fontId="11" fillId="0" borderId="0" xfId="22" applyNumberFormat="1" applyFont="1" applyFill="1" applyBorder="1" applyAlignment="1">
      <alignment horizontal="center"/>
    </xf>
    <xf numFmtId="167" fontId="11" fillId="0" borderId="0" xfId="22" applyNumberFormat="1" applyFont="1" applyBorder="1"/>
    <xf numFmtId="167" fontId="11" fillId="0" borderId="0" xfId="22" applyNumberFormat="1" applyBorder="1"/>
    <xf numFmtId="0" fontId="9" fillId="0" borderId="0" xfId="28" applyFont="1" applyFill="1" applyBorder="1"/>
    <xf numFmtId="167" fontId="11" fillId="0" borderId="0" xfId="22" applyNumberFormat="1" applyFont="1" applyFill="1" applyBorder="1" applyAlignment="1">
      <alignment horizontal="center"/>
    </xf>
    <xf numFmtId="167" fontId="11" fillId="0" borderId="0" xfId="22" applyNumberFormat="1" applyFill="1" applyBorder="1"/>
    <xf numFmtId="0" fontId="12" fillId="0" borderId="0" xfId="28" applyFont="1" applyBorder="1"/>
    <xf numFmtId="167" fontId="11" fillId="0" borderId="8" xfId="28" applyNumberFormat="1" applyBorder="1"/>
    <xf numFmtId="0" fontId="11" fillId="0" borderId="0" xfId="22" applyNumberFormat="1" applyFont="1" applyFill="1" applyBorder="1"/>
    <xf numFmtId="0" fontId="11" fillId="0" borderId="0" xfId="28" applyNumberFormat="1" applyFont="1" applyFill="1" applyBorder="1"/>
    <xf numFmtId="0" fontId="11" fillId="0" borderId="0" xfId="28" applyNumberFormat="1" applyFill="1" applyBorder="1"/>
    <xf numFmtId="0" fontId="11" fillId="0" borderId="0" xfId="28" applyBorder="1" applyAlignment="1">
      <alignment horizontal="center"/>
    </xf>
    <xf numFmtId="164" fontId="11" fillId="36" borderId="0" xfId="28" applyNumberFormat="1" applyFont="1" applyFill="1" applyBorder="1" applyAlignment="1">
      <alignment vertical="top" wrapText="1"/>
    </xf>
    <xf numFmtId="167" fontId="11" fillId="0" borderId="0" xfId="28" applyNumberFormat="1" applyFont="1" applyFill="1" applyBorder="1" applyAlignment="1"/>
    <xf numFmtId="167" fontId="9" fillId="0" borderId="0" xfId="28" applyNumberFormat="1" applyFont="1" applyBorder="1" applyAlignment="1">
      <alignment horizontal="center"/>
    </xf>
    <xf numFmtId="167" fontId="9" fillId="0" borderId="0" xfId="28" applyNumberFormat="1" applyFont="1" applyBorder="1"/>
    <xf numFmtId="164" fontId="11" fillId="36" borderId="0" xfId="28" applyNumberFormat="1" applyFill="1" applyBorder="1" applyAlignment="1">
      <alignment vertical="top" wrapText="1"/>
    </xf>
    <xf numFmtId="0" fontId="9" fillId="0" borderId="0" xfId="28" applyFont="1" applyBorder="1" applyAlignment="1">
      <alignment horizontal="right"/>
    </xf>
    <xf numFmtId="0" fontId="9" fillId="0" borderId="0" xfId="28" applyFont="1" applyFill="1" applyBorder="1" applyAlignment="1">
      <alignment horizontal="right"/>
    </xf>
    <xf numFmtId="167" fontId="9" fillId="0" borderId="3" xfId="22" applyNumberFormat="1" applyFont="1" applyFill="1" applyBorder="1" applyAlignment="1">
      <alignment horizontal="center" wrapText="1"/>
    </xf>
    <xf numFmtId="171" fontId="9" fillId="0" borderId="0" xfId="37" applyNumberFormat="1" applyFont="1" applyFill="1" applyBorder="1" applyAlignment="1">
      <alignment horizontal="center" wrapText="1"/>
    </xf>
    <xf numFmtId="167" fontId="11" fillId="0" borderId="0" xfId="22" applyNumberFormat="1" applyFont="1" applyFill="1" applyBorder="1" applyAlignment="1">
      <alignment horizontal="center" wrapText="1"/>
    </xf>
    <xf numFmtId="0" fontId="11" fillId="0" borderId="0" xfId="28" applyFill="1"/>
    <xf numFmtId="167" fontId="11" fillId="0" borderId="8" xfId="28" applyNumberFormat="1" applyFont="1" applyFill="1" applyBorder="1"/>
    <xf numFmtId="167" fontId="11" fillId="0" borderId="8" xfId="22" applyNumberFormat="1" applyFont="1" applyFill="1" applyBorder="1" applyAlignment="1">
      <alignment horizontal="center" wrapText="1"/>
    </xf>
    <xf numFmtId="0" fontId="11" fillId="0" borderId="0" xfId="39" applyNumberFormat="1" applyFont="1" applyFill="1" applyBorder="1" applyAlignment="1">
      <alignment horizontal="center" wrapText="1"/>
    </xf>
    <xf numFmtId="171" fontId="11" fillId="0" borderId="0" xfId="39" applyNumberFormat="1" applyFont="1" applyFill="1" applyBorder="1" applyAlignment="1">
      <alignment horizontal="center" wrapText="1"/>
    </xf>
    <xf numFmtId="167" fontId="54" fillId="0" borderId="0" xfId="28" applyNumberFormat="1" applyFont="1"/>
    <xf numFmtId="0" fontId="54" fillId="0" borderId="0" xfId="28" applyFont="1" applyFill="1"/>
    <xf numFmtId="0" fontId="54" fillId="0" borderId="0" xfId="28" applyFont="1"/>
    <xf numFmtId="167" fontId="9" fillId="0" borderId="0" xfId="22" applyNumberFormat="1" applyFont="1" applyFill="1" applyBorder="1"/>
    <xf numFmtId="0" fontId="9" fillId="0" borderId="0" xfId="39" applyNumberFormat="1" applyFont="1" applyFill="1" applyBorder="1" applyAlignment="1">
      <alignment horizontal="center" wrapText="1"/>
    </xf>
    <xf numFmtId="171" fontId="9" fillId="0" borderId="0" xfId="39" applyNumberFormat="1" applyFont="1" applyFill="1" applyBorder="1" applyAlignment="1">
      <alignment horizontal="center" wrapText="1"/>
    </xf>
    <xf numFmtId="167" fontId="24" fillId="0" borderId="0" xfId="22" applyNumberFormat="1" applyFont="1" applyFill="1" applyBorder="1" applyAlignment="1">
      <alignment horizontal="center" wrapText="1"/>
    </xf>
    <xf numFmtId="167" fontId="9" fillId="0" borderId="0" xfId="22" applyNumberFormat="1" applyFont="1" applyBorder="1"/>
    <xf numFmtId="0" fontId="11" fillId="0" borderId="0" xfId="28" applyNumberFormat="1" applyFill="1"/>
    <xf numFmtId="0" fontId="12" fillId="0" borderId="0" xfId="28" applyFont="1" applyBorder="1" applyAlignment="1">
      <alignment vertical="top" wrapText="1"/>
    </xf>
    <xf numFmtId="0" fontId="11" fillId="36" borderId="0" xfId="28" applyFill="1" applyAlignment="1">
      <alignment horizontal="center"/>
    </xf>
    <xf numFmtId="167" fontId="11" fillId="36" borderId="0" xfId="22" applyNumberFormat="1" applyFill="1"/>
    <xf numFmtId="0" fontId="11" fillId="36" borderId="0" xfId="28" applyFont="1" applyFill="1" applyBorder="1" applyAlignment="1" applyProtection="1">
      <alignment horizontal="left" indent="1"/>
      <protection locked="0"/>
    </xf>
    <xf numFmtId="164" fontId="11" fillId="36" borderId="0" xfId="22" applyNumberFormat="1" applyFill="1" applyBorder="1"/>
    <xf numFmtId="164" fontId="24" fillId="36" borderId="0" xfId="22" applyNumberFormat="1" applyFont="1" applyFill="1" applyBorder="1"/>
    <xf numFmtId="164" fontId="11" fillId="36" borderId="0" xfId="22" applyNumberFormat="1" applyFont="1" applyFill="1" applyBorder="1"/>
    <xf numFmtId="164" fontId="11" fillId="0" borderId="0" xfId="28" applyNumberFormat="1" applyFont="1" applyFill="1" applyBorder="1"/>
    <xf numFmtId="164" fontId="11" fillId="0" borderId="0" xfId="28" applyNumberFormat="1" applyFill="1" applyBorder="1"/>
    <xf numFmtId="164" fontId="11" fillId="0" borderId="0" xfId="28" applyNumberFormat="1" applyBorder="1" applyAlignment="1">
      <alignment horizontal="center"/>
    </xf>
    <xf numFmtId="164" fontId="11" fillId="0" borderId="0" xfId="28" applyNumberFormat="1" applyFill="1" applyBorder="1" applyAlignment="1">
      <alignment horizontal="center"/>
    </xf>
    <xf numFmtId="164" fontId="11" fillId="0" borderId="0" xfId="28" applyNumberFormat="1" applyFont="1" applyBorder="1" applyAlignment="1">
      <alignment horizontal="center"/>
    </xf>
    <xf numFmtId="164" fontId="11" fillId="0" borderId="0" xfId="28" applyNumberFormat="1" applyFont="1" applyFill="1" applyBorder="1" applyAlignment="1">
      <alignment horizontal="center"/>
    </xf>
    <xf numFmtId="164" fontId="11" fillId="0" borderId="8" xfId="28" applyNumberFormat="1" applyFont="1" applyFill="1" applyBorder="1" applyAlignment="1">
      <alignment horizontal="center"/>
    </xf>
    <xf numFmtId="164" fontId="11" fillId="0" borderId="0" xfId="22" applyNumberFormat="1" applyFont="1" applyBorder="1" applyAlignment="1">
      <alignment horizontal="center"/>
    </xf>
    <xf numFmtId="164" fontId="11" fillId="0" borderId="0" xfId="22" applyNumberFormat="1" applyFont="1" applyFill="1" applyBorder="1"/>
    <xf numFmtId="164" fontId="11" fillId="0" borderId="0" xfId="22" applyNumberFormat="1" applyFont="1" applyFill="1" applyBorder="1" applyAlignment="1">
      <alignment horizontal="center"/>
    </xf>
    <xf numFmtId="164" fontId="11" fillId="0" borderId="0" xfId="22" applyNumberFormat="1" applyFont="1" applyBorder="1"/>
    <xf numFmtId="5" fontId="11" fillId="0" borderId="8" xfId="28" applyNumberFormat="1" applyFont="1" applyBorder="1"/>
    <xf numFmtId="164" fontId="11" fillId="36" borderId="0" xfId="28" applyNumberFormat="1" applyFont="1" applyFill="1" applyBorder="1"/>
    <xf numFmtId="167" fontId="11" fillId="0" borderId="0" xfId="28" applyNumberFormat="1" applyFont="1" applyBorder="1" applyAlignment="1">
      <alignment vertical="justify"/>
    </xf>
    <xf numFmtId="5" fontId="11" fillId="0" borderId="8" xfId="28" quotePrefix="1" applyNumberFormat="1" applyFont="1" applyFill="1" applyBorder="1" applyAlignment="1">
      <alignment horizontal="right"/>
    </xf>
    <xf numFmtId="171" fontId="11" fillId="0" borderId="8" xfId="37" applyNumberFormat="1" applyFont="1" applyFill="1" applyBorder="1" applyAlignment="1">
      <alignment horizontal="center" wrapText="1"/>
    </xf>
    <xf numFmtId="168" fontId="11" fillId="0" borderId="0" xfId="0" applyNumberFormat="1" applyFont="1" applyFill="1" applyAlignment="1">
      <alignment horizontal="left" indent="1"/>
    </xf>
    <xf numFmtId="0" fontId="45" fillId="34" borderId="0" xfId="0" applyFont="1" applyFill="1"/>
    <xf numFmtId="0" fontId="46" fillId="0" borderId="0" xfId="0" applyFont="1" applyFill="1" applyAlignment="1">
      <alignment horizontal="center"/>
    </xf>
    <xf numFmtId="0" fontId="47" fillId="0" borderId="0" xfId="0" applyFont="1" applyFill="1" applyAlignment="1">
      <alignment horizontal="center"/>
    </xf>
    <xf numFmtId="0" fontId="45" fillId="0" borderId="0" xfId="0" applyFont="1" applyFill="1" applyAlignment="1">
      <alignment horizontal="center"/>
    </xf>
    <xf numFmtId="0" fontId="45" fillId="0" borderId="0" xfId="0" applyFont="1" applyFill="1" applyAlignment="1">
      <alignment horizontal="left" indent="2"/>
    </xf>
    <xf numFmtId="0" fontId="46" fillId="0" borderId="0" xfId="0" applyFont="1" applyAlignment="1">
      <alignment horizontal="left" indent="1"/>
    </xf>
    <xf numFmtId="0" fontId="46" fillId="0" borderId="0" xfId="0" quotePrefix="1" applyFont="1" applyAlignment="1">
      <alignment horizontal="center"/>
    </xf>
    <xf numFmtId="0" fontId="47" fillId="0" borderId="0" xfId="0" quotePrefix="1" applyFont="1" applyAlignment="1">
      <alignment horizontal="center"/>
    </xf>
    <xf numFmtId="164" fontId="51" fillId="0" borderId="0" xfId="0" applyNumberFormat="1" applyFont="1" applyFill="1"/>
    <xf numFmtId="0" fontId="45" fillId="0" borderId="0" xfId="0" quotePrefix="1" applyFont="1"/>
    <xf numFmtId="0" fontId="47" fillId="0" borderId="0" xfId="0" applyFont="1" applyAlignment="1">
      <alignment horizontal="left"/>
    </xf>
    <xf numFmtId="1" fontId="45" fillId="36" borderId="0" xfId="0" applyNumberFormat="1" applyFont="1" applyFill="1"/>
    <xf numFmtId="0" fontId="45" fillId="0" borderId="0" xfId="0" applyFont="1" applyFill="1" applyAlignment="1">
      <alignment horizontal="left" indent="1"/>
    </xf>
    <xf numFmtId="0" fontId="46" fillId="0" borderId="0" xfId="0" applyFont="1" applyAlignment="1">
      <alignment horizontal="left"/>
    </xf>
    <xf numFmtId="164" fontId="11" fillId="0" borderId="0" xfId="28" applyNumberFormat="1" applyFill="1" applyBorder="1" applyAlignment="1">
      <alignment vertical="top" wrapText="1"/>
    </xf>
    <xf numFmtId="37" fontId="11" fillId="36" borderId="4" xfId="22" quotePrefix="1" applyNumberFormat="1" applyFont="1" applyFill="1" applyBorder="1" applyAlignment="1">
      <alignment horizontal="center"/>
    </xf>
    <xf numFmtId="164" fontId="0" fillId="0" borderId="0" xfId="0" quotePrefix="1" applyNumberFormat="1" applyAlignment="1">
      <alignment horizontal="center"/>
    </xf>
    <xf numFmtId="164" fontId="43" fillId="0" borderId="0" xfId="0" applyNumberFormat="1" applyFont="1" applyAlignment="1">
      <alignment horizontal="center"/>
    </xf>
    <xf numFmtId="164" fontId="11" fillId="0" borderId="0" xfId="0" applyNumberFormat="1" applyFont="1" applyAlignment="1"/>
    <xf numFmtId="164" fontId="11" fillId="0" borderId="0" xfId="0" applyNumberFormat="1" applyFont="1" applyAlignment="1">
      <alignment horizontal="right" indent="1"/>
    </xf>
    <xf numFmtId="0" fontId="9" fillId="0" borderId="0" xfId="0" applyFont="1" applyAlignment="1">
      <alignment horizontal="center"/>
    </xf>
    <xf numFmtId="0" fontId="0" fillId="0" borderId="0" xfId="0" applyAlignment="1">
      <alignment horizontal="center"/>
    </xf>
    <xf numFmtId="0" fontId="11" fillId="0" borderId="0" xfId="28" applyFont="1" applyFill="1" applyBorder="1" applyAlignment="1">
      <alignment vertical="top"/>
    </xf>
    <xf numFmtId="0" fontId="11" fillId="0" borderId="0" xfId="28" applyFill="1" applyAlignment="1">
      <alignment horizontal="center"/>
    </xf>
    <xf numFmtId="167" fontId="11" fillId="0" borderId="0" xfId="22" applyNumberFormat="1" applyFill="1"/>
    <xf numFmtId="0" fontId="11" fillId="0" borderId="0" xfId="28" applyFill="1" applyBorder="1" applyAlignment="1">
      <alignment vertical="top" wrapText="1"/>
    </xf>
    <xf numFmtId="0" fontId="11" fillId="0" borderId="0" xfId="28" applyFill="1" applyAlignment="1">
      <alignment horizontal="left" indent="1"/>
    </xf>
    <xf numFmtId="0" fontId="12" fillId="0" borderId="0" xfId="28" applyFont="1" applyFill="1" applyAlignment="1">
      <alignment horizontal="center"/>
    </xf>
    <xf numFmtId="165" fontId="11" fillId="0" borderId="0" xfId="28" applyNumberFormat="1" applyFill="1"/>
    <xf numFmtId="0" fontId="11" fillId="0" borderId="0" xfId="0" applyNumberFormat="1" applyFont="1" applyFill="1"/>
    <xf numFmtId="0" fontId="11" fillId="0" borderId="0" xfId="0" applyNumberFormat="1" applyFont="1" applyFill="1" applyAlignment="1">
      <alignment horizontal="left"/>
    </xf>
    <xf numFmtId="0" fontId="9" fillId="0" borderId="0" xfId="0" applyFont="1" applyAlignment="1">
      <alignment horizontal="center"/>
    </xf>
    <xf numFmtId="0" fontId="9" fillId="0" borderId="0" xfId="0" applyFont="1" applyAlignment="1">
      <alignment horizontal="center"/>
    </xf>
    <xf numFmtId="164" fontId="7" fillId="0" borderId="0" xfId="0" applyNumberFormat="1" applyFont="1"/>
    <xf numFmtId="0" fontId="9" fillId="0" borderId="0" xfId="0" applyFont="1" applyAlignment="1">
      <alignment horizontal="center"/>
    </xf>
    <xf numFmtId="164" fontId="0" fillId="0" borderId="0" xfId="0" applyNumberFormat="1" applyFill="1" applyAlignment="1"/>
    <xf numFmtId="0" fontId="9" fillId="0" borderId="0" xfId="0" applyFont="1" applyAlignment="1">
      <alignment horizontal="center"/>
    </xf>
    <xf numFmtId="0" fontId="9" fillId="0" borderId="0" xfId="0" applyFont="1" applyAlignment="1">
      <alignment horizontal="center"/>
    </xf>
    <xf numFmtId="0" fontId="8" fillId="0" borderId="0" xfId="0" applyFont="1" applyAlignment="1">
      <alignment horizontal="right"/>
    </xf>
    <xf numFmtId="0" fontId="8" fillId="0" borderId="0" xfId="0" applyFont="1" applyFill="1" applyAlignment="1">
      <alignment horizontal="left" indent="1"/>
    </xf>
    <xf numFmtId="0" fontId="8" fillId="0" borderId="0" xfId="0" applyFont="1"/>
    <xf numFmtId="0" fontId="8" fillId="0" borderId="0" xfId="0" applyFont="1" applyAlignment="1">
      <alignment horizontal="center"/>
    </xf>
    <xf numFmtId="0" fontId="8" fillId="0" borderId="0" xfId="0" applyFont="1" applyFill="1"/>
    <xf numFmtId="164" fontId="8" fillId="0" borderId="0" xfId="0" applyNumberFormat="1" applyFont="1" applyFill="1" applyBorder="1"/>
    <xf numFmtId="0" fontId="8" fillId="0" borderId="0" xfId="0" applyFont="1" applyAlignment="1">
      <alignment horizontal="left" indent="1"/>
    </xf>
    <xf numFmtId="0" fontId="8" fillId="36" borderId="0" xfId="28" applyFont="1" applyFill="1"/>
    <xf numFmtId="181" fontId="8" fillId="34" borderId="0" xfId="35" applyNumberFormat="1" applyFont="1" applyFill="1" applyAlignment="1">
      <alignment horizontal="left"/>
    </xf>
    <xf numFmtId="175" fontId="0" fillId="0" borderId="0" xfId="0" applyNumberFormat="1" applyAlignment="1">
      <alignment horizontal="center"/>
    </xf>
    <xf numFmtId="0" fontId="8" fillId="0" borderId="0" xfId="0" quotePrefix="1" applyNumberFormat="1" applyFont="1" applyAlignment="1">
      <alignment horizontal="center"/>
    </xf>
    <xf numFmtId="181" fontId="8" fillId="0" borderId="0" xfId="35" applyNumberFormat="1" applyFont="1" applyFill="1" applyAlignment="1">
      <alignment horizontal="left"/>
    </xf>
    <xf numFmtId="164" fontId="8" fillId="0" borderId="0" xfId="0" applyNumberFormat="1" applyFont="1"/>
    <xf numFmtId="0" fontId="8" fillId="34" borderId="0" xfId="0" quotePrefix="1" applyNumberFormat="1" applyFont="1" applyFill="1" applyAlignment="1">
      <alignment horizontal="center"/>
    </xf>
    <xf numFmtId="181" fontId="8" fillId="0" borderId="0" xfId="35" applyNumberFormat="1" applyFont="1" applyFill="1" applyAlignment="1">
      <alignment horizontal="right"/>
    </xf>
    <xf numFmtId="3" fontId="0" fillId="0" borderId="8" xfId="0" applyNumberFormat="1" applyBorder="1"/>
    <xf numFmtId="0" fontId="8" fillId="0" borderId="8" xfId="0" quotePrefix="1" applyNumberFormat="1" applyFont="1" applyBorder="1" applyAlignment="1">
      <alignment horizontal="center"/>
    </xf>
    <xf numFmtId="164" fontId="8" fillId="0" borderId="0" xfId="0" quotePrefix="1" applyNumberFormat="1" applyFont="1" applyAlignment="1">
      <alignment horizontal="center"/>
    </xf>
    <xf numFmtId="0" fontId="8" fillId="0" borderId="0" xfId="0" quotePrefix="1" applyFont="1" applyAlignment="1">
      <alignment horizontal="center"/>
    </xf>
    <xf numFmtId="0" fontId="8" fillId="34" borderId="0" xfId="35" applyFont="1" applyFill="1" applyAlignment="1">
      <alignment horizontal="left" vertical="top" indent="1"/>
    </xf>
    <xf numFmtId="0" fontId="8" fillId="36" borderId="0" xfId="0" applyFont="1" applyFill="1"/>
    <xf numFmtId="181" fontId="8" fillId="34" borderId="0" xfId="35" applyNumberFormat="1" applyFont="1" applyFill="1" applyAlignment="1">
      <alignment horizontal="left" indent="2"/>
    </xf>
    <xf numFmtId="0" fontId="8" fillId="0" borderId="0" xfId="28" applyFont="1" applyFill="1"/>
    <xf numFmtId="182" fontId="0" fillId="36" borderId="0" xfId="0" applyNumberFormat="1" applyFill="1" applyAlignment="1">
      <alignment horizontal="center"/>
    </xf>
    <xf numFmtId="3" fontId="8" fillId="0" borderId="0" xfId="0" applyNumberFormat="1" applyFont="1"/>
    <xf numFmtId="3" fontId="8" fillId="34" borderId="0" xfId="0" quotePrefix="1" applyNumberFormat="1" applyFont="1" applyFill="1" applyAlignment="1">
      <alignment horizontal="center"/>
    </xf>
    <xf numFmtId="3" fontId="0" fillId="36" borderId="8" xfId="0" applyNumberFormat="1" applyFill="1" applyBorder="1"/>
    <xf numFmtId="182" fontId="0" fillId="36" borderId="8" xfId="0" applyNumberFormat="1" applyFill="1" applyBorder="1" applyAlignment="1">
      <alignment horizontal="center"/>
    </xf>
    <xf numFmtId="0" fontId="19" fillId="0" borderId="0" xfId="80" applyFont="1"/>
    <xf numFmtId="0" fontId="8" fillId="0" borderId="0" xfId="80"/>
    <xf numFmtId="0" fontId="55" fillId="0" borderId="0" xfId="80" applyFont="1"/>
    <xf numFmtId="0" fontId="19" fillId="0" borderId="3" xfId="80" applyFont="1" applyBorder="1" applyAlignment="1">
      <alignment horizontal="left" wrapText="1"/>
    </xf>
    <xf numFmtId="0" fontId="19" fillId="0" borderId="0" xfId="80" applyFont="1" applyBorder="1" applyAlignment="1">
      <alignment horizontal="left" wrapText="1"/>
    </xf>
    <xf numFmtId="0" fontId="19" fillId="0" borderId="0" xfId="80" applyFont="1" applyAlignment="1">
      <alignment horizontal="left"/>
    </xf>
    <xf numFmtId="10" fontId="19" fillId="0" borderId="0" xfId="80" applyNumberFormat="1" applyFont="1"/>
    <xf numFmtId="164" fontId="19" fillId="0" borderId="0" xfId="23" applyNumberFormat="1" applyFont="1" applyAlignment="1">
      <alignment horizontal="right"/>
    </xf>
    <xf numFmtId="3" fontId="19" fillId="0" borderId="0" xfId="23" applyNumberFormat="1" applyFont="1" applyAlignment="1">
      <alignment horizontal="right"/>
    </xf>
    <xf numFmtId="175" fontId="40" fillId="0" borderId="0" xfId="80" applyNumberFormat="1" applyFont="1"/>
    <xf numFmtId="3" fontId="0" fillId="0" borderId="0" xfId="0" applyNumberFormat="1" applyAlignment="1">
      <alignment horizontal="right"/>
    </xf>
    <xf numFmtId="175" fontId="8" fillId="0" borderId="0" xfId="80" applyNumberFormat="1"/>
    <xf numFmtId="166" fontId="40" fillId="0" borderId="0" xfId="19" applyNumberFormat="1" applyFont="1"/>
    <xf numFmtId="166" fontId="9" fillId="0" borderId="0" xfId="0" applyNumberFormat="1" applyFont="1"/>
    <xf numFmtId="175" fontId="19" fillId="0" borderId="0" xfId="80" applyNumberFormat="1" applyFont="1" applyFill="1"/>
    <xf numFmtId="164" fontId="19" fillId="0" borderId="0" xfId="19" applyNumberFormat="1" applyFont="1" applyAlignment="1">
      <alignment horizontal="right"/>
    </xf>
    <xf numFmtId="3" fontId="19" fillId="0" borderId="0" xfId="19" applyNumberFormat="1" applyFont="1" applyAlignment="1">
      <alignment horizontal="right"/>
    </xf>
    <xf numFmtId="175" fontId="19" fillId="0" borderId="0" xfId="80" applyNumberFormat="1" applyFont="1"/>
    <xf numFmtId="166" fontId="40" fillId="0" borderId="0" xfId="80" applyNumberFormat="1" applyFont="1"/>
    <xf numFmtId="10" fontId="19" fillId="0" borderId="0" xfId="37" applyNumberFormat="1" applyFont="1"/>
    <xf numFmtId="164" fontId="19" fillId="0" borderId="0" xfId="80" applyNumberFormat="1" applyFont="1" applyAlignment="1">
      <alignment horizontal="right"/>
    </xf>
    <xf numFmtId="3" fontId="19" fillId="0" borderId="0" xfId="80" applyNumberFormat="1" applyFont="1" applyAlignment="1">
      <alignment horizontal="right"/>
    </xf>
    <xf numFmtId="10" fontId="19" fillId="0" borderId="3" xfId="37" applyNumberFormat="1" applyFont="1" applyBorder="1"/>
    <xf numFmtId="164" fontId="19" fillId="0" borderId="3" xfId="23" applyNumberFormat="1" applyFont="1" applyBorder="1" applyAlignment="1">
      <alignment horizontal="right"/>
    </xf>
    <xf numFmtId="3" fontId="19" fillId="0" borderId="3" xfId="23" applyNumberFormat="1" applyFont="1" applyBorder="1" applyAlignment="1">
      <alignment horizontal="right"/>
    </xf>
    <xf numFmtId="184" fontId="19" fillId="0" borderId="0" xfId="80" applyNumberFormat="1" applyFont="1"/>
    <xf numFmtId="43" fontId="0" fillId="0" borderId="0" xfId="0" applyNumberFormat="1"/>
    <xf numFmtId="10" fontId="0" fillId="0" borderId="0" xfId="37" applyNumberFormat="1" applyFont="1"/>
    <xf numFmtId="3" fontId="19" fillId="0" borderId="0" xfId="80" applyNumberFormat="1" applyFont="1"/>
    <xf numFmtId="3" fontId="8" fillId="0" borderId="0" xfId="80" applyNumberFormat="1"/>
    <xf numFmtId="167" fontId="8" fillId="0" borderId="0" xfId="80" applyNumberFormat="1"/>
    <xf numFmtId="164" fontId="19" fillId="0" borderId="3" xfId="23" applyNumberFormat="1" applyFont="1" applyBorder="1"/>
    <xf numFmtId="0" fontId="8" fillId="0" borderId="0" xfId="28" applyFont="1"/>
    <xf numFmtId="164" fontId="8" fillId="36" borderId="0" xfId="22" applyNumberFormat="1" applyFont="1" applyFill="1" applyBorder="1"/>
    <xf numFmtId="164" fontId="8" fillId="0" borderId="0" xfId="0" applyNumberFormat="1" applyFont="1" applyFill="1"/>
    <xf numFmtId="164" fontId="8" fillId="34" borderId="0" xfId="0" applyNumberFormat="1" applyFont="1" applyFill="1"/>
    <xf numFmtId="164" fontId="8" fillId="0" borderId="15" xfId="0" applyNumberFormat="1" applyFont="1" applyFill="1" applyBorder="1"/>
    <xf numFmtId="164" fontId="8" fillId="0" borderId="8" xfId="0" applyNumberFormat="1" applyFont="1" applyFill="1" applyBorder="1"/>
    <xf numFmtId="3" fontId="8" fillId="0" borderId="0" xfId="0" applyNumberFormat="1" applyFont="1" applyFill="1"/>
    <xf numFmtId="17" fontId="8" fillId="0" borderId="0" xfId="0" quotePrefix="1" applyNumberFormat="1" applyFont="1" applyAlignment="1">
      <alignment horizontal="center"/>
    </xf>
    <xf numFmtId="0" fontId="8" fillId="0" borderId="0" xfId="0" quotePrefix="1" applyFont="1" applyBorder="1" applyAlignment="1">
      <alignment wrapText="1"/>
    </xf>
    <xf numFmtId="0" fontId="8" fillId="0" borderId="0" xfId="0" applyFont="1" applyAlignment="1">
      <alignment wrapText="1"/>
    </xf>
    <xf numFmtId="175" fontId="0" fillId="0" borderId="15" xfId="0" applyNumberFormat="1" applyFill="1" applyBorder="1" applyAlignment="1">
      <alignment horizontal="center"/>
    </xf>
    <xf numFmtId="166" fontId="0" fillId="0" borderId="15" xfId="0" applyNumberFormat="1" applyFill="1" applyBorder="1" applyAlignment="1">
      <alignment horizontal="center"/>
    </xf>
    <xf numFmtId="175" fontId="0" fillId="0" borderId="15" xfId="0" quotePrefix="1" applyNumberFormat="1" applyFill="1" applyBorder="1" applyAlignment="1">
      <alignment horizontal="center"/>
    </xf>
    <xf numFmtId="0" fontId="8" fillId="0" borderId="0" xfId="0" applyFont="1" applyFill="1" applyAlignment="1">
      <alignment horizontal="left"/>
    </xf>
    <xf numFmtId="0" fontId="9" fillId="0" borderId="0" xfId="0" applyFont="1" applyAlignment="1">
      <alignment horizontal="center"/>
    </xf>
    <xf numFmtId="0" fontId="0" fillId="0" borderId="0" xfId="0" applyAlignment="1">
      <alignment horizontal="center"/>
    </xf>
    <xf numFmtId="175" fontId="0" fillId="36" borderId="0" xfId="0" applyNumberFormat="1" applyFill="1" applyAlignment="1">
      <alignment horizontal="center"/>
    </xf>
    <xf numFmtId="0" fontId="9"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xf>
    <xf numFmtId="0" fontId="8" fillId="0" borderId="0" xfId="0" applyFont="1" applyAlignment="1">
      <alignment horizontal="right" indent="1"/>
    </xf>
    <xf numFmtId="0" fontId="8" fillId="0" borderId="0" xfId="0" applyFont="1" applyAlignment="1">
      <alignment horizontal="left" indent="2"/>
    </xf>
    <xf numFmtId="0" fontId="8" fillId="0" borderId="0" xfId="28" applyNumberFormat="1" applyFont="1" applyFill="1" applyBorder="1" applyAlignment="1">
      <alignment horizontal="left" indent="1"/>
    </xf>
    <xf numFmtId="37" fontId="8" fillId="36" borderId="3" xfId="22" quotePrefix="1" applyNumberFormat="1" applyFont="1" applyFill="1" applyBorder="1" applyAlignment="1">
      <alignment horizontal="center"/>
    </xf>
    <xf numFmtId="0" fontId="9" fillId="0" borderId="0" xfId="0" applyFont="1" applyAlignment="1">
      <alignment horizontal="center"/>
    </xf>
    <xf numFmtId="0" fontId="8" fillId="0" borderId="0" xfId="0" quotePrefix="1" applyFont="1" applyAlignment="1">
      <alignment horizontal="center" vertical="justify"/>
    </xf>
    <xf numFmtId="10" fontId="15" fillId="0" borderId="0" xfId="0" applyNumberFormat="1" applyFont="1"/>
    <xf numFmtId="0" fontId="9" fillId="0" borderId="0" xfId="0" applyFont="1" applyAlignment="1">
      <alignment horizontal="center"/>
    </xf>
    <xf numFmtId="166" fontId="12" fillId="0" borderId="0" xfId="0" applyNumberFormat="1" applyFont="1" applyAlignment="1">
      <alignment horizontal="center"/>
    </xf>
    <xf numFmtId="0" fontId="9" fillId="0" borderId="0" xfId="0" applyFont="1" applyAlignment="1">
      <alignment horizontal="center"/>
    </xf>
    <xf numFmtId="0" fontId="8" fillId="0" borderId="0" xfId="28" applyNumberFormat="1" applyFont="1" applyFill="1" applyBorder="1" applyAlignment="1">
      <alignment horizontal="left"/>
    </xf>
    <xf numFmtId="164" fontId="8" fillId="36" borderId="0" xfId="0" applyNumberFormat="1" applyFont="1" applyFill="1"/>
    <xf numFmtId="0" fontId="8" fillId="0" borderId="0" xfId="28" applyFont="1" applyBorder="1" applyAlignment="1">
      <alignment horizontal="left"/>
    </xf>
    <xf numFmtId="0" fontId="8" fillId="0" borderId="0" xfId="28" quotePrefix="1" applyNumberFormat="1" applyFont="1" applyFill="1" applyBorder="1" applyAlignment="1">
      <alignment horizontal="left"/>
    </xf>
    <xf numFmtId="0" fontId="8" fillId="0" borderId="0" xfId="28" applyNumberFormat="1" applyFont="1" applyFill="1" applyBorder="1" applyAlignment="1">
      <alignment horizontal="right"/>
    </xf>
    <xf numFmtId="164" fontId="8" fillId="0" borderId="0" xfId="20" applyNumberFormat="1" applyFont="1" applyFill="1" applyBorder="1" applyAlignment="1">
      <alignment horizontal="right"/>
    </xf>
    <xf numFmtId="167" fontId="8" fillId="0" borderId="0" xfId="28" quotePrefix="1" applyNumberFormat="1" applyFont="1" applyFill="1" applyBorder="1" applyAlignment="1">
      <alignment horizontal="left" indent="1"/>
    </xf>
    <xf numFmtId="167" fontId="8" fillId="0" borderId="0" xfId="28" applyNumberFormat="1" applyFont="1" applyFill="1" applyBorder="1" applyAlignment="1">
      <alignment horizontal="left" indent="1"/>
    </xf>
    <xf numFmtId="0" fontId="8" fillId="0" borderId="0" xfId="28" applyFont="1" applyBorder="1" applyAlignment="1"/>
    <xf numFmtId="167" fontId="8" fillId="0" borderId="0" xfId="20" applyNumberFormat="1" applyFont="1" applyFill="1" applyBorder="1" applyAlignment="1">
      <alignment horizontal="right"/>
    </xf>
    <xf numFmtId="167" fontId="8" fillId="0" borderId="0" xfId="28" applyNumberFormat="1" applyFont="1" applyFill="1" applyBorder="1" applyAlignment="1">
      <alignment horizontal="right"/>
    </xf>
    <xf numFmtId="0" fontId="8" fillId="0" borderId="0" xfId="28" applyFont="1" applyBorder="1"/>
    <xf numFmtId="3" fontId="8" fillId="0" borderId="0" xfId="28" applyNumberFormat="1" applyFont="1" applyFill="1" applyBorder="1" applyAlignment="1">
      <alignment horizontal="left" indent="1"/>
    </xf>
    <xf numFmtId="1" fontId="8" fillId="0" borderId="0" xfId="28" applyNumberFormat="1" applyFont="1" applyFill="1" applyBorder="1" applyAlignment="1">
      <alignment horizontal="center"/>
    </xf>
    <xf numFmtId="3" fontId="8" fillId="0" borderId="0" xfId="28" applyNumberFormat="1" applyFont="1" applyFill="1" applyBorder="1" applyAlignment="1"/>
    <xf numFmtId="37" fontId="8" fillId="0" borderId="0" xfId="36" applyNumberFormat="1" applyFont="1" applyFill="1" applyAlignment="1">
      <alignment horizontal="left" indent="1"/>
    </xf>
    <xf numFmtId="0" fontId="8" fillId="0" borderId="0" xfId="28" applyFont="1" applyBorder="1" applyAlignment="1">
      <alignment horizontal="right"/>
    </xf>
    <xf numFmtId="10" fontId="8" fillId="0" borderId="0" xfId="0" applyNumberFormat="1" applyFont="1" applyFill="1"/>
    <xf numFmtId="0" fontId="8" fillId="36" borderId="0" xfId="34" applyFont="1" applyFill="1"/>
    <xf numFmtId="0" fontId="8" fillId="0" borderId="0" xfId="0" quotePrefix="1" applyFont="1" applyAlignment="1"/>
    <xf numFmtId="165" fontId="8" fillId="0" borderId="0" xfId="20" applyNumberFormat="1" applyFont="1" applyFill="1" applyBorder="1" applyAlignment="1">
      <alignment horizontal="right"/>
    </xf>
    <xf numFmtId="0" fontId="47" fillId="0" borderId="0" xfId="0" applyFont="1" applyFill="1"/>
    <xf numFmtId="0" fontId="11" fillId="0" borderId="0" xfId="28" applyFont="1" applyFill="1" applyBorder="1" applyAlignment="1"/>
    <xf numFmtId="0" fontId="9" fillId="0" borderId="0" xfId="0" applyFont="1" applyAlignment="1">
      <alignment horizontal="center"/>
    </xf>
    <xf numFmtId="0" fontId="9" fillId="0" borderId="0" xfId="28" applyFont="1" applyBorder="1" applyAlignment="1">
      <alignment horizontal="left"/>
    </xf>
    <xf numFmtId="1" fontId="8" fillId="0" borderId="0" xfId="28" quotePrefix="1" applyNumberFormat="1" applyFont="1" applyFill="1" applyBorder="1" applyAlignment="1">
      <alignment horizontal="right"/>
    </xf>
    <xf numFmtId="164" fontId="8" fillId="0" borderId="0" xfId="0" applyNumberFormat="1" applyFont="1" applyFill="1" applyAlignment="1">
      <alignment horizontal="right"/>
    </xf>
    <xf numFmtId="164" fontId="9" fillId="0" borderId="0" xfId="0" applyNumberFormat="1" applyFont="1" applyFill="1" applyAlignment="1">
      <alignment horizontal="right"/>
    </xf>
    <xf numFmtId="0" fontId="8" fillId="36" borderId="0" xfId="28" applyFont="1" applyFill="1" applyBorder="1" applyAlignment="1">
      <alignment horizontal="center"/>
    </xf>
    <xf numFmtId="164" fontId="8" fillId="36" borderId="0" xfId="0" applyNumberFormat="1" applyFont="1" applyFill="1" applyAlignment="1">
      <alignment horizontal="right"/>
    </xf>
    <xf numFmtId="1" fontId="8" fillId="36" borderId="0" xfId="28" applyNumberFormat="1" applyFont="1" applyFill="1" applyBorder="1" applyAlignment="1">
      <alignment horizontal="center"/>
    </xf>
    <xf numFmtId="0" fontId="8" fillId="36" borderId="0" xfId="0" applyFont="1" applyFill="1" applyAlignment="1">
      <alignment horizontal="left" indent="1"/>
    </xf>
    <xf numFmtId="0" fontId="8" fillId="36" borderId="0" xfId="0" applyFont="1" applyFill="1" applyAlignment="1">
      <alignment horizontal="left"/>
    </xf>
    <xf numFmtId="0" fontId="8" fillId="36" borderId="0" xfId="0" applyFont="1" applyFill="1" applyAlignment="1">
      <alignment horizontal="left" vertical="center"/>
    </xf>
    <xf numFmtId="0" fontId="8" fillId="36" borderId="0" xfId="0" quotePrefix="1" applyFont="1" applyFill="1"/>
    <xf numFmtId="164" fontId="8" fillId="0" borderId="0" xfId="0" applyNumberFormat="1" applyFont="1" applyFill="1" applyAlignment="1">
      <alignment horizontal="left" indent="1"/>
    </xf>
    <xf numFmtId="0" fontId="0" fillId="0" borderId="0" xfId="0" applyFill="1" applyBorder="1"/>
    <xf numFmtId="0" fontId="56" fillId="0" borderId="0" xfId="0" applyFont="1"/>
    <xf numFmtId="37" fontId="45" fillId="0" borderId="0" xfId="0" applyNumberFormat="1" applyFont="1" applyFill="1"/>
    <xf numFmtId="165" fontId="45" fillId="0" borderId="0" xfId="0" applyNumberFormat="1" applyFont="1" applyFill="1"/>
    <xf numFmtId="165" fontId="45" fillId="0" borderId="0" xfId="0" applyNumberFormat="1" applyFont="1" applyFill="1" applyAlignment="1">
      <alignment horizontal="left" indent="1"/>
    </xf>
    <xf numFmtId="164" fontId="47" fillId="0" borderId="0" xfId="0" applyNumberFormat="1" applyFont="1" applyFill="1"/>
    <xf numFmtId="39" fontId="45" fillId="0" borderId="0" xfId="0" applyNumberFormat="1" applyFont="1" applyAlignment="1">
      <alignment horizontal="left" indent="1"/>
    </xf>
    <xf numFmtId="39" fontId="45" fillId="0" borderId="0" xfId="0" applyNumberFormat="1" applyFont="1"/>
    <xf numFmtId="170" fontId="8" fillId="36" borderId="0" xfId="0" quotePrefix="1" applyNumberFormat="1" applyFont="1" applyFill="1" applyAlignment="1">
      <alignment horizontal="center"/>
    </xf>
    <xf numFmtId="170" fontId="8" fillId="36" borderId="0" xfId="0" applyNumberFormat="1" applyFont="1" applyFill="1" applyAlignment="1">
      <alignment horizontal="center"/>
    </xf>
    <xf numFmtId="0" fontId="8" fillId="36" borderId="0" xfId="0" quotePrefix="1" applyFont="1" applyFill="1" applyAlignment="1">
      <alignment horizontal="center"/>
    </xf>
    <xf numFmtId="0" fontId="8" fillId="0" borderId="0" xfId="0" quotePrefix="1" applyFont="1" applyFill="1" applyAlignment="1">
      <alignment horizontal="center"/>
    </xf>
    <xf numFmtId="170" fontId="8" fillId="36" borderId="0" xfId="0" applyNumberFormat="1" applyFont="1" applyFill="1" applyBorder="1" applyAlignment="1" applyProtection="1">
      <alignment horizontal="center"/>
    </xf>
    <xf numFmtId="0" fontId="8" fillId="36" borderId="0" xfId="0" applyFont="1" applyFill="1" applyBorder="1" applyProtection="1"/>
    <xf numFmtId="164" fontId="8" fillId="36" borderId="0" xfId="0" applyNumberFormat="1" applyFont="1" applyFill="1" applyBorder="1" applyProtection="1"/>
    <xf numFmtId="0" fontId="8" fillId="36" borderId="0" xfId="0" applyFont="1" applyFill="1" applyBorder="1"/>
    <xf numFmtId="0" fontId="8" fillId="36" borderId="0" xfId="0" quotePrefix="1" applyFont="1" applyFill="1" applyBorder="1" applyProtection="1"/>
    <xf numFmtId="170" fontId="8" fillId="0" borderId="0" xfId="0" applyNumberFormat="1" applyFont="1" applyFill="1" applyBorder="1" applyAlignment="1" applyProtection="1">
      <alignment horizontal="center"/>
    </xf>
    <xf numFmtId="0" fontId="8" fillId="0" borderId="0" xfId="0" applyFont="1" applyFill="1" applyBorder="1" applyProtection="1"/>
    <xf numFmtId="164" fontId="8" fillId="0" borderId="0" xfId="0" applyNumberFormat="1" applyFont="1" applyFill="1" applyBorder="1" applyProtection="1"/>
    <xf numFmtId="0" fontId="8" fillId="36" borderId="0" xfId="0" quotePrefix="1" applyFont="1" applyFill="1" applyBorder="1"/>
    <xf numFmtId="164" fontId="8" fillId="36" borderId="0" xfId="0" applyNumberFormat="1" applyFont="1" applyFill="1" applyBorder="1"/>
    <xf numFmtId="0" fontId="8" fillId="0" borderId="0" xfId="0" quotePrefix="1" applyFont="1" applyFill="1" applyBorder="1"/>
    <xf numFmtId="0" fontId="8" fillId="0" borderId="0" xfId="0" applyFont="1" applyFill="1" applyBorder="1"/>
    <xf numFmtId="170" fontId="8" fillId="36" borderId="0" xfId="0" quotePrefix="1" applyNumberFormat="1" applyFont="1" applyFill="1" applyBorder="1" applyAlignment="1" applyProtection="1">
      <alignment horizontal="center"/>
    </xf>
    <xf numFmtId="0" fontId="9" fillId="0" borderId="0" xfId="0" applyFont="1" applyAlignment="1">
      <alignment horizontal="center"/>
    </xf>
    <xf numFmtId="0" fontId="8" fillId="0" borderId="0" xfId="0" applyFont="1" applyAlignment="1">
      <alignment horizontal="left"/>
    </xf>
    <xf numFmtId="164" fontId="15" fillId="0" borderId="0" xfId="28" applyNumberFormat="1" applyFont="1" applyFill="1"/>
    <xf numFmtId="0" fontId="9" fillId="0" borderId="0" xfId="0" applyFont="1" applyAlignment="1">
      <alignment horizontal="center"/>
    </xf>
    <xf numFmtId="0" fontId="9" fillId="0" borderId="0" xfId="0" applyFont="1" applyFill="1" applyBorder="1" applyAlignment="1">
      <alignment horizontal="center"/>
    </xf>
    <xf numFmtId="37" fontId="8" fillId="0" borderId="0" xfId="0" applyNumberFormat="1" applyFont="1" applyFill="1" applyAlignment="1">
      <alignment horizontal="left" indent="1"/>
    </xf>
    <xf numFmtId="39" fontId="8" fillId="0" borderId="0" xfId="0" applyNumberFormat="1" applyFont="1" applyAlignment="1">
      <alignment horizontal="left" indent="1"/>
    </xf>
    <xf numFmtId="0" fontId="58" fillId="0" borderId="0" xfId="0" applyFont="1"/>
    <xf numFmtId="181" fontId="8" fillId="34" borderId="0" xfId="35" quotePrefix="1" applyNumberFormat="1" applyFont="1" applyFill="1" applyAlignment="1">
      <alignment horizontal="left" vertical="center"/>
    </xf>
    <xf numFmtId="0" fontId="9" fillId="0" borderId="0" xfId="0" applyFont="1" applyAlignment="1">
      <alignment horizontal="center"/>
    </xf>
    <xf numFmtId="0" fontId="9" fillId="0" borderId="0" xfId="0" applyFont="1" applyAlignment="1">
      <alignment horizontal="center"/>
    </xf>
    <xf numFmtId="0" fontId="13" fillId="0" borderId="0" xfId="0" applyFont="1" applyFill="1"/>
    <xf numFmtId="0" fontId="14" fillId="0" borderId="0" xfId="0" applyFont="1" applyFill="1"/>
    <xf numFmtId="0" fontId="12" fillId="0" borderId="0" xfId="0" applyFont="1" applyFill="1" applyAlignment="1">
      <alignment horizontal="left"/>
    </xf>
    <xf numFmtId="17" fontId="8" fillId="0" borderId="0" xfId="0" quotePrefix="1" applyNumberFormat="1" applyFont="1" applyFill="1" applyAlignment="1">
      <alignment horizontal="center"/>
    </xf>
    <xf numFmtId="0" fontId="58" fillId="0" borderId="0" xfId="0" applyFont="1" applyFill="1" applyAlignment="1">
      <alignment horizontal="center"/>
    </xf>
    <xf numFmtId="0" fontId="8" fillId="0" borderId="0" xfId="0" applyFont="1" applyBorder="1"/>
    <xf numFmtId="0" fontId="8" fillId="0" borderId="0" xfId="0" applyFont="1" applyAlignment="1"/>
    <xf numFmtId="0" fontId="9" fillId="0" borderId="0" xfId="0" applyFont="1" applyAlignment="1">
      <alignment horizontal="center"/>
    </xf>
    <xf numFmtId="0" fontId="8" fillId="0" borderId="0" xfId="0" quotePrefix="1" applyFont="1" applyAlignment="1">
      <alignment horizontal="left" indent="1"/>
    </xf>
    <xf numFmtId="0" fontId="8" fillId="0" borderId="0" xfId="28" quotePrefix="1" applyFont="1" applyFill="1" applyAlignment="1">
      <alignment horizontal="center" vertical="center"/>
    </xf>
    <xf numFmtId="0" fontId="8" fillId="0" borderId="0" xfId="28" quotePrefix="1" applyFont="1" applyFill="1" applyAlignment="1">
      <alignment horizontal="center"/>
    </xf>
    <xf numFmtId="0" fontId="8" fillId="0" borderId="0" xfId="28" quotePrefix="1" applyFont="1" applyBorder="1" applyAlignment="1">
      <alignment horizontal="center"/>
    </xf>
    <xf numFmtId="0" fontId="8" fillId="0" borderId="3" xfId="0" applyFont="1" applyBorder="1" applyAlignment="1">
      <alignment horizontal="center"/>
    </xf>
    <xf numFmtId="0" fontId="8" fillId="0" borderId="3" xfId="0" applyFont="1" applyFill="1" applyBorder="1" applyAlignment="1">
      <alignment horizontal="center"/>
    </xf>
    <xf numFmtId="0" fontId="8" fillId="0" borderId="3" xfId="0" applyFont="1" applyFill="1" applyBorder="1"/>
    <xf numFmtId="37" fontId="8" fillId="0" borderId="3" xfId="22" quotePrefix="1" applyNumberFormat="1" applyFont="1" applyFill="1" applyBorder="1" applyAlignment="1">
      <alignment horizontal="center"/>
    </xf>
    <xf numFmtId="39" fontId="8" fillId="0" borderId="3" xfId="22" applyNumberFormat="1" applyFont="1" applyFill="1" applyBorder="1" applyAlignment="1">
      <alignment horizontal="center"/>
    </xf>
    <xf numFmtId="0" fontId="8" fillId="0" borderId="0" xfId="0" applyFont="1" applyFill="1" applyBorder="1" applyAlignment="1">
      <alignment vertical="top"/>
    </xf>
    <xf numFmtId="0" fontId="9" fillId="0" borderId="0" xfId="0" applyFont="1" applyAlignment="1">
      <alignment horizontal="center"/>
    </xf>
    <xf numFmtId="168" fontId="8" fillId="36" borderId="0" xfId="0" applyNumberFormat="1" applyFont="1" applyFill="1" applyAlignment="1">
      <alignment horizontal="left"/>
    </xf>
    <xf numFmtId="185" fontId="0" fillId="36" borderId="0" xfId="0" applyNumberFormat="1" applyFill="1" applyAlignment="1">
      <alignment horizontal="center"/>
    </xf>
    <xf numFmtId="17" fontId="0" fillId="36" borderId="0" xfId="0" quotePrefix="1" applyNumberFormat="1" applyFill="1" applyAlignment="1">
      <alignment horizontal="center"/>
    </xf>
    <xf numFmtId="185" fontId="0" fillId="36" borderId="0" xfId="0" quotePrefix="1" applyNumberFormat="1" applyFill="1" applyAlignment="1">
      <alignment horizontal="center"/>
    </xf>
    <xf numFmtId="37" fontId="45" fillId="36" borderId="0" xfId="81" applyNumberFormat="1" applyFont="1" applyFill="1" applyAlignment="1">
      <alignment horizontal="right"/>
    </xf>
    <xf numFmtId="37" fontId="45" fillId="36" borderId="0" xfId="82" applyNumberFormat="1" applyFont="1" applyFill="1" applyAlignment="1">
      <alignment horizontal="right"/>
    </xf>
    <xf numFmtId="0" fontId="9" fillId="0" borderId="8" xfId="0" applyFont="1" applyBorder="1"/>
    <xf numFmtId="0" fontId="9" fillId="0" borderId="0" xfId="0" applyFont="1" applyAlignment="1">
      <alignment horizontal="center"/>
    </xf>
    <xf numFmtId="6" fontId="0" fillId="0" borderId="0" xfId="0" applyNumberFormat="1"/>
    <xf numFmtId="0" fontId="8" fillId="0" borderId="8" xfId="0" applyFont="1" applyBorder="1"/>
    <xf numFmtId="0" fontId="9" fillId="0" borderId="0" xfId="0" applyFont="1" applyAlignment="1">
      <alignment horizontal="center"/>
    </xf>
    <xf numFmtId="0" fontId="9" fillId="0" borderId="0" xfId="0" applyFont="1" applyAlignment="1">
      <alignment horizontal="center"/>
    </xf>
    <xf numFmtId="186" fontId="0" fillId="0" borderId="0" xfId="0" applyNumberFormat="1"/>
    <xf numFmtId="0" fontId="9" fillId="0" borderId="0" xfId="0" quotePrefix="1" applyFont="1" applyFill="1" applyAlignment="1">
      <alignment horizontal="right"/>
    </xf>
    <xf numFmtId="0" fontId="8" fillId="0" borderId="0" xfId="0" quotePrefix="1" applyFont="1" applyAlignment="1">
      <alignment horizontal="center" vertical="center"/>
    </xf>
    <xf numFmtId="0" fontId="9" fillId="0" borderId="0" xfId="108" applyFont="1"/>
    <xf numFmtId="0" fontId="8" fillId="0" borderId="0" xfId="108"/>
    <xf numFmtId="0" fontId="12" fillId="0" borderId="0" xfId="108" applyFont="1"/>
    <xf numFmtId="0" fontId="9" fillId="0" borderId="0" xfId="108" applyFont="1" applyAlignment="1">
      <alignment horizontal="center"/>
    </xf>
    <xf numFmtId="0" fontId="8" fillId="0" borderId="0" xfId="108" applyFont="1"/>
    <xf numFmtId="0" fontId="12" fillId="0" borderId="0" xfId="108" applyFont="1" applyAlignment="1">
      <alignment horizontal="center"/>
    </xf>
    <xf numFmtId="0" fontId="12" fillId="0" borderId="0" xfId="108" applyFont="1" applyAlignment="1">
      <alignment horizontal="left"/>
    </xf>
    <xf numFmtId="164" fontId="8" fillId="0" borderId="0" xfId="108" applyNumberFormat="1" applyFill="1"/>
    <xf numFmtId="0" fontId="8" fillId="36" borderId="0" xfId="108" applyFont="1" applyFill="1"/>
    <xf numFmtId="164" fontId="8" fillId="36" borderId="0" xfId="108" applyNumberFormat="1" applyFill="1"/>
    <xf numFmtId="164" fontId="15" fillId="36" borderId="0" xfId="108" applyNumberFormat="1" applyFont="1" applyFill="1"/>
    <xf numFmtId="164" fontId="8" fillId="0" borderId="0" xfId="108" applyNumberFormat="1"/>
    <xf numFmtId="0" fontId="8" fillId="0" borderId="0" xfId="108" applyFont="1" applyFill="1"/>
    <xf numFmtId="0" fontId="8" fillId="0" borderId="0" xfId="28" applyNumberFormat="1" applyFont="1" applyFill="1" applyBorder="1" applyAlignment="1">
      <alignment horizontal="left" indent="2"/>
    </xf>
    <xf numFmtId="3" fontId="20" fillId="0" borderId="0" xfId="34" applyNumberFormat="1" applyFont="1" applyBorder="1"/>
    <xf numFmtId="3" fontId="45" fillId="0" borderId="0" xfId="0" applyNumberFormat="1" applyFont="1" applyFill="1" applyAlignment="1">
      <alignment horizontal="right"/>
    </xf>
    <xf numFmtId="0" fontId="8" fillId="36" borderId="0" xfId="0" applyFont="1" applyFill="1" applyAlignment="1"/>
    <xf numFmtId="39" fontId="11" fillId="36" borderId="0" xfId="22" applyNumberFormat="1" applyFont="1" applyFill="1" applyBorder="1" applyAlignment="1">
      <alignment horizontal="center"/>
    </xf>
    <xf numFmtId="0" fontId="8" fillId="36" borderId="0" xfId="28" quotePrefix="1" applyNumberFormat="1" applyFont="1" applyFill="1" applyBorder="1" applyAlignment="1">
      <alignment horizontal="left"/>
    </xf>
    <xf numFmtId="0" fontId="8" fillId="36" borderId="0" xfId="28" quotePrefix="1" applyFont="1" applyFill="1" applyBorder="1" applyAlignment="1">
      <alignment horizontal="left"/>
    </xf>
    <xf numFmtId="164" fontId="8" fillId="36" borderId="0" xfId="83" applyNumberFormat="1" applyFont="1" applyFill="1" applyBorder="1" applyAlignment="1">
      <alignment vertical="center"/>
    </xf>
    <xf numFmtId="10" fontId="8" fillId="36" borderId="0" xfId="0" applyNumberFormat="1" applyFont="1" applyFill="1"/>
    <xf numFmtId="10" fontId="0" fillId="0" borderId="0" xfId="0" applyNumberFormat="1" applyFill="1" applyAlignment="1">
      <alignment horizontal="center"/>
    </xf>
    <xf numFmtId="0" fontId="17" fillId="0" borderId="0" xfId="27" applyAlignment="1" applyProtection="1"/>
    <xf numFmtId="164" fontId="0" fillId="36" borderId="0" xfId="0" applyNumberFormat="1" applyFill="1" applyAlignment="1">
      <alignment horizontal="right"/>
    </xf>
    <xf numFmtId="0" fontId="8" fillId="0" borderId="0" xfId="0" quotePrefix="1" applyFont="1" applyFill="1"/>
    <xf numFmtId="0" fontId="8" fillId="36" borderId="0" xfId="0" applyFont="1" applyFill="1" applyAlignment="1">
      <alignment horizontal="right"/>
    </xf>
    <xf numFmtId="171" fontId="0" fillId="36" borderId="0" xfId="0" applyNumberFormat="1" applyFill="1"/>
    <xf numFmtId="0" fontId="0" fillId="0" borderId="0" xfId="0" quotePrefix="1" applyFill="1" applyAlignment="1"/>
    <xf numFmtId="167" fontId="11" fillId="0" borderId="0" xfId="22" applyNumberFormat="1" applyFont="1" applyFill="1" applyBorder="1" applyAlignment="1"/>
    <xf numFmtId="167" fontId="8" fillId="0" borderId="0" xfId="28" applyNumberFormat="1" applyFont="1" applyBorder="1"/>
    <xf numFmtId="15" fontId="8" fillId="36" borderId="0" xfId="0" quotePrefix="1" applyNumberFormat="1" applyFont="1" applyFill="1" applyAlignment="1">
      <alignment horizontal="center"/>
    </xf>
    <xf numFmtId="0" fontId="63" fillId="0" borderId="0" xfId="0" applyFont="1"/>
    <xf numFmtId="0" fontId="8" fillId="0" borderId="0" xfId="28" applyFont="1" applyFill="1" applyBorder="1" applyAlignment="1" applyProtection="1">
      <alignment horizontal="left" indent="1"/>
      <protection locked="0"/>
    </xf>
    <xf numFmtId="0" fontId="8" fillId="0" borderId="0" xfId="100" applyFill="1"/>
    <xf numFmtId="0" fontId="8" fillId="36" borderId="0" xfId="108" applyFill="1"/>
    <xf numFmtId="0" fontId="8" fillId="0" borderId="0" xfId="100" applyFont="1" applyAlignment="1">
      <alignment horizontal="left" indent="1"/>
    </xf>
    <xf numFmtId="164" fontId="8" fillId="0" borderId="0" xfId="100" applyNumberFormat="1"/>
    <xf numFmtId="164" fontId="44" fillId="0" borderId="0" xfId="100" applyNumberFormat="1" applyFont="1" applyFill="1"/>
    <xf numFmtId="0" fontId="9" fillId="0" borderId="0" xfId="100" applyFont="1"/>
    <xf numFmtId="0" fontId="8" fillId="0" borderId="0" xfId="100" applyFont="1"/>
    <xf numFmtId="0" fontId="9" fillId="0" borderId="0" xfId="100" applyFont="1" applyAlignment="1">
      <alignment horizontal="left" indent="1"/>
    </xf>
    <xf numFmtId="0" fontId="57" fillId="0" borderId="0" xfId="100" applyFont="1" applyBorder="1" applyAlignment="1">
      <alignment horizontal="left"/>
    </xf>
    <xf numFmtId="0" fontId="9" fillId="0" borderId="0" xfId="100" applyFont="1" applyBorder="1" applyAlignment="1">
      <alignment horizontal="center"/>
    </xf>
    <xf numFmtId="0" fontId="8" fillId="0" borderId="0" xfId="100" applyFont="1" applyBorder="1" applyAlignment="1">
      <alignment horizontal="right"/>
    </xf>
    <xf numFmtId="164" fontId="8" fillId="0" borderId="0" xfId="100" applyNumberFormat="1" applyFont="1" applyBorder="1" applyAlignment="1">
      <alignment horizontal="right"/>
    </xf>
    <xf numFmtId="0" fontId="9" fillId="0" borderId="0" xfId="100" applyFont="1" applyBorder="1" applyAlignment="1">
      <alignment horizontal="right"/>
    </xf>
    <xf numFmtId="0" fontId="9" fillId="0" borderId="8" xfId="100" applyFont="1" applyBorder="1" applyAlignment="1">
      <alignment horizontal="center"/>
    </xf>
    <xf numFmtId="170" fontId="8" fillId="36" borderId="0" xfId="100" applyNumberFormat="1" applyFont="1" applyFill="1" applyAlignment="1">
      <alignment horizontal="center"/>
    </xf>
    <xf numFmtId="0" fontId="8" fillId="36" borderId="0" xfId="100" applyFont="1" applyFill="1"/>
    <xf numFmtId="164" fontId="8" fillId="36" borderId="0" xfId="100" applyNumberFormat="1" applyFont="1" applyFill="1"/>
    <xf numFmtId="170" fontId="8" fillId="0" borderId="0" xfId="100" applyNumberFormat="1" applyFont="1" applyFill="1" applyAlignment="1">
      <alignment horizontal="center"/>
    </xf>
    <xf numFmtId="0" fontId="8" fillId="0" borderId="0" xfId="100" applyFont="1" applyFill="1"/>
    <xf numFmtId="164" fontId="8" fillId="0" borderId="0" xfId="100" applyNumberFormat="1" applyFont="1" applyFill="1"/>
    <xf numFmtId="170" fontId="8" fillId="36" borderId="0" xfId="100" applyNumberFormat="1" applyFont="1" applyFill="1" applyBorder="1" applyAlignment="1">
      <alignment horizontal="center"/>
    </xf>
    <xf numFmtId="170" fontId="8" fillId="36" borderId="0" xfId="100" quotePrefix="1" applyNumberFormat="1" applyFont="1" applyFill="1" applyAlignment="1">
      <alignment horizontal="center"/>
    </xf>
    <xf numFmtId="170" fontId="8" fillId="0" borderId="0" xfId="100" quotePrefix="1" applyNumberFormat="1" applyFont="1" applyFill="1" applyAlignment="1">
      <alignment horizontal="center"/>
    </xf>
    <xf numFmtId="164" fontId="8" fillId="0" borderId="0" xfId="100" applyNumberFormat="1" applyFont="1"/>
    <xf numFmtId="164" fontId="8" fillId="0" borderId="0" xfId="96" applyNumberFormat="1" applyFont="1" applyBorder="1"/>
    <xf numFmtId="164" fontId="8" fillId="0" borderId="0" xfId="96" applyNumberFormat="1" applyFont="1"/>
    <xf numFmtId="168" fontId="8" fillId="0" borderId="0" xfId="96" applyNumberFormat="1" applyFont="1" applyBorder="1"/>
    <xf numFmtId="164" fontId="8" fillId="0" borderId="15" xfId="96" applyNumberFormat="1" applyFont="1" applyBorder="1"/>
    <xf numFmtId="0" fontId="8" fillId="0" borderId="0" xfId="100" quotePrefix="1" applyFont="1" applyAlignment="1">
      <alignment horizontal="left" indent="1"/>
    </xf>
    <xf numFmtId="164" fontId="8" fillId="36" borderId="0" xfId="96" applyNumberFormat="1" applyFont="1" applyFill="1" applyBorder="1"/>
    <xf numFmtId="164" fontId="8" fillId="0" borderId="0" xfId="96" applyNumberFormat="1" applyFont="1" applyBorder="1" applyAlignment="1">
      <alignment horizontal="left" indent="1"/>
    </xf>
    <xf numFmtId="39" fontId="8" fillId="0" borderId="0" xfId="96" applyNumberFormat="1" applyFont="1" applyBorder="1"/>
    <xf numFmtId="37" fontId="8" fillId="0" borderId="0" xfId="96" applyNumberFormat="1" applyFont="1" applyBorder="1" applyAlignment="1">
      <alignment horizontal="center"/>
    </xf>
    <xf numFmtId="164" fontId="8" fillId="0" borderId="0" xfId="96" applyNumberFormat="1" applyFont="1" applyFill="1" applyBorder="1"/>
    <xf numFmtId="0" fontId="8" fillId="0" borderId="0" xfId="100" applyFont="1" applyBorder="1"/>
    <xf numFmtId="164" fontId="9" fillId="0" borderId="0" xfId="100" applyNumberFormat="1" applyFont="1" applyBorder="1" applyAlignment="1">
      <alignment horizontal="center"/>
    </xf>
    <xf numFmtId="164" fontId="9" fillId="0" borderId="8" xfId="100" applyNumberFormat="1" applyFont="1" applyBorder="1" applyAlignment="1">
      <alignment horizontal="center"/>
    </xf>
    <xf numFmtId="0" fontId="8" fillId="0" borderId="0" xfId="100" quotePrefix="1" applyFont="1"/>
    <xf numFmtId="10" fontId="8" fillId="0" borderId="0" xfId="96" applyNumberFormat="1" applyFont="1" applyBorder="1"/>
    <xf numFmtId="164" fontId="52" fillId="34" borderId="0" xfId="0" applyNumberFormat="1" applyFont="1" applyFill="1"/>
    <xf numFmtId="3" fontId="56" fillId="0" borderId="0" xfId="0" applyNumberFormat="1" applyFont="1"/>
    <xf numFmtId="164" fontId="52" fillId="36" borderId="0" xfId="0" applyNumberFormat="1" applyFont="1" applyFill="1"/>
    <xf numFmtId="164" fontId="65" fillId="36" borderId="0" xfId="0" applyNumberFormat="1" applyFont="1" applyFill="1"/>
    <xf numFmtId="0" fontId="56" fillId="0" borderId="0" xfId="0" applyFont="1" applyFill="1"/>
    <xf numFmtId="0" fontId="12" fillId="0" borderId="0" xfId="100" applyFont="1" applyBorder="1" applyAlignment="1">
      <alignment horizontal="center"/>
    </xf>
    <xf numFmtId="0" fontId="8" fillId="0" borderId="0" xfId="100" applyFont="1" applyBorder="1" applyAlignment="1">
      <alignment horizontal="left"/>
    </xf>
    <xf numFmtId="1" fontId="8" fillId="36" borderId="0" xfId="100" applyNumberFormat="1" applyFont="1" applyFill="1" applyBorder="1" applyAlignment="1">
      <alignment horizontal="center"/>
    </xf>
    <xf numFmtId="164" fontId="8" fillId="0" borderId="0" xfId="0" applyNumberFormat="1" applyFont="1" applyFill="1" applyAlignment="1">
      <alignment horizontal="center"/>
    </xf>
    <xf numFmtId="0" fontId="8" fillId="0" borderId="0" xfId="100" applyNumberFormat="1" applyFont="1" applyFill="1" applyBorder="1" applyAlignment="1">
      <alignment horizontal="left"/>
    </xf>
    <xf numFmtId="1" fontId="8" fillId="0" borderId="0" xfId="100" quotePrefix="1" applyNumberFormat="1" applyFont="1" applyFill="1" applyBorder="1" applyAlignment="1">
      <alignment horizontal="right"/>
    </xf>
    <xf numFmtId="164" fontId="8" fillId="36" borderId="0" xfId="0" quotePrefix="1" applyNumberFormat="1" applyFont="1" applyFill="1" applyAlignment="1">
      <alignment horizontal="center"/>
    </xf>
    <xf numFmtId="164" fontId="8" fillId="0" borderId="0" xfId="0" quotePrefix="1" applyNumberFormat="1" applyFont="1" applyFill="1" applyAlignment="1">
      <alignment horizontal="center"/>
    </xf>
    <xf numFmtId="0" fontId="9" fillId="0" borderId="0" xfId="100" applyFont="1" applyFill="1" applyBorder="1" applyAlignment="1">
      <alignment horizontal="left"/>
    </xf>
    <xf numFmtId="0" fontId="9" fillId="0" borderId="0" xfId="100" applyNumberFormat="1" applyFont="1" applyFill="1" applyBorder="1" applyAlignment="1">
      <alignment horizontal="left"/>
    </xf>
    <xf numFmtId="0" fontId="8" fillId="0" borderId="0" xfId="100"/>
    <xf numFmtId="0" fontId="8" fillId="36" borderId="0" xfId="100" applyFill="1"/>
    <xf numFmtId="0" fontId="12" fillId="0" borderId="0" xfId="100" quotePrefix="1" applyFont="1" applyAlignment="1">
      <alignment horizontal="center"/>
    </xf>
    <xf numFmtId="0" fontId="12" fillId="0" borderId="0" xfId="100" applyFont="1" applyAlignment="1">
      <alignment horizontal="center"/>
    </xf>
    <xf numFmtId="0" fontId="8" fillId="0" borderId="0" xfId="100" quotePrefix="1" applyFont="1" applyAlignment="1">
      <alignment horizontal="center"/>
    </xf>
    <xf numFmtId="0" fontId="8" fillId="0" borderId="0" xfId="100" quotePrefix="1" applyFont="1" applyFill="1" applyAlignment="1">
      <alignment horizontal="center"/>
    </xf>
    <xf numFmtId="0" fontId="8" fillId="0" borderId="0" xfId="100" applyAlignment="1">
      <alignment horizontal="center"/>
    </xf>
    <xf numFmtId="0" fontId="9" fillId="0" borderId="0" xfId="100" applyFont="1" applyAlignment="1">
      <alignment horizontal="center"/>
    </xf>
    <xf numFmtId="0" fontId="9" fillId="0" borderId="0" xfId="100" applyFont="1" applyFill="1" applyAlignment="1">
      <alignment horizontal="center"/>
    </xf>
    <xf numFmtId="0" fontId="12" fillId="0" borderId="0" xfId="100" applyFont="1"/>
    <xf numFmtId="0" fontId="12" fillId="0" borderId="0" xfId="100" applyFont="1" applyFill="1" applyAlignment="1">
      <alignment horizontal="center"/>
    </xf>
    <xf numFmtId="164" fontId="8" fillId="0" borderId="0" xfId="100" applyNumberFormat="1" applyFont="1" applyFill="1" applyAlignment="1"/>
    <xf numFmtId="10" fontId="8" fillId="0" borderId="0" xfId="37" applyNumberFormat="1" applyFont="1" applyFill="1" applyAlignment="1"/>
    <xf numFmtId="167" fontId="8" fillId="0" borderId="0" xfId="100" applyNumberFormat="1"/>
    <xf numFmtId="164" fontId="15" fillId="0" borderId="0" xfId="100" applyNumberFormat="1" applyFont="1"/>
    <xf numFmtId="0" fontId="8" fillId="0" borderId="0" xfId="100" applyFont="1" applyAlignment="1">
      <alignment horizontal="left"/>
    </xf>
    <xf numFmtId="0" fontId="8" fillId="0" borderId="0" xfId="100" applyFont="1" applyAlignment="1">
      <alignment horizontal="right" indent="1"/>
    </xf>
    <xf numFmtId="167" fontId="0" fillId="0" borderId="0" xfId="19" applyNumberFormat="1" applyFont="1"/>
    <xf numFmtId="164" fontId="8" fillId="0" borderId="0" xfId="100" applyNumberFormat="1" applyFont="1" applyFill="1" applyAlignment="1">
      <alignment horizontal="right"/>
    </xf>
    <xf numFmtId="164" fontId="8" fillId="36" borderId="0" xfId="100" applyNumberFormat="1" applyFont="1" applyFill="1" applyAlignment="1">
      <alignment horizontal="right"/>
    </xf>
    <xf numFmtId="0" fontId="8" fillId="0" borderId="0" xfId="100" applyAlignment="1">
      <alignment horizontal="left" indent="1"/>
    </xf>
    <xf numFmtId="10" fontId="0" fillId="0" borderId="0" xfId="37" applyNumberFormat="1" applyFont="1" applyAlignment="1">
      <alignment horizontal="center"/>
    </xf>
    <xf numFmtId="10" fontId="12" fillId="0" borderId="0" xfId="100" applyNumberFormat="1" applyFont="1" applyAlignment="1">
      <alignment horizontal="center"/>
    </xf>
    <xf numFmtId="0" fontId="8" fillId="0" borderId="0" xfId="100" applyNumberFormat="1"/>
    <xf numFmtId="10" fontId="8" fillId="0" borderId="0" xfId="37" applyNumberFormat="1" applyAlignment="1">
      <alignment horizontal="center"/>
    </xf>
    <xf numFmtId="0" fontId="9" fillId="0" borderId="0" xfId="100" applyFont="1" applyFill="1"/>
    <xf numFmtId="0" fontId="12" fillId="0" borderId="0" xfId="0" applyNumberFormat="1" applyFont="1" applyFill="1" applyAlignment="1">
      <alignment horizontal="center"/>
    </xf>
    <xf numFmtId="0" fontId="10" fillId="0" borderId="0" xfId="0" applyFont="1" applyAlignment="1">
      <alignment horizontal="center"/>
    </xf>
    <xf numFmtId="0" fontId="9" fillId="0" borderId="0" xfId="0" applyNumberFormat="1" applyFont="1" applyFill="1" applyAlignment="1">
      <alignment horizontal="center"/>
    </xf>
    <xf numFmtId="0" fontId="9" fillId="0" borderId="0" xfId="0" applyNumberFormat="1" applyFont="1" applyFill="1" applyAlignment="1">
      <alignment horizontal="center" wrapText="1"/>
    </xf>
    <xf numFmtId="164" fontId="9" fillId="0" borderId="0" xfId="0" applyNumberFormat="1" applyFont="1" applyFill="1" applyAlignment="1">
      <alignment horizontal="right" indent="1"/>
    </xf>
    <xf numFmtId="0" fontId="0" fillId="0" borderId="0" xfId="0" applyNumberFormat="1" applyFill="1"/>
    <xf numFmtId="0" fontId="9" fillId="0" borderId="0" xfId="0" applyNumberFormat="1" applyFont="1" applyFill="1" applyAlignment="1">
      <alignment horizontal="left" indent="2"/>
    </xf>
    <xf numFmtId="0" fontId="12" fillId="0" borderId="0" xfId="0" quotePrefix="1" applyNumberFormat="1" applyFont="1" applyFill="1" applyAlignment="1">
      <alignment horizontal="center"/>
    </xf>
    <xf numFmtId="0" fontId="8" fillId="0" borderId="0" xfId="0" quotePrefix="1" applyNumberFormat="1" applyFont="1" applyFill="1" applyAlignment="1">
      <alignment horizontal="center" wrapText="1"/>
    </xf>
    <xf numFmtId="0" fontId="8" fillId="0" borderId="0" xfId="0" quotePrefix="1" applyNumberFormat="1" applyFont="1" applyFill="1" applyAlignment="1">
      <alignment horizontal="center"/>
    </xf>
    <xf numFmtId="0" fontId="10" fillId="0" borderId="0" xfId="0" quotePrefix="1" applyNumberFormat="1" applyFont="1" applyFill="1" applyAlignment="1">
      <alignment horizontal="center"/>
    </xf>
    <xf numFmtId="0" fontId="0" fillId="0" borderId="0" xfId="0" quotePrefix="1" applyNumberFormat="1" applyFill="1"/>
    <xf numFmtId="0" fontId="8" fillId="0" borderId="0" xfId="0" applyNumberFormat="1" applyFont="1" applyFill="1" applyAlignment="1"/>
    <xf numFmtId="0" fontId="0" fillId="0" borderId="0" xfId="0" applyNumberFormat="1" applyFill="1" applyAlignment="1">
      <alignment horizontal="left"/>
    </xf>
    <xf numFmtId="0" fontId="8" fillId="0" borderId="0" xfId="100" applyNumberFormat="1" applyFont="1" applyFill="1" applyBorder="1" applyAlignment="1">
      <alignment horizontal="center"/>
    </xf>
    <xf numFmtId="0" fontId="15" fillId="0" borderId="0" xfId="0" applyNumberFormat="1" applyFont="1" applyFill="1"/>
    <xf numFmtId="0" fontId="8" fillId="0" borderId="0" xfId="100" quotePrefix="1" applyNumberFormat="1" applyFont="1" applyFill="1" applyBorder="1" applyAlignment="1">
      <alignment horizontal="right"/>
    </xf>
    <xf numFmtId="0" fontId="8" fillId="0" borderId="0" xfId="0" applyNumberFormat="1" applyFont="1" applyFill="1" applyAlignment="1">
      <alignment horizontal="right"/>
    </xf>
    <xf numFmtId="0" fontId="9" fillId="0" borderId="0" xfId="0" applyNumberFormat="1" applyFont="1" applyFill="1"/>
    <xf numFmtId="0" fontId="8" fillId="0" borderId="0" xfId="0" applyNumberFormat="1" applyFont="1" applyFill="1"/>
    <xf numFmtId="0" fontId="8" fillId="0" borderId="0" xfId="0" applyNumberFormat="1" applyFont="1" applyFill="1" applyAlignment="1">
      <alignment horizontal="left" indent="1"/>
    </xf>
    <xf numFmtId="0" fontId="9" fillId="0" borderId="0" xfId="100" applyFont="1" applyAlignment="1">
      <alignment horizontal="right"/>
    </xf>
    <xf numFmtId="164" fontId="9" fillId="0" borderId="0" xfId="100" applyNumberFormat="1" applyFont="1"/>
    <xf numFmtId="166" fontId="9" fillId="0" borderId="0" xfId="100" applyNumberFormat="1" applyFont="1"/>
    <xf numFmtId="10" fontId="12" fillId="0" borderId="0" xfId="37" applyNumberFormat="1" applyFont="1" applyAlignment="1">
      <alignment horizontal="center"/>
    </xf>
    <xf numFmtId="0" fontId="8" fillId="0" borderId="0" xfId="100" applyAlignment="1">
      <alignment horizontal="center" wrapText="1"/>
    </xf>
    <xf numFmtId="164" fontId="8" fillId="0" borderId="0" xfId="100" quotePrefix="1" applyNumberFormat="1" applyAlignment="1">
      <alignment horizontal="center"/>
    </xf>
    <xf numFmtId="0" fontId="8" fillId="0" borderId="0" xfId="100" quotePrefix="1" applyAlignment="1">
      <alignment horizontal="center" wrapText="1"/>
    </xf>
    <xf numFmtId="0" fontId="8" fillId="0" borderId="0" xfId="100" quotePrefix="1" applyFont="1" applyAlignment="1">
      <alignment horizontal="center" wrapText="1"/>
    </xf>
    <xf numFmtId="10" fontId="8" fillId="0" borderId="0" xfId="37" quotePrefix="1" applyNumberFormat="1" applyFont="1" applyAlignment="1">
      <alignment horizontal="center" wrapText="1"/>
    </xf>
    <xf numFmtId="5" fontId="8" fillId="0" borderId="0" xfId="19" applyNumberFormat="1" applyFont="1" applyFill="1" applyAlignment="1"/>
    <xf numFmtId="5" fontId="0" fillId="0" borderId="0" xfId="19" applyNumberFormat="1" applyFont="1" applyFill="1"/>
    <xf numFmtId="5" fontId="0" fillId="36" borderId="0" xfId="19" applyNumberFormat="1" applyFont="1" applyFill="1"/>
    <xf numFmtId="180" fontId="8" fillId="0" borderId="0" xfId="23" applyNumberFormat="1" applyFont="1"/>
    <xf numFmtId="10" fontId="8" fillId="0" borderId="0" xfId="100" applyNumberFormat="1"/>
    <xf numFmtId="0" fontId="15" fillId="0" borderId="0" xfId="100" applyFont="1" applyAlignment="1">
      <alignment horizontal="center"/>
    </xf>
    <xf numFmtId="5" fontId="8" fillId="0" borderId="0" xfId="19" applyNumberFormat="1"/>
    <xf numFmtId="5" fontId="8" fillId="0" borderId="0" xfId="100" applyNumberFormat="1"/>
    <xf numFmtId="5" fontId="8" fillId="0" borderId="0" xfId="100" applyNumberFormat="1" applyFont="1"/>
    <xf numFmtId="174" fontId="0" fillId="0" borderId="0" xfId="0" applyNumberFormat="1"/>
    <xf numFmtId="0" fontId="8" fillId="0" borderId="0" xfId="0" applyFont="1" applyFill="1" applyAlignment="1">
      <alignment horizontal="center"/>
    </xf>
    <xf numFmtId="0" fontId="8" fillId="36" borderId="0" xfId="0" applyFont="1" applyFill="1" applyAlignment="1">
      <alignment horizontal="center"/>
    </xf>
    <xf numFmtId="164" fontId="8" fillId="0" borderId="0" xfId="0" applyNumberFormat="1" applyFont="1" applyAlignment="1">
      <alignment horizontal="right"/>
    </xf>
    <xf numFmtId="0" fontId="9" fillId="0" borderId="0" xfId="108" applyFont="1" applyFill="1"/>
    <xf numFmtId="0" fontId="8" fillId="0" borderId="0" xfId="108" applyFill="1"/>
    <xf numFmtId="0" fontId="12" fillId="0" borderId="0" xfId="108" applyFont="1" applyFill="1"/>
    <xf numFmtId="0" fontId="9" fillId="0" borderId="0" xfId="108" applyFont="1" applyFill="1" applyAlignment="1">
      <alignment horizontal="center"/>
    </xf>
    <xf numFmtId="0" fontId="9" fillId="0" borderId="8" xfId="108" applyFont="1" applyFill="1" applyBorder="1" applyAlignment="1">
      <alignment horizontal="center"/>
    </xf>
    <xf numFmtId="0" fontId="9" fillId="0" borderId="0" xfId="108" applyFont="1" applyFill="1" applyBorder="1" applyAlignment="1">
      <alignment horizontal="center"/>
    </xf>
    <xf numFmtId="0" fontId="9" fillId="0" borderId="8" xfId="108" applyFont="1" applyBorder="1" applyAlignment="1">
      <alignment horizontal="center"/>
    </xf>
    <xf numFmtId="0" fontId="30" fillId="0" borderId="0" xfId="0" applyFont="1"/>
    <xf numFmtId="164" fontId="8" fillId="0" borderId="16" xfId="108" applyNumberFormat="1" applyFill="1" applyBorder="1"/>
    <xf numFmtId="0" fontId="9" fillId="0" borderId="0" xfId="108" quotePrefix="1" applyFont="1" applyFill="1" applyAlignment="1">
      <alignment horizontal="center"/>
    </xf>
    <xf numFmtId="0" fontId="28" fillId="0" borderId="0" xfId="0" applyFont="1" applyFill="1" applyAlignment="1">
      <alignment horizontal="center"/>
    </xf>
    <xf numFmtId="164" fontId="8" fillId="0" borderId="0" xfId="108" applyNumberFormat="1" applyFill="1" applyBorder="1"/>
    <xf numFmtId="164" fontId="8" fillId="0" borderId="8" xfId="108" applyNumberFormat="1" applyFont="1" applyFill="1" applyBorder="1" applyAlignment="1">
      <alignment horizontal="right"/>
    </xf>
    <xf numFmtId="164" fontId="8" fillId="0" borderId="0" xfId="108" applyNumberFormat="1" applyFont="1" applyFill="1" applyBorder="1" applyAlignment="1">
      <alignment horizontal="right"/>
    </xf>
    <xf numFmtId="164" fontId="8" fillId="0" borderId="17" xfId="108" applyNumberFormat="1" applyBorder="1"/>
    <xf numFmtId="0" fontId="8" fillId="0" borderId="0" xfId="108" applyFill="1" applyBorder="1"/>
    <xf numFmtId="0" fontId="0" fillId="0" borderId="0" xfId="0" applyFill="1" applyBorder="1" applyAlignment="1">
      <alignment horizontal="center"/>
    </xf>
    <xf numFmtId="0" fontId="8" fillId="0" borderId="8" xfId="0" applyFont="1" applyBorder="1" applyAlignment="1">
      <alignment horizontal="center"/>
    </xf>
    <xf numFmtId="164" fontId="8" fillId="34" borderId="0" xfId="19" applyNumberFormat="1" applyFont="1" applyFill="1"/>
    <xf numFmtId="164" fontId="8" fillId="0" borderId="0" xfId="19" applyNumberFormat="1" applyFont="1" applyFill="1" applyBorder="1"/>
    <xf numFmtId="37" fontId="8" fillId="0" borderId="0" xfId="19" applyNumberFormat="1" applyFont="1" applyFill="1" applyBorder="1"/>
    <xf numFmtId="37" fontId="0" fillId="0" borderId="0" xfId="19" quotePrefix="1" applyNumberFormat="1" applyFont="1" applyFill="1" applyBorder="1"/>
    <xf numFmtId="37" fontId="0" fillId="0" borderId="0" xfId="19" applyNumberFormat="1" applyFont="1" applyFill="1" applyBorder="1"/>
    <xf numFmtId="3" fontId="0" fillId="0" borderId="0" xfId="0" applyNumberFormat="1" applyFill="1" applyBorder="1"/>
    <xf numFmtId="37" fontId="0" fillId="0" borderId="0" xfId="0" applyNumberFormat="1" applyFill="1" applyBorder="1"/>
    <xf numFmtId="165" fontId="0" fillId="0" borderId="0" xfId="37" quotePrefix="1" applyNumberFormat="1" applyFont="1" applyFill="1" applyBorder="1"/>
    <xf numFmtId="165" fontId="0" fillId="0" borderId="8" xfId="37" applyNumberFormat="1" applyFont="1" applyFill="1" applyBorder="1"/>
    <xf numFmtId="165" fontId="0" fillId="0" borderId="0" xfId="37" applyNumberFormat="1" applyFont="1" applyFill="1" applyBorder="1"/>
    <xf numFmtId="164" fontId="0" fillId="0" borderId="16" xfId="19" applyNumberFormat="1" applyFont="1" applyBorder="1"/>
    <xf numFmtId="164" fontId="0" fillId="0" borderId="0" xfId="19" applyNumberFormat="1" applyFont="1" applyFill="1" applyBorder="1"/>
    <xf numFmtId="164" fontId="0" fillId="0" borderId="16" xfId="0" applyNumberFormat="1" applyBorder="1"/>
    <xf numFmtId="0" fontId="30" fillId="0" borderId="0" xfId="0" applyFont="1" applyAlignment="1">
      <alignment wrapText="1"/>
    </xf>
    <xf numFmtId="164" fontId="8"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8" fillId="36" borderId="0" xfId="100" quotePrefix="1" applyNumberFormat="1" applyFont="1" applyFill="1" applyBorder="1" applyAlignment="1">
      <alignment horizontal="left"/>
    </xf>
    <xf numFmtId="0" fontId="8" fillId="36" borderId="0" xfId="100" quotePrefix="1" applyFont="1" applyFill="1" applyBorder="1" applyAlignment="1">
      <alignment horizontal="left"/>
    </xf>
    <xf numFmtId="10" fontId="45" fillId="36" borderId="0" xfId="0" applyNumberFormat="1" applyFont="1" applyFill="1"/>
    <xf numFmtId="0" fontId="8" fillId="0" borderId="0" xfId="0" quotePrefix="1" applyFont="1" applyAlignment="1">
      <alignment horizontal="right"/>
    </xf>
    <xf numFmtId="0" fontId="11" fillId="0" borderId="0" xfId="28" applyFill="1" applyBorder="1" applyAlignment="1" applyProtection="1">
      <alignment horizontal="left" vertical="top" indent="1"/>
      <protection locked="0"/>
    </xf>
    <xf numFmtId="0" fontId="11" fillId="0" borderId="0" xfId="28" applyFont="1" applyFill="1" applyBorder="1" applyAlignment="1" applyProtection="1">
      <alignment horizontal="left" indent="1"/>
      <protection locked="0"/>
    </xf>
    <xf numFmtId="49" fontId="8" fillId="0" borderId="0" xfId="19" applyNumberFormat="1" applyFont="1" applyBorder="1" applyAlignment="1">
      <alignment horizontal="left" indent="1"/>
    </xf>
    <xf numFmtId="0" fontId="9" fillId="0" borderId="3" xfId="28" applyFont="1" applyFill="1" applyBorder="1" applyAlignment="1">
      <alignment horizontal="center"/>
    </xf>
    <xf numFmtId="0" fontId="11" fillId="0" borderId="6" xfId="0" applyFont="1" applyFill="1" applyBorder="1" applyAlignment="1">
      <alignment horizontal="left"/>
    </xf>
    <xf numFmtId="0" fontId="8" fillId="36" borderId="0" xfId="100" applyFill="1" applyAlignment="1">
      <alignment horizontal="center"/>
    </xf>
    <xf numFmtId="0" fontId="17" fillId="0" borderId="0" xfId="27" applyFill="1" applyAlignment="1" applyProtection="1"/>
    <xf numFmtId="0" fontId="0" fillId="0" borderId="0" xfId="0" applyFill="1" applyAlignment="1">
      <alignment horizontal="center"/>
    </xf>
    <xf numFmtId="0" fontId="0" fillId="0" borderId="0" xfId="0" applyFill="1" applyAlignment="1">
      <alignment horizontal="left"/>
    </xf>
    <xf numFmtId="0" fontId="15" fillId="0" borderId="0" xfId="0" applyFont="1" applyFill="1" applyAlignment="1">
      <alignment horizontal="left"/>
    </xf>
    <xf numFmtId="0" fontId="11" fillId="0" borderId="0" xfId="28" applyFont="1" applyFill="1" applyBorder="1" applyAlignment="1">
      <alignment horizontal="left" indent="1"/>
    </xf>
    <xf numFmtId="168" fontId="11" fillId="0" borderId="0" xfId="0" applyNumberFormat="1" applyFont="1" applyFill="1"/>
    <xf numFmtId="0" fontId="8" fillId="0" borderId="0" xfId="0" applyFont="1" applyFill="1" applyAlignment="1">
      <alignment horizontal="right"/>
    </xf>
    <xf numFmtId="0" fontId="8" fillId="0" borderId="0" xfId="0" quotePrefix="1" applyFont="1" applyFill="1" applyAlignment="1">
      <alignment horizontal="right"/>
    </xf>
    <xf numFmtId="168" fontId="0" fillId="0" borderId="0" xfId="0" applyNumberFormat="1" applyFill="1"/>
    <xf numFmtId="0" fontId="45" fillId="0" borderId="0" xfId="0" applyFont="1" applyFill="1" applyAlignment="1">
      <alignment horizontal="right"/>
    </xf>
    <xf numFmtId="166" fontId="8" fillId="0" borderId="0" xfId="0" applyNumberFormat="1" applyFont="1" applyFill="1" applyAlignment="1">
      <alignment horizontal="left" indent="1"/>
    </xf>
    <xf numFmtId="0" fontId="11" fillId="0" borderId="0" xfId="28" applyFont="1" applyFill="1" applyBorder="1" applyAlignment="1">
      <alignment horizontal="left"/>
    </xf>
    <xf numFmtId="165" fontId="11" fillId="0" borderId="0" xfId="0" applyNumberFormat="1" applyFont="1" applyFill="1" applyAlignment="1">
      <alignment horizontal="left" indent="1"/>
    </xf>
    <xf numFmtId="168" fontId="15" fillId="0" borderId="0" xfId="0" applyNumberFormat="1" applyFont="1" applyFill="1"/>
    <xf numFmtId="168" fontId="45" fillId="0" borderId="0" xfId="0" applyNumberFormat="1" applyFont="1" applyFill="1"/>
    <xf numFmtId="0" fontId="8" fillId="0" borderId="0" xfId="0" applyFont="1" applyFill="1" applyAlignment="1">
      <alignment horizontal="left" indent="2"/>
    </xf>
    <xf numFmtId="0" fontId="11" fillId="0" borderId="0" xfId="0" quotePrefix="1" applyFont="1" applyFill="1" applyAlignment="1">
      <alignment horizontal="left" indent="2"/>
    </xf>
    <xf numFmtId="0" fontId="8" fillId="0" borderId="0" xfId="0" quotePrefix="1" applyFont="1" applyFill="1" applyAlignment="1">
      <alignment horizontal="left" indent="2"/>
    </xf>
    <xf numFmtId="0" fontId="8" fillId="0" borderId="0" xfId="0" applyFont="1" applyFill="1" applyAlignment="1">
      <alignment horizontal="left" indent="3"/>
    </xf>
    <xf numFmtId="0" fontId="11" fillId="0" borderId="0" xfId="0" applyFont="1" applyFill="1" applyAlignment="1">
      <alignment horizontal="left" indent="4"/>
    </xf>
    <xf numFmtId="0" fontId="45" fillId="0" borderId="0" xfId="0" applyFont="1" applyFill="1" applyAlignment="1">
      <alignment horizontal="left"/>
    </xf>
    <xf numFmtId="0" fontId="12" fillId="0" borderId="0" xfId="0" applyFont="1" applyFill="1"/>
    <xf numFmtId="0" fontId="9" fillId="0" borderId="0" xfId="0" applyFont="1" applyFill="1" applyAlignment="1">
      <alignment horizontal="left" indent="1"/>
    </xf>
    <xf numFmtId="0" fontId="9" fillId="0" borderId="0" xfId="0" applyNumberFormat="1" applyFont="1" applyFill="1" applyAlignment="1">
      <alignment horizontal="left"/>
    </xf>
    <xf numFmtId="0" fontId="8" fillId="0" borderId="0" xfId="0" applyFont="1" applyFill="1" applyAlignment="1"/>
    <xf numFmtId="0" fontId="9" fillId="0" borderId="0" xfId="0" quotePrefix="1" applyFont="1" applyFill="1" applyAlignment="1">
      <alignment horizontal="center"/>
    </xf>
    <xf numFmtId="10" fontId="8" fillId="0" borderId="0" xfId="0" quotePrefix="1" applyNumberFormat="1" applyFont="1" applyFill="1" applyAlignment="1">
      <alignment horizontal="right"/>
    </xf>
    <xf numFmtId="3" fontId="0" fillId="0" borderId="0" xfId="0" applyNumberFormat="1" applyFill="1" applyAlignment="1">
      <alignment horizontal="center"/>
    </xf>
    <xf numFmtId="0" fontId="44" fillId="0" borderId="0" xfId="0" applyFont="1" applyFill="1"/>
    <xf numFmtId="164" fontId="44" fillId="0" borderId="0" xfId="0" applyNumberFormat="1" applyFont="1" applyFill="1" applyBorder="1"/>
    <xf numFmtId="0" fontId="46" fillId="0" borderId="0" xfId="0" applyFont="1" applyFill="1"/>
    <xf numFmtId="0" fontId="61" fillId="0" borderId="0" xfId="0" applyFont="1" applyFill="1" applyAlignment="1">
      <alignment horizontal="left" vertical="center"/>
    </xf>
    <xf numFmtId="164" fontId="8" fillId="0" borderId="0" xfId="19" applyNumberFormat="1" applyFont="1" applyBorder="1"/>
    <xf numFmtId="41" fontId="8" fillId="0" borderId="0" xfId="19" applyNumberFormat="1" applyFont="1" applyBorder="1"/>
    <xf numFmtId="41" fontId="8" fillId="0" borderId="0" xfId="34" applyNumberFormat="1" applyFont="1" applyBorder="1"/>
    <xf numFmtId="5" fontId="8" fillId="36" borderId="0" xfId="19" applyNumberFormat="1" applyFont="1" applyFill="1" applyBorder="1"/>
    <xf numFmtId="0" fontId="9" fillId="0" borderId="0" xfId="34" applyFont="1" applyFill="1"/>
    <xf numFmtId="0" fontId="11" fillId="0" borderId="0" xfId="34" applyFont="1" applyFill="1"/>
    <xf numFmtId="0" fontId="8" fillId="0" borderId="0" xfId="34" applyFont="1" applyFill="1" applyAlignment="1">
      <alignment horizontal="right"/>
    </xf>
    <xf numFmtId="0" fontId="47" fillId="0" borderId="0" xfId="0" applyFont="1" applyFill="1" applyAlignment="1">
      <alignment horizontal="left" indent="1"/>
    </xf>
    <xf numFmtId="0" fontId="8" fillId="0" borderId="0" xfId="100" applyFont="1" applyFill="1" applyAlignment="1">
      <alignment horizontal="left" indent="1"/>
    </xf>
    <xf numFmtId="0" fontId="45" fillId="0" borderId="0" xfId="0" quotePrefix="1" applyFont="1" applyFill="1" applyAlignment="1">
      <alignment horizontal="center"/>
    </xf>
    <xf numFmtId="0" fontId="44" fillId="36" borderId="0" xfId="0" applyFont="1" applyFill="1"/>
    <xf numFmtId="39" fontId="8" fillId="0" borderId="0" xfId="0" applyNumberFormat="1" applyFont="1" applyFill="1" applyAlignment="1">
      <alignment horizontal="left" indent="1"/>
    </xf>
    <xf numFmtId="39" fontId="45" fillId="0" borderId="0" xfId="0" applyNumberFormat="1" applyFont="1" applyFill="1" applyAlignment="1">
      <alignment horizontal="left" indent="1"/>
    </xf>
    <xf numFmtId="168" fontId="8" fillId="0" borderId="0" xfId="96" applyNumberFormat="1" applyFont="1" applyFill="1" applyBorder="1"/>
    <xf numFmtId="164" fontId="52" fillId="0" borderId="0" xfId="0" applyNumberFormat="1" applyFont="1" applyFill="1"/>
    <xf numFmtId="0" fontId="8" fillId="0" borderId="0" xfId="0" applyFont="1" applyFill="1" applyBorder="1" applyAlignment="1">
      <alignment horizontal="left" indent="1"/>
    </xf>
    <xf numFmtId="0" fontId="52" fillId="0" borderId="0" xfId="0" applyFont="1" applyFill="1"/>
    <xf numFmtId="0" fontId="52" fillId="0" borderId="0" xfId="0" applyFont="1" applyFill="1" applyAlignment="1">
      <alignment horizontal="left" indent="1"/>
    </xf>
    <xf numFmtId="0" fontId="58" fillId="0" borderId="0" xfId="0" applyFont="1" applyFill="1"/>
    <xf numFmtId="0" fontId="8" fillId="0" borderId="0" xfId="0" quotePrefix="1" applyFont="1" applyFill="1" applyAlignment="1">
      <alignment horizontal="left" indent="1"/>
    </xf>
    <xf numFmtId="0" fontId="8" fillId="0" borderId="0" xfId="28" applyFont="1" applyFill="1" applyBorder="1"/>
    <xf numFmtId="166" fontId="11" fillId="0" borderId="0" xfId="20" applyNumberFormat="1" applyFont="1" applyFill="1" applyBorder="1" applyAlignment="1">
      <alignment horizontal="right"/>
    </xf>
    <xf numFmtId="0" fontId="8" fillId="0" borderId="0" xfId="100" applyFont="1" applyFill="1" applyBorder="1" applyAlignment="1"/>
    <xf numFmtId="0" fontId="11" fillId="0" borderId="0" xfId="28" applyFont="1" applyFill="1" applyBorder="1" applyAlignment="1">
      <alignment horizontal="right"/>
    </xf>
    <xf numFmtId="164" fontId="0" fillId="0" borderId="0" xfId="0" applyNumberFormat="1" applyFill="1" applyAlignment="1">
      <alignment horizontal="right"/>
    </xf>
    <xf numFmtId="164" fontId="9" fillId="0" borderId="0" xfId="100" applyNumberFormat="1" applyFont="1" applyFill="1"/>
    <xf numFmtId="0" fontId="8" fillId="0" borderId="0" xfId="100" applyNumberFormat="1" applyFont="1" applyFill="1" applyAlignment="1">
      <alignment horizontal="center"/>
    </xf>
    <xf numFmtId="5" fontId="8" fillId="0" borderId="0" xfId="19" applyNumberFormat="1" applyFill="1"/>
    <xf numFmtId="10" fontId="8" fillId="0" borderId="0" xfId="37" applyNumberFormat="1" applyFont="1" applyFill="1" applyAlignment="1">
      <alignment horizontal="center"/>
    </xf>
    <xf numFmtId="5" fontId="8" fillId="0" borderId="0" xfId="100" applyNumberFormat="1" applyFill="1"/>
    <xf numFmtId="0" fontId="8" fillId="0" borderId="0" xfId="100" quotePrefix="1" applyFill="1"/>
    <xf numFmtId="166" fontId="45" fillId="0" borderId="0" xfId="0" applyNumberFormat="1" applyFont="1" applyFill="1"/>
    <xf numFmtId="10" fontId="8" fillId="0" borderId="0" xfId="0" applyNumberFormat="1" applyFont="1"/>
    <xf numFmtId="164" fontId="8" fillId="36" borderId="0" xfId="28" applyNumberFormat="1" applyFont="1" applyFill="1"/>
    <xf numFmtId="167" fontId="8" fillId="36" borderId="0" xfId="28" quotePrefix="1" applyNumberFormat="1" applyFont="1" applyFill="1" applyBorder="1" applyAlignment="1">
      <alignment horizontal="center"/>
    </xf>
    <xf numFmtId="0" fontId="8" fillId="36" borderId="0" xfId="22" applyNumberFormat="1" applyFont="1" applyFill="1" applyBorder="1" applyAlignment="1">
      <alignment horizontal="center"/>
    </xf>
    <xf numFmtId="0" fontId="8" fillId="36" borderId="0" xfId="22" applyNumberFormat="1" applyFont="1" applyFill="1" applyBorder="1" applyAlignment="1" applyProtection="1">
      <alignment horizontal="center"/>
      <protection locked="0"/>
    </xf>
    <xf numFmtId="0" fontId="8" fillId="36" borderId="0" xfId="28" applyNumberFormat="1" applyFont="1" applyFill="1"/>
    <xf numFmtId="164" fontId="8" fillId="0" borderId="0" xfId="28" applyNumberFormat="1" applyFont="1" applyFill="1" applyBorder="1" applyAlignment="1">
      <alignment horizontal="center"/>
    </xf>
    <xf numFmtId="167" fontId="11" fillId="0" borderId="0" xfId="28" applyNumberFormat="1" applyFill="1" applyBorder="1" applyAlignment="1">
      <alignment horizontal="center"/>
    </xf>
    <xf numFmtId="0" fontId="12" fillId="0" borderId="0" xfId="0" quotePrefix="1" applyFont="1" applyFill="1" applyAlignment="1">
      <alignment horizontal="center" vertical="top"/>
    </xf>
    <xf numFmtId="0" fontId="9" fillId="0" borderId="7" xfId="28" applyFont="1" applyFill="1" applyBorder="1" applyAlignment="1">
      <alignment horizontal="center"/>
    </xf>
    <xf numFmtId="0" fontId="8" fillId="0" borderId="0" xfId="28" quotePrefix="1" applyFont="1" applyFill="1"/>
    <xf numFmtId="167" fontId="11" fillId="0" borderId="0" xfId="28" applyNumberFormat="1" applyFill="1" applyBorder="1" applyAlignment="1"/>
    <xf numFmtId="171" fontId="11" fillId="0" borderId="0" xfId="39" applyNumberFormat="1" applyFont="1" applyFill="1" applyBorder="1" applyAlignment="1">
      <alignment horizontal="center"/>
    </xf>
    <xf numFmtId="171" fontId="8" fillId="0" borderId="0" xfId="39" applyNumberFormat="1" applyFont="1" applyFill="1" applyBorder="1" applyAlignment="1">
      <alignment horizontal="center" wrapText="1"/>
    </xf>
    <xf numFmtId="10" fontId="0" fillId="0" borderId="0" xfId="39" applyNumberFormat="1" applyFont="1" applyFill="1" applyAlignment="1">
      <alignment horizontal="center"/>
    </xf>
    <xf numFmtId="10" fontId="11" fillId="0" borderId="0" xfId="39" applyNumberFormat="1" applyFont="1" applyFill="1" applyBorder="1" applyAlignment="1">
      <alignment horizontal="center" vertical="justify" wrapText="1"/>
    </xf>
    <xf numFmtId="10" fontId="11" fillId="0" borderId="8" xfId="39" applyNumberFormat="1" applyFont="1" applyFill="1" applyBorder="1" applyAlignment="1">
      <alignment horizontal="center" wrapText="1"/>
    </xf>
    <xf numFmtId="0" fontId="9" fillId="0" borderId="0" xfId="0" applyFont="1" applyFill="1" applyAlignment="1">
      <alignment horizontal="center" vertical="justify"/>
    </xf>
    <xf numFmtId="0" fontId="11" fillId="0" borderId="0" xfId="28" applyFill="1" applyAlignment="1">
      <alignment vertical="justify"/>
    </xf>
    <xf numFmtId="0" fontId="8" fillId="0" borderId="0" xfId="28" applyFont="1" applyFill="1" applyBorder="1" applyAlignment="1" applyProtection="1">
      <alignment horizontal="left" indent="2"/>
      <protection locked="0"/>
    </xf>
    <xf numFmtId="0" fontId="8" fillId="0" borderId="0" xfId="28" applyFont="1" applyFill="1" applyAlignment="1">
      <alignment horizontal="right"/>
    </xf>
    <xf numFmtId="0" fontId="8" fillId="0" borderId="0" xfId="28" applyFont="1" applyFill="1" applyAlignment="1">
      <alignment horizontal="left" indent="1"/>
    </xf>
    <xf numFmtId="10" fontId="11" fillId="0" borderId="0" xfId="28" applyNumberFormat="1" applyFill="1"/>
    <xf numFmtId="0" fontId="15" fillId="0" borderId="0" xfId="28" applyFont="1" applyFill="1" applyAlignment="1">
      <alignment horizontal="center"/>
    </xf>
    <xf numFmtId="0" fontId="8" fillId="0" borderId="0" xfId="28" applyFont="1" applyFill="1" applyAlignment="1">
      <alignment horizontal="left" indent="2"/>
    </xf>
    <xf numFmtId="171" fontId="11" fillId="0" borderId="0" xfId="28" applyNumberFormat="1" applyFill="1"/>
    <xf numFmtId="0" fontId="8" fillId="0" borderId="0" xfId="28" applyFont="1" applyFill="1" applyAlignment="1">
      <alignment horizontal="left" indent="3"/>
    </xf>
    <xf numFmtId="0" fontId="11" fillId="0" borderId="0" xfId="28" applyFill="1" applyAlignment="1">
      <alignment horizontal="left" indent="3"/>
    </xf>
    <xf numFmtId="0" fontId="11" fillId="0" borderId="0" xfId="28" applyFill="1" applyAlignment="1">
      <alignment horizontal="left" indent="2"/>
    </xf>
    <xf numFmtId="165" fontId="16" fillId="0" borderId="0" xfId="0" applyNumberFormat="1" applyFont="1" applyFill="1"/>
    <xf numFmtId="164" fontId="8" fillId="0" borderId="0" xfId="0" applyNumberFormat="1" applyFont="1" applyFill="1" applyAlignment="1"/>
    <xf numFmtId="164" fontId="15" fillId="36" borderId="0" xfId="100" applyNumberFormat="1" applyFont="1" applyFill="1"/>
    <xf numFmtId="0" fontId="60" fillId="0" borderId="0" xfId="0" applyFont="1" applyFill="1"/>
    <xf numFmtId="0" fontId="8" fillId="0" borderId="0" xfId="100" applyFont="1" applyFill="1" applyAlignment="1">
      <alignment horizontal="left" indent="2"/>
    </xf>
    <xf numFmtId="0" fontId="8" fillId="0" borderId="0" xfId="100" applyFont="1" applyFill="1" applyAlignment="1">
      <alignment horizontal="left"/>
    </xf>
    <xf numFmtId="37" fontId="8" fillId="36" borderId="3" xfId="0" applyNumberFormat="1" applyFont="1" applyFill="1" applyBorder="1" applyAlignment="1">
      <alignment horizontal="center"/>
    </xf>
    <xf numFmtId="0" fontId="8" fillId="0" borderId="3" xfId="0" quotePrefix="1" applyNumberFormat="1" applyFont="1" applyFill="1" applyBorder="1"/>
    <xf numFmtId="0" fontId="8" fillId="0" borderId="3" xfId="0" quotePrefix="1" applyNumberFormat="1" applyFont="1" applyFill="1" applyBorder="1" applyAlignment="1">
      <alignment horizontal="center"/>
    </xf>
    <xf numFmtId="0" fontId="11" fillId="0" borderId="4" xfId="0" applyFont="1" applyFill="1" applyBorder="1" applyAlignment="1">
      <alignment horizontal="left"/>
    </xf>
    <xf numFmtId="49" fontId="8" fillId="0" borderId="0" xfId="22" applyNumberFormat="1" applyFont="1" applyFill="1" applyBorder="1" applyAlignment="1">
      <alignment horizontal="left"/>
    </xf>
    <xf numFmtId="49" fontId="11" fillId="0" borderId="0" xfId="22" quotePrefix="1" applyNumberFormat="1" applyFont="1" applyFill="1" applyBorder="1" applyAlignment="1">
      <alignment horizontal="left"/>
    </xf>
    <xf numFmtId="49" fontId="11" fillId="0" borderId="0" xfId="22" applyNumberFormat="1" applyFont="1" applyFill="1" applyBorder="1" applyAlignment="1">
      <alignment horizontal="left"/>
    </xf>
    <xf numFmtId="49" fontId="11" fillId="0" borderId="0" xfId="0" applyNumberFormat="1" applyFont="1" applyFill="1" applyBorder="1" applyAlignment="1">
      <alignment horizontal="left"/>
    </xf>
    <xf numFmtId="39" fontId="8" fillId="0" borderId="0" xfId="22" applyNumberFormat="1" applyFont="1" applyFill="1" applyBorder="1" applyAlignment="1">
      <alignment horizontal="right"/>
    </xf>
    <xf numFmtId="164" fontId="15" fillId="36" borderId="0" xfId="23" applyNumberFormat="1" applyFont="1" applyFill="1" applyAlignment="1">
      <alignment horizontal="right"/>
    </xf>
    <xf numFmtId="0" fontId="12" fillId="0" borderId="0" xfId="108" applyFont="1" applyFill="1" applyAlignment="1">
      <alignment horizontal="center"/>
    </xf>
    <xf numFmtId="0" fontId="12" fillId="0" borderId="0" xfId="108" applyFont="1" applyFill="1" applyAlignment="1">
      <alignment horizontal="left"/>
    </xf>
    <xf numFmtId="0" fontId="43" fillId="0" borderId="0" xfId="0" applyFont="1" applyFill="1"/>
    <xf numFmtId="0" fontId="9" fillId="0" borderId="0" xfId="108" applyFont="1" applyFill="1" applyAlignment="1"/>
    <xf numFmtId="0" fontId="12" fillId="0" borderId="0" xfId="108" applyFont="1" applyFill="1" applyAlignment="1"/>
    <xf numFmtId="0" fontId="8" fillId="0" borderId="0" xfId="108" applyFont="1" applyFill="1" applyAlignment="1">
      <alignment horizontal="left" indent="1"/>
    </xf>
    <xf numFmtId="0" fontId="43" fillId="0" borderId="0" xfId="0" applyFont="1" applyFill="1" applyAlignment="1">
      <alignment horizontal="center"/>
    </xf>
    <xf numFmtId="0" fontId="9" fillId="0" borderId="0" xfId="0" applyFont="1" applyFill="1" applyAlignment="1">
      <alignment horizontal="left" indent="2"/>
    </xf>
    <xf numFmtId="176" fontId="45" fillId="0" borderId="0" xfId="0" applyNumberFormat="1" applyFont="1" applyFill="1"/>
    <xf numFmtId="0" fontId="46" fillId="0" borderId="0" xfId="0" applyFont="1" applyFill="1" applyAlignment="1">
      <alignment horizontal="left" indent="1"/>
    </xf>
    <xf numFmtId="0" fontId="46" fillId="0" borderId="0" xfId="0" applyFont="1" applyFill="1" applyAlignment="1">
      <alignment horizontal="left"/>
    </xf>
    <xf numFmtId="173" fontId="45" fillId="0" borderId="0" xfId="0" applyNumberFormat="1" applyFont="1" applyFill="1"/>
    <xf numFmtId="168" fontId="0" fillId="0" borderId="0" xfId="0" applyNumberFormat="1" applyFill="1" applyAlignment="1">
      <alignment horizontal="left" indent="1"/>
    </xf>
    <xf numFmtId="168" fontId="16" fillId="0" borderId="0" xfId="0" applyNumberFormat="1" applyFont="1" applyFill="1"/>
    <xf numFmtId="168" fontId="8" fillId="0" borderId="0" xfId="0" applyNumberFormat="1" applyFont="1" applyFill="1" applyAlignment="1">
      <alignment horizontal="left" indent="1"/>
    </xf>
    <xf numFmtId="0" fontId="8" fillId="0" borderId="0" xfId="0" applyNumberFormat="1" applyFont="1" applyFill="1" applyAlignment="1">
      <alignment horizontal="left"/>
    </xf>
    <xf numFmtId="0" fontId="8" fillId="0" borderId="0" xfId="0" applyFont="1" applyFill="1" applyBorder="1" applyAlignment="1">
      <alignment horizontal="left"/>
    </xf>
    <xf numFmtId="172" fontId="0" fillId="0" borderId="0" xfId="0" applyNumberFormat="1" applyFill="1"/>
    <xf numFmtId="171" fontId="0" fillId="0" borderId="0" xfId="0" applyNumberFormat="1" applyFill="1"/>
    <xf numFmtId="0" fontId="12" fillId="0" borderId="0" xfId="0" applyFont="1" applyFill="1" applyAlignment="1"/>
    <xf numFmtId="174" fontId="0" fillId="0" borderId="0" xfId="0" applyNumberFormat="1" applyFill="1"/>
    <xf numFmtId="164" fontId="8" fillId="36" borderId="0" xfId="28" applyNumberFormat="1" applyFont="1" applyFill="1" applyBorder="1" applyAlignment="1">
      <alignment horizontal="right" vertical="center" wrapText="1"/>
    </xf>
    <xf numFmtId="164" fontId="8" fillId="36" borderId="0" xfId="20" applyNumberFormat="1" applyFont="1" applyFill="1"/>
    <xf numFmtId="164" fontId="24" fillId="36" borderId="0" xfId="28" applyNumberFormat="1" applyFont="1" applyFill="1"/>
    <xf numFmtId="0" fontId="20" fillId="0" borderId="0" xfId="28" applyFont="1" applyFill="1"/>
    <xf numFmtId="0" fontId="9" fillId="0" borderId="0" xfId="28" applyFont="1" applyFill="1" applyAlignment="1">
      <alignment horizontal="right" vertical="center"/>
    </xf>
    <xf numFmtId="0" fontId="9" fillId="0" borderId="0" xfId="28" applyFont="1" applyFill="1" applyAlignment="1">
      <alignment horizontal="right"/>
    </xf>
    <xf numFmtId="164" fontId="11" fillId="0" borderId="0" xfId="39" applyNumberFormat="1" applyFont="1" applyFill="1"/>
    <xf numFmtId="164" fontId="8" fillId="0" borderId="0" xfId="106" applyNumberFormat="1" applyFont="1" applyFill="1"/>
    <xf numFmtId="0" fontId="20" fillId="0" borderId="0" xfId="100" applyFont="1" applyFill="1"/>
    <xf numFmtId="42" fontId="11" fillId="0" borderId="0" xfId="39" applyNumberFormat="1" applyFont="1" applyFill="1"/>
    <xf numFmtId="42" fontId="11" fillId="0" borderId="0" xfId="28" applyNumberFormat="1" applyFont="1" applyFill="1"/>
    <xf numFmtId="0" fontId="9" fillId="0" borderId="0" xfId="28" applyFont="1" applyFill="1" applyAlignment="1">
      <alignment horizontal="center" wrapText="1"/>
    </xf>
    <xf numFmtId="0" fontId="12" fillId="0" borderId="0" xfId="28" applyFont="1" applyFill="1"/>
    <xf numFmtId="164" fontId="8" fillId="0" borderId="0" xfId="28" applyNumberFormat="1" applyFont="1" applyFill="1"/>
    <xf numFmtId="168" fontId="11" fillId="0" borderId="0" xfId="28" applyNumberFormat="1" applyFont="1" applyFill="1"/>
    <xf numFmtId="0" fontId="8" fillId="0" borderId="0" xfId="28" applyFont="1" applyFill="1" applyAlignment="1">
      <alignment vertical="center"/>
    </xf>
    <xf numFmtId="37" fontId="8" fillId="0" borderId="0" xfId="19" quotePrefix="1" applyNumberFormat="1" applyFont="1" applyFill="1" applyBorder="1"/>
    <xf numFmtId="37" fontId="0" fillId="0" borderId="8" xfId="19" applyNumberFormat="1" applyFont="1" applyFill="1" applyBorder="1"/>
    <xf numFmtId="10" fontId="11" fillId="0" borderId="0" xfId="0" applyNumberFormat="1" applyFont="1" applyFill="1"/>
    <xf numFmtId="10" fontId="8" fillId="36" borderId="0" xfId="0" quotePrefix="1" applyNumberFormat="1" applyFont="1" applyFill="1" applyAlignment="1">
      <alignment horizontal="right"/>
    </xf>
    <xf numFmtId="164" fontId="8" fillId="0" borderId="8" xfId="96" applyNumberFormat="1" applyFont="1" applyFill="1" applyBorder="1"/>
    <xf numFmtId="0" fontId="8" fillId="0" borderId="3" xfId="80" applyFont="1" applyBorder="1" applyAlignment="1">
      <alignment horizontal="center" wrapText="1"/>
    </xf>
    <xf numFmtId="0" fontId="8" fillId="0" borderId="3" xfId="80" applyFont="1" applyFill="1" applyBorder="1" applyAlignment="1">
      <alignment horizontal="center" wrapText="1"/>
    </xf>
    <xf numFmtId="10" fontId="19" fillId="0" borderId="8" xfId="80" applyNumberFormat="1" applyFont="1" applyBorder="1"/>
    <xf numFmtId="164" fontId="19" fillId="0" borderId="8" xfId="23" applyNumberFormat="1" applyFont="1" applyBorder="1" applyAlignment="1">
      <alignment horizontal="right"/>
    </xf>
    <xf numFmtId="3" fontId="19" fillId="0" borderId="8" xfId="23" applyNumberFormat="1" applyFont="1" applyBorder="1" applyAlignment="1">
      <alignment horizontal="right"/>
    </xf>
    <xf numFmtId="0" fontId="66" fillId="0" borderId="0" xfId="0" applyFont="1"/>
    <xf numFmtId="0" fontId="41" fillId="0" borderId="0" xfId="0" applyFont="1" applyAlignment="1">
      <alignment horizontal="center"/>
    </xf>
    <xf numFmtId="0" fontId="9" fillId="0" borderId="0" xfId="0" applyFont="1" applyAlignment="1">
      <alignment horizontal="center"/>
    </xf>
    <xf numFmtId="0" fontId="64" fillId="0" borderId="0" xfId="0" applyFont="1" applyAlignment="1">
      <alignment horizontal="center"/>
    </xf>
    <xf numFmtId="0" fontId="8" fillId="36" borderId="0" xfId="0" applyNumberFormat="1" applyFont="1" applyFill="1" applyAlignment="1">
      <alignment horizontal="center"/>
    </xf>
    <xf numFmtId="0" fontId="9" fillId="0" borderId="6" xfId="28" applyFont="1" applyFill="1" applyBorder="1" applyAlignment="1">
      <alignment horizontal="center"/>
    </xf>
    <xf numFmtId="0" fontId="9" fillId="0" borderId="9" xfId="28" applyFont="1" applyFill="1" applyBorder="1" applyAlignment="1">
      <alignment horizontal="center"/>
    </xf>
    <xf numFmtId="0" fontId="9" fillId="0" borderId="4" xfId="28" applyFont="1" applyFill="1" applyBorder="1" applyAlignment="1">
      <alignment horizontal="center"/>
    </xf>
    <xf numFmtId="0" fontId="9" fillId="0" borderId="7" xfId="28" applyFont="1" applyBorder="1" applyAlignment="1">
      <alignment horizontal="center"/>
    </xf>
    <xf numFmtId="0" fontId="9" fillId="0" borderId="5" xfId="28" applyFont="1" applyBorder="1" applyAlignment="1">
      <alignment horizontal="center"/>
    </xf>
    <xf numFmtId="0" fontId="9" fillId="0" borderId="3" xfId="28" applyFont="1" applyFill="1" applyBorder="1" applyAlignment="1">
      <alignment horizontal="center"/>
    </xf>
    <xf numFmtId="0" fontId="9" fillId="0" borderId="9" xfId="28" applyFont="1" applyBorder="1" applyAlignment="1">
      <alignment horizontal="center"/>
    </xf>
    <xf numFmtId="0" fontId="9" fillId="0" borderId="4" xfId="28" applyFont="1" applyBorder="1" applyAlignment="1">
      <alignment horizontal="center"/>
    </xf>
    <xf numFmtId="0" fontId="9" fillId="0" borderId="3" xfId="28" applyFont="1" applyBorder="1" applyAlignment="1"/>
    <xf numFmtId="0" fontId="9" fillId="0" borderId="6" xfId="28" applyFont="1" applyBorder="1" applyAlignment="1">
      <alignment horizontal="center"/>
    </xf>
    <xf numFmtId="0" fontId="8"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xf numFmtId="39" fontId="11" fillId="0" borderId="6" xfId="22" applyNumberFormat="1" applyFont="1" applyBorder="1" applyAlignment="1">
      <alignment horizontal="center"/>
    </xf>
    <xf numFmtId="0" fontId="0" fillId="0" borderId="9" xfId="0" applyBorder="1"/>
    <xf numFmtId="0" fontId="0" fillId="0" borderId="4" xfId="0" applyBorder="1"/>
    <xf numFmtId="0" fontId="9"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9" fillId="0" borderId="3" xfId="0" applyNumberFormat="1" applyFont="1" applyFill="1" applyBorder="1" applyAlignment="1">
      <alignment wrapText="1"/>
    </xf>
    <xf numFmtId="0" fontId="0" fillId="0" borderId="3" xfId="0" applyBorder="1" applyAlignment="1">
      <alignment wrapText="1"/>
    </xf>
    <xf numFmtId="0" fontId="9" fillId="0" borderId="6" xfId="0" applyFont="1" applyFill="1" applyBorder="1" applyAlignment="1"/>
    <xf numFmtId="0" fontId="0" fillId="0" borderId="9" xfId="0" applyBorder="1" applyAlignment="1"/>
    <xf numFmtId="0" fontId="0" fillId="0" borderId="4" xfId="0" applyBorder="1" applyAlignment="1"/>
    <xf numFmtId="0" fontId="9" fillId="0" borderId="6" xfId="0" applyNumberFormat="1" applyFont="1" applyFill="1" applyBorder="1" applyAlignment="1"/>
    <xf numFmtId="0" fontId="11"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11" fillId="0" borderId="6" xfId="0" applyFont="1" applyFill="1" applyBorder="1" applyAlignment="1">
      <alignment horizontal="left"/>
    </xf>
    <xf numFmtId="0" fontId="11" fillId="0" borderId="4" xfId="0" applyFont="1" applyBorder="1" applyAlignment="1">
      <alignment horizontal="left"/>
    </xf>
    <xf numFmtId="0" fontId="9" fillId="0" borderId="3" xfId="0" applyFont="1" applyFill="1" applyBorder="1" applyAlignment="1">
      <alignment wrapText="1"/>
    </xf>
    <xf numFmtId="0" fontId="0" fillId="0" borderId="9" xfId="0" applyFill="1" applyBorder="1" applyAlignment="1"/>
    <xf numFmtId="0" fontId="0" fillId="0" borderId="4" xfId="0" applyFill="1" applyBorder="1" applyAlignment="1"/>
    <xf numFmtId="0" fontId="0" fillId="0" borderId="0" xfId="0" applyFill="1" applyAlignment="1">
      <alignment wrapText="1"/>
    </xf>
    <xf numFmtId="0" fontId="9"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8" fillId="0" borderId="0" xfId="0" applyFont="1" applyFill="1" applyBorder="1" applyAlignment="1">
      <alignment wrapText="1"/>
    </xf>
    <xf numFmtId="0" fontId="0" fillId="0" borderId="0" xfId="0" applyAlignment="1">
      <alignment wrapText="1"/>
    </xf>
    <xf numFmtId="0" fontId="11" fillId="0" borderId="0" xfId="0" applyFont="1" applyAlignment="1">
      <alignment horizontal="left" wrapText="1"/>
    </xf>
    <xf numFmtId="0" fontId="52" fillId="0" borderId="0" xfId="0" applyFont="1" applyAlignment="1">
      <alignment horizontal="left" wrapText="1"/>
    </xf>
    <xf numFmtId="0" fontId="9" fillId="34" borderId="7" xfId="0" applyFont="1" applyFill="1" applyBorder="1" applyAlignment="1">
      <alignment horizontal="center" wrapText="1"/>
    </xf>
    <xf numFmtId="0" fontId="9" fillId="34" borderId="12" xfId="0" applyFont="1" applyFill="1" applyBorder="1" applyAlignment="1">
      <alignment horizontal="center" wrapText="1"/>
    </xf>
    <xf numFmtId="0" fontId="9" fillId="34" borderId="5" xfId="0" applyFont="1" applyFill="1" applyBorder="1" applyAlignment="1">
      <alignment horizontal="center" wrapText="1"/>
    </xf>
    <xf numFmtId="0" fontId="9" fillId="0" borderId="7" xfId="0" applyFont="1" applyFill="1" applyBorder="1" applyAlignment="1">
      <alignment horizontal="center" wrapText="1"/>
    </xf>
    <xf numFmtId="0" fontId="9" fillId="0" borderId="12" xfId="0" applyFont="1" applyFill="1" applyBorder="1" applyAlignment="1">
      <alignment horizontal="center" wrapText="1"/>
    </xf>
    <xf numFmtId="0" fontId="9" fillId="0" borderId="5" xfId="0" applyFont="1" applyFill="1" applyBorder="1" applyAlignment="1">
      <alignment horizontal="center" wrapText="1"/>
    </xf>
    <xf numFmtId="0" fontId="9" fillId="0" borderId="3" xfId="0" applyFont="1" applyFill="1" applyBorder="1" applyAlignment="1">
      <alignment horizontal="center" wrapText="1"/>
    </xf>
    <xf numFmtId="0" fontId="8" fillId="0" borderId="0" xfId="80" applyAlignment="1">
      <alignment horizontal="center" wrapText="1"/>
    </xf>
    <xf numFmtId="0" fontId="9" fillId="0" borderId="6" xfId="0" applyFont="1" applyFill="1" applyBorder="1" applyAlignment="1">
      <alignment horizontal="center" wrapText="1"/>
    </xf>
    <xf numFmtId="0" fontId="8" fillId="34" borderId="5" xfId="80" applyFont="1" applyFill="1" applyBorder="1" applyAlignment="1">
      <alignment horizontal="center" wrapText="1"/>
    </xf>
    <xf numFmtId="0" fontId="8" fillId="34" borderId="3" xfId="80" applyFont="1" applyFill="1" applyBorder="1" applyAlignment="1">
      <alignment horizontal="center" wrapText="1"/>
    </xf>
    <xf numFmtId="0" fontId="8" fillId="34" borderId="4" xfId="80" applyFont="1" applyFill="1" applyBorder="1" applyAlignment="1">
      <alignment horizontal="center" wrapText="1"/>
    </xf>
    <xf numFmtId="0" fontId="8" fillId="0" borderId="3" xfId="0" applyFont="1" applyBorder="1" applyAlignment="1">
      <alignment horizontal="center"/>
    </xf>
    <xf numFmtId="0" fontId="8" fillId="0" borderId="3" xfId="0" applyFont="1" applyBorder="1" applyAlignment="1">
      <alignment horizontal="center" wrapText="1"/>
    </xf>
    <xf numFmtId="10" fontId="19" fillId="0" borderId="0" xfId="80" applyNumberFormat="1" applyFont="1" applyFill="1" applyAlignment="1">
      <alignment horizontal="right" vertical="center"/>
    </xf>
    <xf numFmtId="164" fontId="19" fillId="0" borderId="0" xfId="23" applyNumberFormat="1" applyFont="1" applyFill="1" applyAlignment="1">
      <alignment horizontal="right" vertical="center"/>
    </xf>
    <xf numFmtId="3" fontId="19" fillId="0" borderId="0" xfId="23" applyNumberFormat="1" applyFont="1" applyFill="1" applyAlignment="1">
      <alignment horizontal="right" vertical="center"/>
    </xf>
    <xf numFmtId="0" fontId="8" fillId="0" borderId="0" xfId="0" applyFont="1" applyAlignment="1">
      <alignment horizontal="center" wrapText="1"/>
    </xf>
    <xf numFmtId="0" fontId="8" fillId="0" borderId="8" xfId="0" applyFont="1" applyBorder="1" applyAlignment="1">
      <alignment horizontal="center" wrapText="1"/>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9" fillId="34" borderId="3" xfId="0" applyFont="1" applyFill="1" applyBorder="1" applyAlignment="1">
      <alignment horizontal="center" wrapText="1"/>
    </xf>
    <xf numFmtId="0" fontId="9" fillId="34" borderId="10" xfId="0" applyFont="1" applyFill="1" applyBorder="1" applyAlignment="1">
      <alignment horizontal="center" wrapText="1"/>
    </xf>
    <xf numFmtId="0" fontId="9" fillId="34" borderId="6" xfId="0" applyFont="1" applyFill="1" applyBorder="1" applyAlignment="1">
      <alignment horizontal="center" wrapText="1"/>
    </xf>
    <xf numFmtId="0" fontId="9" fillId="34" borderId="4" xfId="0" applyFont="1" applyFill="1" applyBorder="1" applyAlignment="1">
      <alignment horizontal="center" wrapText="1"/>
    </xf>
    <xf numFmtId="0" fontId="8" fillId="0" borderId="0" xfId="0" quotePrefix="1" applyFont="1" applyBorder="1" applyAlignment="1">
      <alignment horizontal="center" wrapText="1"/>
    </xf>
    <xf numFmtId="0" fontId="8" fillId="0" borderId="8" xfId="0" quotePrefix="1" applyFont="1" applyBorder="1" applyAlignment="1">
      <alignment horizontal="center" wrapText="1"/>
    </xf>
    <xf numFmtId="0" fontId="9" fillId="0" borderId="3" xfId="0" quotePrefix="1" applyFont="1" applyBorder="1" applyAlignment="1">
      <alignment horizontal="center" wrapText="1"/>
    </xf>
    <xf numFmtId="0" fontId="9" fillId="0" borderId="3" xfId="0" applyFont="1" applyBorder="1" applyAlignment="1">
      <alignment horizontal="center" wrapText="1"/>
    </xf>
    <xf numFmtId="0" fontId="9" fillId="0" borderId="3" xfId="0" applyFont="1" applyFill="1" applyBorder="1" applyAlignment="1">
      <alignment horizontal="center"/>
    </xf>
    <xf numFmtId="0" fontId="8" fillId="0" borderId="0" xfId="0" quotePrefix="1" applyFont="1" applyFill="1" applyAlignment="1">
      <alignment horizontal="center" vertical="top" wrapText="1"/>
    </xf>
    <xf numFmtId="0" fontId="8" fillId="0" borderId="0" xfId="0" quotePrefix="1" applyFont="1" applyAlignment="1">
      <alignment horizontal="center" vertical="top" wrapText="1"/>
    </xf>
    <xf numFmtId="0" fontId="8" fillId="0" borderId="8" xfId="0" quotePrefix="1" applyFont="1" applyBorder="1" applyAlignment="1">
      <alignment horizontal="center" vertical="top" wrapText="1"/>
    </xf>
    <xf numFmtId="181" fontId="9" fillId="0" borderId="7" xfId="35" applyNumberFormat="1" applyFont="1" applyFill="1" applyBorder="1" applyAlignment="1">
      <alignment horizontal="center" wrapText="1"/>
    </xf>
    <xf numFmtId="181" fontId="9" fillId="0" borderId="12" xfId="35" applyNumberFormat="1" applyFont="1" applyFill="1" applyBorder="1" applyAlignment="1">
      <alignment horizontal="center" wrapText="1"/>
    </xf>
    <xf numFmtId="181" fontId="9" fillId="0" borderId="5" xfId="35" applyNumberFormat="1" applyFont="1" applyFill="1" applyBorder="1" applyAlignment="1">
      <alignment horizontal="center" wrapText="1"/>
    </xf>
    <xf numFmtId="181" fontId="9" fillId="0" borderId="7" xfId="35" applyNumberFormat="1" applyFont="1" applyFill="1" applyBorder="1" applyAlignment="1">
      <alignment horizontal="center"/>
    </xf>
    <xf numFmtId="181" fontId="9" fillId="0" borderId="12" xfId="35" applyNumberFormat="1" applyFont="1" applyFill="1" applyBorder="1" applyAlignment="1">
      <alignment horizontal="center"/>
    </xf>
    <xf numFmtId="181" fontId="9" fillId="0" borderId="5" xfId="35" applyNumberFormat="1" applyFont="1" applyFill="1" applyBorder="1" applyAlignment="1">
      <alignment horizontal="center"/>
    </xf>
    <xf numFmtId="0" fontId="9" fillId="0" borderId="7" xfId="0" applyFont="1" applyBorder="1" applyAlignment="1">
      <alignment horizontal="center" wrapText="1"/>
    </xf>
    <xf numFmtId="0" fontId="9" fillId="0" borderId="12" xfId="0" applyFont="1" applyBorder="1" applyAlignment="1">
      <alignment horizontal="center" wrapText="1"/>
    </xf>
    <xf numFmtId="0" fontId="9" fillId="0" borderId="5" xfId="0" applyFont="1" applyBorder="1" applyAlignment="1">
      <alignment horizontal="center" wrapText="1"/>
    </xf>
    <xf numFmtId="0" fontId="9" fillId="0" borderId="6" xfId="0" applyFont="1" applyBorder="1" applyAlignment="1">
      <alignment horizontal="center"/>
    </xf>
    <xf numFmtId="0" fontId="9" fillId="0" borderId="9" xfId="0" applyFont="1" applyBorder="1" applyAlignment="1">
      <alignment horizontal="center"/>
    </xf>
    <xf numFmtId="0" fontId="9" fillId="0" borderId="4" xfId="0" applyFont="1" applyBorder="1" applyAlignment="1">
      <alignment horizontal="center"/>
    </xf>
    <xf numFmtId="0" fontId="8" fillId="0" borderId="6" xfId="0" applyFont="1" applyBorder="1" applyAlignment="1">
      <alignment horizontal="center"/>
    </xf>
    <xf numFmtId="0" fontId="8" fillId="0" borderId="4" xfId="0" applyFont="1" applyBorder="1" applyAlignment="1">
      <alignment horizontal="center"/>
    </xf>
    <xf numFmtId="0" fontId="8" fillId="0" borderId="6" xfId="0" applyFont="1" applyFill="1" applyBorder="1" applyAlignment="1">
      <alignment horizontal="center"/>
    </xf>
    <xf numFmtId="0" fontId="8" fillId="0" borderId="9" xfId="0" applyFont="1" applyFill="1" applyBorder="1" applyAlignment="1">
      <alignment horizontal="center"/>
    </xf>
    <xf numFmtId="0" fontId="8" fillId="0" borderId="4" xfId="0" applyFont="1" applyFill="1" applyBorder="1" applyAlignment="1">
      <alignment horizontal="center"/>
    </xf>
    <xf numFmtId="0" fontId="9" fillId="0" borderId="13" xfId="0" quotePrefix="1" applyFont="1" applyBorder="1" applyAlignment="1">
      <alignment horizontal="center"/>
    </xf>
    <xf numFmtId="0" fontId="9" fillId="0" borderId="14" xfId="0" quotePrefix="1" applyFont="1" applyBorder="1" applyAlignment="1">
      <alignment horizontal="center"/>
    </xf>
    <xf numFmtId="0" fontId="9" fillId="0" borderId="3" xfId="0" quotePrefix="1" applyFont="1" applyFill="1" applyBorder="1" applyAlignment="1">
      <alignment horizontal="center"/>
    </xf>
  </cellXfs>
  <cellStyles count="125">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urrency" xfId="23" builtinId="4"/>
    <cellStyle name="Currency 2" xfId="98"/>
    <cellStyle name="Emphasis 1" xfId="24"/>
    <cellStyle name="Emphasis 2" xfId="25"/>
    <cellStyle name="Emphasis 3" xfId="26"/>
    <cellStyle name="Hyperlink" xfId="27" builtinId="8"/>
    <cellStyle name="Normal" xfId="0" builtinId="0"/>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3" xfId="120"/>
    <cellStyle name="Normal 2 6 2 4" xfId="124"/>
    <cellStyle name="Normal 2 6 3" xfId="111"/>
    <cellStyle name="Normal 2 6 4" xfId="114"/>
    <cellStyle name="Normal 2 6 5" xfId="118"/>
    <cellStyle name="Normal 2 6 6" xfId="122"/>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3" xfId="119"/>
    <cellStyle name="Normal 6 2 4" xfId="123"/>
    <cellStyle name="Normal 6 3" xfId="112"/>
    <cellStyle name="Normal 6 4" xfId="113"/>
    <cellStyle name="Normal 6 5" xfId="117"/>
    <cellStyle name="Normal 6 6" xfId="121"/>
    <cellStyle name="Normal 7" xfId="108"/>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4" xfId="105"/>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11">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ill>
        <patternFill>
          <bgColor indexed="42"/>
        </patternFill>
      </fill>
    </dxf>
    <dxf>
      <fill>
        <patternFill>
          <bgColor indexed="42"/>
        </patternFill>
      </fill>
    </dxf>
    <dxf>
      <font>
        <condense val="0"/>
        <extend val="0"/>
        <color auto="1"/>
      </font>
    </dxf>
    <dxf>
      <font>
        <condense val="0"/>
        <extend val="0"/>
        <color auto="1"/>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imjy/Desktop/Settlement%20Formula%20Rate/Exhibit%20G-1%20Jan%201%202012%20TO6%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T"/>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 val="Sheet1"/>
    </sheetNames>
    <sheetDataSet>
      <sheetData sheetId="0"/>
      <sheetData sheetId="1"/>
      <sheetData sheetId="2"/>
      <sheetData sheetId="3"/>
      <sheetData sheetId="4"/>
      <sheetData sheetId="5"/>
      <sheetData sheetId="6"/>
      <sheetData sheetId="7"/>
      <sheetData sheetId="8"/>
      <sheetData sheetId="9">
        <row r="26">
          <cell r="A26">
            <v>19</v>
          </cell>
          <cell r="C26">
            <v>-6184118.6553418888</v>
          </cell>
        </row>
        <row r="28">
          <cell r="A28">
            <v>20</v>
          </cell>
          <cell r="C28">
            <v>-1984612.8672428208</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7"/>
  <sheetViews>
    <sheetView tabSelected="1" zoomScaleNormal="100" workbookViewId="0">
      <selection activeCell="A12" sqref="A12"/>
    </sheetView>
  </sheetViews>
  <sheetFormatPr defaultRowHeight="12.75" x14ac:dyDescent="0.2"/>
  <sheetData>
    <row r="2" spans="1:15" ht="20.25" x14ac:dyDescent="0.3">
      <c r="A2" s="1203" t="s">
        <v>3197</v>
      </c>
      <c r="B2" s="1203"/>
      <c r="C2" s="1203"/>
      <c r="D2" s="1203"/>
      <c r="E2" s="1203"/>
      <c r="F2" s="1203"/>
      <c r="G2" s="1203"/>
      <c r="H2" s="1203"/>
      <c r="I2" s="1203"/>
      <c r="J2" s="1203"/>
      <c r="K2" s="1203"/>
    </row>
    <row r="4" spans="1:15" x14ac:dyDescent="0.2">
      <c r="A4" s="1204" t="s">
        <v>3200</v>
      </c>
      <c r="B4" s="1204"/>
      <c r="C4" s="1204"/>
      <c r="D4" s="1204"/>
      <c r="E4" s="1204"/>
      <c r="F4" s="1204"/>
      <c r="G4" s="1204"/>
      <c r="H4" s="1204"/>
      <c r="I4" s="1204"/>
      <c r="J4" s="1204"/>
      <c r="K4" s="1204"/>
    </row>
    <row r="5" spans="1:15" ht="18" x14ac:dyDescent="0.25">
      <c r="B5" s="1202"/>
    </row>
    <row r="11" spans="1:15" x14ac:dyDescent="0.2">
      <c r="O11" s="649"/>
    </row>
    <row r="12" spans="1:15" x14ac:dyDescent="0.2">
      <c r="C12" s="1"/>
    </row>
    <row r="14" spans="1:15" x14ac:dyDescent="0.2">
      <c r="A14" s="649"/>
      <c r="O14" s="649"/>
    </row>
    <row r="15" spans="1:15" x14ac:dyDescent="0.2">
      <c r="O15" s="649"/>
    </row>
    <row r="16" spans="1:15" x14ac:dyDescent="0.2">
      <c r="O16" s="649"/>
    </row>
    <row r="17" spans="1:15" x14ac:dyDescent="0.2">
      <c r="B17" s="649"/>
      <c r="O17" s="649"/>
    </row>
    <row r="18" spans="1:15" x14ac:dyDescent="0.2">
      <c r="B18" s="649"/>
    </row>
    <row r="19" spans="1:15" x14ac:dyDescent="0.2">
      <c r="O19" s="649"/>
    </row>
    <row r="20" spans="1:15" x14ac:dyDescent="0.2">
      <c r="B20" s="1"/>
      <c r="O20" s="649"/>
    </row>
    <row r="21" spans="1:15" x14ac:dyDescent="0.2">
      <c r="L21" s="1"/>
      <c r="N21" s="649"/>
    </row>
    <row r="22" spans="1:15" x14ac:dyDescent="0.2">
      <c r="C22" s="649"/>
      <c r="L22" s="649"/>
    </row>
    <row r="23" spans="1:15" x14ac:dyDescent="0.2">
      <c r="D23" s="649"/>
      <c r="L23" s="649"/>
    </row>
    <row r="24" spans="1:15" x14ac:dyDescent="0.2">
      <c r="D24" s="649"/>
      <c r="L24" s="649"/>
    </row>
    <row r="25" spans="1:15" x14ac:dyDescent="0.2">
      <c r="D25" s="649"/>
      <c r="L25" s="649"/>
    </row>
    <row r="26" spans="1:15" x14ac:dyDescent="0.2">
      <c r="D26" s="649"/>
      <c r="L26" s="649"/>
    </row>
    <row r="27" spans="1:15" x14ac:dyDescent="0.2">
      <c r="D27" s="649"/>
      <c r="L27" s="649"/>
    </row>
    <row r="28" spans="1:15" x14ac:dyDescent="0.2">
      <c r="D28" s="649"/>
      <c r="L28" s="649"/>
    </row>
    <row r="29" spans="1:15" x14ac:dyDescent="0.2">
      <c r="L29" s="649"/>
    </row>
    <row r="30" spans="1:15" x14ac:dyDescent="0.2">
      <c r="L30" s="649"/>
    </row>
    <row r="31" spans="1:15" x14ac:dyDescent="0.2">
      <c r="L31" s="649"/>
    </row>
    <row r="32" spans="1:15" x14ac:dyDescent="0.2">
      <c r="A32" s="1"/>
      <c r="C32" s="649"/>
      <c r="L32" s="649"/>
    </row>
    <row r="33" spans="1:12" x14ac:dyDescent="0.2">
      <c r="D33" s="649"/>
    </row>
    <row r="34" spans="1:12" x14ac:dyDescent="0.2">
      <c r="A34" s="649"/>
    </row>
    <row r="35" spans="1:12" x14ac:dyDescent="0.2">
      <c r="C35" s="649"/>
    </row>
    <row r="37" spans="1:12" x14ac:dyDescent="0.2">
      <c r="C37" s="649"/>
      <c r="L37" s="649"/>
    </row>
  </sheetData>
  <mergeCells count="2">
    <mergeCell ref="A2:K2"/>
    <mergeCell ref="A4:K4"/>
  </mergeCells>
  <pageMargins left="0.7" right="0.7" top="0.75" bottom="0.75" header="0.3" footer="0.3"/>
  <pageSetup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5"/>
  <sheetViews>
    <sheetView zoomScale="80" zoomScaleNormal="80" workbookViewId="0">
      <selection activeCell="E16" sqref="E16"/>
    </sheetView>
  </sheetViews>
  <sheetFormatPr defaultRowHeight="12.75" x14ac:dyDescent="0.2"/>
  <cols>
    <col min="1" max="1" width="5.42578125" customWidth="1"/>
    <col min="2" max="2" width="6.140625" customWidth="1"/>
    <col min="3" max="16" width="14.7109375" customWidth="1"/>
  </cols>
  <sheetData>
    <row r="1" spans="1:16" x14ac:dyDescent="0.2">
      <c r="A1" s="1" t="s">
        <v>2384</v>
      </c>
      <c r="B1" s="1"/>
    </row>
    <row r="2" spans="1:16" x14ac:dyDescent="0.2">
      <c r="A2" s="117" t="s">
        <v>3204</v>
      </c>
      <c r="B2" s="117">
        <f>'5-ROR-1'!L2</f>
        <v>2010</v>
      </c>
    </row>
    <row r="3" spans="1:16" x14ac:dyDescent="0.2">
      <c r="C3" s="88" t="s">
        <v>406</v>
      </c>
      <c r="D3" s="88" t="s">
        <v>390</v>
      </c>
      <c r="E3" s="88" t="s">
        <v>391</v>
      </c>
      <c r="F3" s="88" t="s">
        <v>392</v>
      </c>
      <c r="G3" s="88" t="s">
        <v>393</v>
      </c>
      <c r="H3" s="88" t="s">
        <v>394</v>
      </c>
      <c r="I3" s="88" t="s">
        <v>395</v>
      </c>
      <c r="J3" s="88" t="s">
        <v>610</v>
      </c>
      <c r="K3" s="88" t="s">
        <v>1059</v>
      </c>
      <c r="L3" s="88" t="s">
        <v>1076</v>
      </c>
      <c r="M3" s="88" t="s">
        <v>1079</v>
      </c>
      <c r="N3" s="88" t="s">
        <v>1097</v>
      </c>
      <c r="O3" s="88" t="s">
        <v>1921</v>
      </c>
      <c r="P3" s="88" t="s">
        <v>1922</v>
      </c>
    </row>
    <row r="4" spans="1:16" x14ac:dyDescent="0.2">
      <c r="A4" s="3" t="s">
        <v>362</v>
      </c>
      <c r="B4" s="3" t="s">
        <v>2385</v>
      </c>
      <c r="C4" s="37" t="s">
        <v>11</v>
      </c>
      <c r="D4" s="714" t="s">
        <v>210</v>
      </c>
      <c r="E4" s="665" t="s">
        <v>211</v>
      </c>
      <c r="F4" s="665" t="s">
        <v>212</v>
      </c>
      <c r="G4" s="665" t="s">
        <v>225</v>
      </c>
      <c r="H4" s="665" t="s">
        <v>213</v>
      </c>
      <c r="I4" s="665" t="s">
        <v>214</v>
      </c>
      <c r="J4" s="665" t="s">
        <v>1920</v>
      </c>
      <c r="K4" s="665" t="s">
        <v>216</v>
      </c>
      <c r="L4" s="665" t="s">
        <v>217</v>
      </c>
      <c r="M4" s="665" t="s">
        <v>218</v>
      </c>
      <c r="N4" s="665" t="s">
        <v>221</v>
      </c>
      <c r="O4" s="665" t="s">
        <v>220</v>
      </c>
      <c r="P4" s="665" t="s">
        <v>210</v>
      </c>
    </row>
    <row r="5" spans="1:16" x14ac:dyDescent="0.2">
      <c r="A5" s="3"/>
      <c r="B5" s="131"/>
      <c r="C5" s="784" t="s">
        <v>3203</v>
      </c>
      <c r="D5" s="812"/>
      <c r="E5" s="665"/>
      <c r="F5" s="665"/>
      <c r="G5" s="665"/>
      <c r="H5" s="665"/>
      <c r="I5" s="665"/>
      <c r="J5" s="665"/>
      <c r="K5" s="665"/>
      <c r="L5" s="665"/>
      <c r="M5" s="665"/>
      <c r="N5" s="665"/>
      <c r="O5" s="665"/>
      <c r="P5" s="665"/>
    </row>
    <row r="6" spans="1:16" x14ac:dyDescent="0.2">
      <c r="A6" s="55"/>
      <c r="B6" s="55"/>
      <c r="C6" s="37"/>
      <c r="D6" s="714"/>
      <c r="E6" s="665"/>
      <c r="F6" s="665"/>
      <c r="G6" s="665"/>
      <c r="H6" s="665"/>
      <c r="I6" s="665"/>
      <c r="J6" s="665"/>
      <c r="K6" s="665"/>
      <c r="L6" s="665"/>
      <c r="M6" s="665"/>
      <c r="N6" s="665"/>
      <c r="O6" s="665"/>
      <c r="P6" s="665"/>
    </row>
    <row r="7" spans="1:16" x14ac:dyDescent="0.2">
      <c r="B7" s="45" t="s">
        <v>2386</v>
      </c>
      <c r="D7" s="714"/>
      <c r="E7" s="665"/>
      <c r="F7" s="665"/>
      <c r="G7" s="665"/>
      <c r="H7" s="665"/>
      <c r="I7" s="665"/>
      <c r="J7" s="665"/>
      <c r="K7" s="665"/>
      <c r="L7" s="665"/>
      <c r="M7" s="665"/>
      <c r="N7" s="665"/>
      <c r="O7" s="665"/>
      <c r="P7" s="665"/>
    </row>
    <row r="8" spans="1:16" x14ac:dyDescent="0.2">
      <c r="A8" s="117">
        <v>1</v>
      </c>
      <c r="B8" s="117"/>
      <c r="C8" s="709">
        <f>SUM(D8:P8)/13</f>
        <v>7015906538.4615383</v>
      </c>
      <c r="D8" s="710">
        <v>6402445000</v>
      </c>
      <c r="E8" s="710">
        <v>6402445000</v>
      </c>
      <c r="F8" s="710">
        <v>6402445000</v>
      </c>
      <c r="G8" s="710">
        <v>6902445000</v>
      </c>
      <c r="H8" s="710">
        <v>6902445000</v>
      </c>
      <c r="I8" s="710">
        <v>6902445000</v>
      </c>
      <c r="J8" s="710">
        <v>6902445000</v>
      </c>
      <c r="K8" s="710">
        <v>6902445000</v>
      </c>
      <c r="L8" s="710">
        <v>7402445000</v>
      </c>
      <c r="M8" s="710">
        <v>7502445000</v>
      </c>
      <c r="N8" s="710">
        <v>7502445000</v>
      </c>
      <c r="O8" s="710">
        <v>7502445000</v>
      </c>
      <c r="P8" s="710">
        <v>7577445000</v>
      </c>
    </row>
    <row r="9" spans="1:16" x14ac:dyDescent="0.2">
      <c r="A9" s="117"/>
      <c r="B9" s="45" t="s">
        <v>3207</v>
      </c>
      <c r="C9" s="7"/>
      <c r="D9" s="709"/>
      <c r="E9" s="709"/>
      <c r="F9" s="709"/>
      <c r="G9" s="709"/>
      <c r="H9" s="709"/>
      <c r="I9" s="709"/>
      <c r="J9" s="709"/>
      <c r="K9" s="709"/>
      <c r="L9" s="709"/>
      <c r="M9" s="709"/>
      <c r="N9" s="709"/>
      <c r="O9" s="709"/>
      <c r="P9" s="709"/>
    </row>
    <row r="10" spans="1:16" x14ac:dyDescent="0.2">
      <c r="A10" s="117">
        <f>A8+1</f>
        <v>2</v>
      </c>
      <c r="B10" s="117"/>
      <c r="C10" s="709">
        <f t="shared" ref="C10:C14" si="0">SUM(D10:P10)/13</f>
        <v>-379123461.53846157</v>
      </c>
      <c r="D10" s="710">
        <v>-467985000</v>
      </c>
      <c r="E10" s="710">
        <v>-467985000</v>
      </c>
      <c r="F10" s="710">
        <v>-467985000</v>
      </c>
      <c r="G10" s="710">
        <v>-467985000</v>
      </c>
      <c r="H10" s="710">
        <v>-467985000</v>
      </c>
      <c r="I10" s="710">
        <v>-323585000</v>
      </c>
      <c r="J10" s="710">
        <v>-323585000</v>
      </c>
      <c r="K10" s="710">
        <v>-323585000</v>
      </c>
      <c r="L10" s="710">
        <v>-323585000</v>
      </c>
      <c r="M10" s="710">
        <v>-323585000</v>
      </c>
      <c r="N10" s="710">
        <v>-323585000</v>
      </c>
      <c r="O10" s="710">
        <v>-323585000</v>
      </c>
      <c r="P10" s="710">
        <v>-323585000</v>
      </c>
    </row>
    <row r="11" spans="1:16" x14ac:dyDescent="0.2">
      <c r="A11" s="117"/>
      <c r="B11" s="45" t="s">
        <v>2760</v>
      </c>
      <c r="C11" s="14"/>
      <c r="D11" s="709"/>
      <c r="E11" s="709"/>
      <c r="F11" s="709"/>
      <c r="G11" s="709"/>
      <c r="H11" s="709"/>
      <c r="I11" s="709"/>
      <c r="J11" s="709"/>
      <c r="K11" s="709"/>
      <c r="L11" s="709"/>
      <c r="M11" s="709"/>
      <c r="N11" s="709"/>
      <c r="O11" s="709"/>
      <c r="P11" s="709"/>
    </row>
    <row r="12" spans="1:16" x14ac:dyDescent="0.2">
      <c r="A12" s="117" t="s">
        <v>582</v>
      </c>
      <c r="B12" s="45"/>
      <c r="C12" s="709">
        <f>SUM(D12:P12)/13</f>
        <v>0</v>
      </c>
      <c r="D12" s="738">
        <v>0</v>
      </c>
      <c r="E12" s="738">
        <v>0</v>
      </c>
      <c r="F12" s="738">
        <v>0</v>
      </c>
      <c r="G12" s="738">
        <v>0</v>
      </c>
      <c r="H12" s="738">
        <v>0</v>
      </c>
      <c r="I12" s="738">
        <v>0</v>
      </c>
      <c r="J12" s="738">
        <v>0</v>
      </c>
      <c r="K12" s="738">
        <v>0</v>
      </c>
      <c r="L12" s="738">
        <v>0</v>
      </c>
      <c r="M12" s="738">
        <v>0</v>
      </c>
      <c r="N12" s="738">
        <v>0</v>
      </c>
      <c r="O12" s="738">
        <v>0</v>
      </c>
      <c r="P12" s="738">
        <v>0</v>
      </c>
    </row>
    <row r="13" spans="1:16" x14ac:dyDescent="0.2">
      <c r="A13" s="117"/>
      <c r="B13" s="45" t="s">
        <v>2387</v>
      </c>
      <c r="D13" s="709"/>
      <c r="E13" s="709"/>
      <c r="F13" s="709"/>
      <c r="G13" s="709"/>
      <c r="H13" s="709"/>
      <c r="I13" s="709"/>
      <c r="J13" s="709"/>
      <c r="K13" s="709"/>
      <c r="L13" s="709"/>
      <c r="M13" s="709"/>
      <c r="N13" s="709"/>
      <c r="O13" s="709"/>
      <c r="P13" s="709"/>
    </row>
    <row r="14" spans="1:16" x14ac:dyDescent="0.2">
      <c r="A14" s="117">
        <f>A10+1</f>
        <v>3</v>
      </c>
      <c r="B14" s="117"/>
      <c r="C14" s="709">
        <f t="shared" si="0"/>
        <v>558498753.14615393</v>
      </c>
      <c r="D14" s="710">
        <v>825828700.01999998</v>
      </c>
      <c r="E14" s="710">
        <v>575825047.99000001</v>
      </c>
      <c r="F14" s="710">
        <v>575821380.55999994</v>
      </c>
      <c r="G14" s="710">
        <v>575817697.66999996</v>
      </c>
      <c r="H14" s="710">
        <v>575813999.25</v>
      </c>
      <c r="I14" s="710">
        <v>575810285.23000002</v>
      </c>
      <c r="J14" s="710">
        <v>575806555.54999995</v>
      </c>
      <c r="K14" s="710">
        <v>575802810.13999999</v>
      </c>
      <c r="L14" s="710">
        <v>575799048.94000006</v>
      </c>
      <c r="M14" s="710">
        <v>475795271.88</v>
      </c>
      <c r="N14" s="710">
        <v>475791478.88999999</v>
      </c>
      <c r="O14" s="710">
        <v>475787669.91000003</v>
      </c>
      <c r="P14" s="710">
        <v>400783844.87</v>
      </c>
    </row>
    <row r="15" spans="1:16" x14ac:dyDescent="0.2">
      <c r="A15" s="117"/>
      <c r="B15" s="45"/>
      <c r="C15" s="14"/>
      <c r="D15" s="709"/>
      <c r="E15" s="709"/>
      <c r="F15" s="709"/>
      <c r="G15" s="709"/>
      <c r="H15" s="709"/>
      <c r="I15" s="709"/>
      <c r="J15" s="709"/>
      <c r="K15" s="709"/>
      <c r="L15" s="709"/>
      <c r="M15" s="709"/>
      <c r="N15" s="709"/>
      <c r="O15" s="709"/>
      <c r="P15" s="709"/>
    </row>
    <row r="16" spans="1:16" x14ac:dyDescent="0.2">
      <c r="A16" s="117">
        <f>A14+1</f>
        <v>4</v>
      </c>
      <c r="B16" s="438" t="s">
        <v>3085</v>
      </c>
      <c r="C16" s="709"/>
      <c r="D16" s="709"/>
      <c r="E16" s="709"/>
      <c r="F16" s="709"/>
      <c r="G16" s="709"/>
      <c r="H16" s="709"/>
      <c r="I16" s="709"/>
      <c r="J16" s="709"/>
      <c r="K16" s="709"/>
      <c r="L16" s="709"/>
      <c r="M16" s="709"/>
      <c r="N16" s="709"/>
      <c r="O16" s="709"/>
      <c r="P16" s="709"/>
    </row>
    <row r="17" spans="1:16" x14ac:dyDescent="0.2">
      <c r="A17" s="117"/>
      <c r="B17" s="45"/>
      <c r="C17" s="14"/>
      <c r="D17" s="709"/>
      <c r="E17" s="709"/>
      <c r="F17" s="709"/>
      <c r="G17" s="709"/>
      <c r="H17" s="709"/>
      <c r="I17" s="709"/>
      <c r="J17" s="709"/>
      <c r="K17" s="709"/>
      <c r="L17" s="709"/>
      <c r="M17" s="709"/>
      <c r="N17" s="709"/>
      <c r="O17" s="709"/>
      <c r="P17" s="709"/>
    </row>
    <row r="18" spans="1:16" x14ac:dyDescent="0.2">
      <c r="A18" s="117">
        <f>A16+1</f>
        <v>5</v>
      </c>
      <c r="B18" s="438" t="s">
        <v>3085</v>
      </c>
      <c r="C18" s="709"/>
      <c r="D18" s="709"/>
      <c r="E18" s="709"/>
      <c r="F18" s="709"/>
      <c r="G18" s="709"/>
      <c r="H18" s="709"/>
      <c r="I18" s="709"/>
      <c r="J18" s="709"/>
      <c r="K18" s="709"/>
      <c r="L18" s="709"/>
      <c r="M18" s="709"/>
      <c r="N18" s="709"/>
      <c r="O18" s="709"/>
      <c r="P18" s="709"/>
    </row>
    <row r="19" spans="1:16" x14ac:dyDescent="0.2">
      <c r="A19" s="14"/>
      <c r="B19" s="45"/>
      <c r="C19" s="14"/>
      <c r="D19" s="14"/>
      <c r="E19" s="14"/>
      <c r="F19" s="14"/>
      <c r="G19" s="14"/>
      <c r="H19" s="14"/>
      <c r="I19" s="14"/>
      <c r="J19" s="14"/>
      <c r="K19" s="14"/>
      <c r="L19" s="14"/>
      <c r="M19" s="14"/>
      <c r="N19" s="14"/>
      <c r="O19" s="14"/>
      <c r="P19" s="14"/>
    </row>
    <row r="20" spans="1:16" x14ac:dyDescent="0.2">
      <c r="A20" s="117">
        <v>6</v>
      </c>
      <c r="B20" s="438" t="s">
        <v>3085</v>
      </c>
      <c r="C20" s="709"/>
      <c r="D20" s="709"/>
      <c r="E20" s="709"/>
      <c r="F20" s="709"/>
      <c r="G20" s="709"/>
      <c r="H20" s="709"/>
      <c r="I20" s="709"/>
      <c r="J20" s="709"/>
      <c r="K20" s="709"/>
      <c r="L20" s="709"/>
      <c r="M20" s="709"/>
      <c r="N20" s="709"/>
      <c r="O20" s="709"/>
      <c r="P20" s="709"/>
    </row>
    <row r="21" spans="1:16" x14ac:dyDescent="0.2">
      <c r="A21" s="117"/>
      <c r="B21" s="45"/>
      <c r="C21" s="14"/>
      <c r="D21" s="709"/>
      <c r="E21" s="709"/>
      <c r="F21" s="709"/>
      <c r="G21" s="709"/>
      <c r="H21" s="709"/>
      <c r="I21" s="709"/>
      <c r="J21" s="709"/>
      <c r="K21" s="709"/>
      <c r="L21" s="709"/>
      <c r="M21" s="709"/>
      <c r="N21" s="709"/>
      <c r="O21" s="709"/>
      <c r="P21" s="709"/>
    </row>
    <row r="22" spans="1:16" x14ac:dyDescent="0.2">
      <c r="A22" s="117">
        <f>A20+1</f>
        <v>7</v>
      </c>
      <c r="B22" s="438" t="s">
        <v>3085</v>
      </c>
      <c r="C22" s="709"/>
      <c r="D22" s="709"/>
      <c r="E22" s="709"/>
      <c r="F22" s="709"/>
      <c r="G22" s="709"/>
      <c r="H22" s="709"/>
      <c r="I22" s="709"/>
      <c r="J22" s="709"/>
      <c r="K22" s="709"/>
      <c r="L22" s="709"/>
      <c r="M22" s="709"/>
      <c r="N22" s="709"/>
      <c r="O22" s="709"/>
      <c r="P22" s="709"/>
    </row>
    <row r="23" spans="1:16" x14ac:dyDescent="0.2">
      <c r="A23" s="14"/>
      <c r="B23" s="45" t="s">
        <v>3060</v>
      </c>
    </row>
    <row r="24" spans="1:16" x14ac:dyDescent="0.2">
      <c r="A24" s="117">
        <v>18</v>
      </c>
      <c r="B24" s="117"/>
      <c r="C24" s="709">
        <f t="shared" ref="C24" si="1">SUM(D24:P24)/13</f>
        <v>920004950</v>
      </c>
      <c r="D24" s="710">
        <v>920004950</v>
      </c>
      <c r="E24" s="710">
        <v>920004950</v>
      </c>
      <c r="F24" s="710">
        <v>920004950</v>
      </c>
      <c r="G24" s="710">
        <v>920004950</v>
      </c>
      <c r="H24" s="710">
        <v>920004950</v>
      </c>
      <c r="I24" s="710">
        <v>920004950</v>
      </c>
      <c r="J24" s="710">
        <v>920004950</v>
      </c>
      <c r="K24" s="710">
        <v>920004950</v>
      </c>
      <c r="L24" s="710">
        <v>920004950</v>
      </c>
      <c r="M24" s="710">
        <v>920004950</v>
      </c>
      <c r="N24" s="710">
        <v>920004950</v>
      </c>
      <c r="O24" s="710">
        <v>920004950</v>
      </c>
      <c r="P24" s="710">
        <v>920004950</v>
      </c>
    </row>
    <row r="25" spans="1:16" x14ac:dyDescent="0.2">
      <c r="A25" s="117"/>
      <c r="B25" s="45" t="s">
        <v>3208</v>
      </c>
      <c r="C25" s="14"/>
      <c r="D25" s="709"/>
      <c r="E25" s="709"/>
      <c r="F25" s="709"/>
      <c r="G25" s="709"/>
      <c r="H25" s="709"/>
      <c r="I25" s="709"/>
      <c r="J25" s="709"/>
      <c r="K25" s="709"/>
      <c r="L25" s="709"/>
      <c r="M25" s="709"/>
      <c r="N25" s="709"/>
      <c r="O25" s="709"/>
      <c r="P25" s="709"/>
    </row>
    <row r="26" spans="1:16" x14ac:dyDescent="0.2">
      <c r="A26" s="117">
        <f>A24+1</f>
        <v>19</v>
      </c>
      <c r="B26" s="438"/>
      <c r="C26" s="709">
        <f t="shared" ref="C26" si="2">SUM(D26:P26)/13</f>
        <v>-6184118.6553418888</v>
      </c>
      <c r="D26" s="710">
        <v>-6596586.8361111237</v>
      </c>
      <c r="E26" s="710">
        <v>-6486096.4777777903</v>
      </c>
      <c r="F26" s="710">
        <v>-6375606.1194444578</v>
      </c>
      <c r="G26" s="710">
        <v>-6265115.7611111235</v>
      </c>
      <c r="H26" s="710">
        <v>-6154625.4027777901</v>
      </c>
      <c r="I26" s="710">
        <v>-6134583.9777777838</v>
      </c>
      <c r="J26" s="710">
        <v>-6114542.552777783</v>
      </c>
      <c r="K26" s="710">
        <v>-6094501.1277777832</v>
      </c>
      <c r="L26" s="710">
        <v>-6074459.7027777834</v>
      </c>
      <c r="M26" s="710">
        <v>-6054418.2777777845</v>
      </c>
      <c r="N26" s="710">
        <v>-6034376.8527777838</v>
      </c>
      <c r="O26" s="710">
        <v>-6014335.4277777839</v>
      </c>
      <c r="P26" s="710">
        <v>-5994294.0027777841</v>
      </c>
    </row>
    <row r="27" spans="1:16" x14ac:dyDescent="0.2">
      <c r="A27" s="117"/>
      <c r="B27" s="45" t="s">
        <v>3064</v>
      </c>
      <c r="D27" s="709"/>
      <c r="E27" s="709"/>
      <c r="F27" s="709"/>
      <c r="G27" s="709"/>
      <c r="H27" s="709"/>
      <c r="I27" s="709"/>
      <c r="J27" s="709"/>
      <c r="K27" s="709"/>
      <c r="L27" s="709"/>
      <c r="M27" s="709"/>
      <c r="N27" s="709"/>
      <c r="O27" s="709"/>
      <c r="P27" s="709"/>
    </row>
    <row r="28" spans="1:16" x14ac:dyDescent="0.2">
      <c r="A28" s="117">
        <f>A26+1</f>
        <v>20</v>
      </c>
      <c r="B28" s="117"/>
      <c r="C28" s="709">
        <f t="shared" ref="C28" si="3">SUM(D28:P28)/13</f>
        <v>-1984612.8672428208</v>
      </c>
      <c r="D28" s="710">
        <v>-2137626.0142245544</v>
      </c>
      <c r="E28" s="710">
        <v>-2106116.499233827</v>
      </c>
      <c r="F28" s="710">
        <v>-2074606.9842430989</v>
      </c>
      <c r="G28" s="710">
        <v>-2043097.469252371</v>
      </c>
      <c r="H28" s="710">
        <v>-2011587.9542616433</v>
      </c>
      <c r="I28" s="710">
        <v>-1988294.6078431373</v>
      </c>
      <c r="J28" s="710">
        <v>-1971172.3039215684</v>
      </c>
      <c r="K28" s="710">
        <v>-1954050.0000000002</v>
      </c>
      <c r="L28" s="710">
        <v>-1936927.6960784313</v>
      </c>
      <c r="M28" s="710">
        <v>-1919805.3921568627</v>
      </c>
      <c r="N28" s="710">
        <v>-1902683.088235294</v>
      </c>
      <c r="O28" s="710">
        <v>-1885560.7843137255</v>
      </c>
      <c r="P28" s="710">
        <v>-1868438.4803921569</v>
      </c>
    </row>
    <row r="29" spans="1:16" x14ac:dyDescent="0.2">
      <c r="A29" s="14"/>
      <c r="B29" s="45" t="s">
        <v>3065</v>
      </c>
    </row>
    <row r="30" spans="1:16" x14ac:dyDescent="0.2">
      <c r="A30" s="117">
        <v>27</v>
      </c>
      <c r="B30" s="117"/>
      <c r="C30" s="709">
        <f t="shared" ref="C30" si="4">SUM(D30:P30)/13</f>
        <v>8836929492.9500008</v>
      </c>
      <c r="D30" s="710">
        <v>8366589715.6300001</v>
      </c>
      <c r="E30" s="710">
        <v>8448069071.25</v>
      </c>
      <c r="F30" s="710">
        <v>8494025640.79</v>
      </c>
      <c r="G30" s="710">
        <v>8532171484.0500002</v>
      </c>
      <c r="H30" s="710">
        <v>8580448332.6299992</v>
      </c>
      <c r="I30" s="710">
        <v>8657215877.2099991</v>
      </c>
      <c r="J30" s="710">
        <v>8836355735.0499992</v>
      </c>
      <c r="K30" s="710">
        <v>8946981477.8400002</v>
      </c>
      <c r="L30" s="710">
        <v>9142295812.0799999</v>
      </c>
      <c r="M30" s="710">
        <v>9133867341.5599995</v>
      </c>
      <c r="N30" s="710">
        <v>9230974467.0699997</v>
      </c>
      <c r="O30" s="710">
        <v>9303521862.1900005</v>
      </c>
      <c r="P30" s="710">
        <v>9207566591</v>
      </c>
    </row>
    <row r="31" spans="1:16" x14ac:dyDescent="0.2">
      <c r="A31" s="117"/>
      <c r="B31" s="45" t="s">
        <v>3209</v>
      </c>
      <c r="D31" s="709"/>
      <c r="E31" s="709"/>
      <c r="F31" s="709"/>
      <c r="G31" s="709"/>
      <c r="H31" s="709"/>
      <c r="I31" s="709"/>
      <c r="J31" s="709"/>
      <c r="K31" s="709"/>
      <c r="L31" s="709"/>
      <c r="M31" s="709"/>
      <c r="N31" s="709"/>
      <c r="O31" s="709"/>
      <c r="P31" s="709"/>
    </row>
    <row r="32" spans="1:16" x14ac:dyDescent="0.2">
      <c r="A32" s="117">
        <v>30</v>
      </c>
      <c r="B32" s="117"/>
      <c r="C32" s="709">
        <f t="shared" ref="C32:C34" si="5">SUM(D32:P32)/13</f>
        <v>-3208582.3846153845</v>
      </c>
      <c r="D32" s="710">
        <v>-2766044</v>
      </c>
      <c r="E32" s="710">
        <v>-2855396</v>
      </c>
      <c r="F32" s="710">
        <v>-3017971</v>
      </c>
      <c r="G32" s="710">
        <v>-3091163</v>
      </c>
      <c r="H32" s="710">
        <v>-3244326</v>
      </c>
      <c r="I32" s="710">
        <v>-3271107</v>
      </c>
      <c r="J32" s="710">
        <v>-3194101</v>
      </c>
      <c r="K32" s="710">
        <v>-3278396</v>
      </c>
      <c r="L32" s="710">
        <v>-3333866</v>
      </c>
      <c r="M32" s="710">
        <v>-3365554</v>
      </c>
      <c r="N32" s="710">
        <v>-3417695</v>
      </c>
      <c r="O32" s="710">
        <v>-3462361</v>
      </c>
      <c r="P32" s="710">
        <v>-3413591</v>
      </c>
    </row>
    <row r="33" spans="1:16" x14ac:dyDescent="0.2">
      <c r="A33" s="117"/>
      <c r="B33" s="45" t="s">
        <v>3210</v>
      </c>
      <c r="D33" s="709"/>
      <c r="E33" s="709"/>
      <c r="F33" s="709"/>
      <c r="G33" s="709"/>
      <c r="H33" s="709"/>
      <c r="I33" s="709"/>
      <c r="J33" s="709"/>
      <c r="K33" s="709"/>
      <c r="L33" s="709"/>
      <c r="M33" s="709"/>
      <c r="N33" s="709"/>
      <c r="O33" s="709"/>
      <c r="P33" s="709"/>
    </row>
    <row r="34" spans="1:16" x14ac:dyDescent="0.2">
      <c r="A34" s="117">
        <f>A32+1</f>
        <v>31</v>
      </c>
      <c r="B34" s="117"/>
      <c r="C34" s="709">
        <f t="shared" si="5"/>
        <v>17816595.11923077</v>
      </c>
      <c r="D34" s="710">
        <v>18727801.039999999</v>
      </c>
      <c r="E34" s="710">
        <v>18315818.039999999</v>
      </c>
      <c r="F34" s="710">
        <v>18071388.530000001</v>
      </c>
      <c r="G34" s="710">
        <v>17994629.98</v>
      </c>
      <c r="H34" s="710">
        <v>17582712.98</v>
      </c>
      <c r="I34" s="710">
        <v>17170795.98</v>
      </c>
      <c r="J34" s="710">
        <v>17261458.91</v>
      </c>
      <c r="K34" s="710">
        <v>16849541.91</v>
      </c>
      <c r="L34" s="710">
        <v>16437624.91</v>
      </c>
      <c r="M34" s="710">
        <v>16528287.84</v>
      </c>
      <c r="N34" s="710">
        <v>16116370.84</v>
      </c>
      <c r="O34" s="710">
        <v>15871980.48</v>
      </c>
      <c r="P34" s="710">
        <v>24687325.109999999</v>
      </c>
    </row>
    <row r="35" spans="1:16" x14ac:dyDescent="0.2">
      <c r="A35" s="117"/>
      <c r="B35" s="117"/>
      <c r="C35" s="709"/>
      <c r="D35" s="709"/>
      <c r="E35" s="709"/>
      <c r="F35" s="709"/>
      <c r="G35" s="709"/>
      <c r="H35" s="709"/>
      <c r="I35" s="709"/>
      <c r="J35" s="709"/>
      <c r="K35" s="709"/>
      <c r="L35" s="709"/>
      <c r="M35" s="709"/>
      <c r="N35" s="709"/>
      <c r="O35" s="709"/>
      <c r="P35" s="709"/>
    </row>
    <row r="36" spans="1:16" x14ac:dyDescent="0.2">
      <c r="A36" s="117"/>
      <c r="B36" s="53" t="s">
        <v>433</v>
      </c>
      <c r="C36" s="709"/>
      <c r="D36" s="709"/>
      <c r="E36" s="709"/>
      <c r="F36" s="709"/>
      <c r="G36" s="709"/>
      <c r="H36" s="709"/>
      <c r="I36" s="709"/>
      <c r="J36" s="709"/>
      <c r="K36" s="709"/>
      <c r="L36" s="709"/>
      <c r="M36" s="709"/>
      <c r="N36" s="709"/>
      <c r="O36" s="709"/>
      <c r="P36" s="709"/>
    </row>
    <row r="37" spans="1:16" x14ac:dyDescent="0.2">
      <c r="A37" s="117"/>
      <c r="B37" s="649" t="s">
        <v>2388</v>
      </c>
      <c r="C37" s="709"/>
      <c r="D37" s="709"/>
      <c r="E37" s="709"/>
      <c r="F37" s="709"/>
      <c r="G37" s="709"/>
      <c r="H37" s="709"/>
      <c r="I37" s="709"/>
      <c r="J37" s="709"/>
      <c r="K37" s="709"/>
      <c r="L37" s="709"/>
      <c r="M37" s="709"/>
      <c r="N37" s="709"/>
      <c r="O37" s="709"/>
      <c r="P37" s="709"/>
    </row>
    <row r="38" spans="1:16" x14ac:dyDescent="0.2">
      <c r="A38" s="117"/>
      <c r="B38" s="653" t="s">
        <v>2410</v>
      </c>
      <c r="C38" s="709"/>
      <c r="D38" s="709"/>
      <c r="E38" s="709"/>
      <c r="F38" s="709"/>
      <c r="G38" s="709"/>
      <c r="H38" s="709"/>
      <c r="I38" s="709"/>
      <c r="J38" s="709"/>
      <c r="K38" s="709"/>
      <c r="L38" s="709"/>
      <c r="M38" s="709"/>
      <c r="N38" s="709"/>
      <c r="O38" s="709"/>
      <c r="P38" s="709"/>
    </row>
    <row r="39" spans="1:16" x14ac:dyDescent="0.2">
      <c r="A39" s="117"/>
      <c r="B39" s="651" t="s">
        <v>3151</v>
      </c>
      <c r="C39" s="438" t="s">
        <v>3085</v>
      </c>
      <c r="D39" s="709"/>
      <c r="E39" s="709"/>
      <c r="F39" s="709"/>
      <c r="G39" s="709"/>
      <c r="H39" s="709"/>
      <c r="I39" s="709"/>
      <c r="J39" s="709"/>
      <c r="K39" s="709"/>
      <c r="L39" s="709"/>
      <c r="M39" s="709"/>
      <c r="N39" s="709"/>
      <c r="O39" s="709"/>
      <c r="P39" s="709"/>
    </row>
    <row r="40" spans="1:16" x14ac:dyDescent="0.2">
      <c r="A40" s="14"/>
      <c r="B40" s="1070" t="s">
        <v>3152</v>
      </c>
      <c r="C40" s="14"/>
      <c r="D40" s="14"/>
      <c r="E40" s="14"/>
      <c r="F40" s="14"/>
      <c r="G40" s="14"/>
      <c r="H40" s="14"/>
      <c r="I40" s="14"/>
      <c r="J40" s="14"/>
    </row>
    <row r="41" spans="1:16" x14ac:dyDescent="0.2">
      <c r="A41" s="14"/>
      <c r="B41" s="648"/>
      <c r="C41" s="14"/>
      <c r="D41" s="14"/>
      <c r="E41" s="14"/>
      <c r="F41" s="14"/>
      <c r="G41" s="14"/>
      <c r="H41" s="14"/>
      <c r="I41" s="14"/>
      <c r="J41" s="14"/>
    </row>
    <row r="42" spans="1:16" x14ac:dyDescent="0.2">
      <c r="A42" s="14"/>
      <c r="B42" s="45" t="s">
        <v>267</v>
      </c>
      <c r="C42" s="14"/>
      <c r="D42" s="14"/>
      <c r="E42" s="14"/>
      <c r="F42" s="14"/>
      <c r="G42" s="14"/>
      <c r="H42" s="14"/>
      <c r="I42" s="14"/>
      <c r="J42" s="14"/>
    </row>
    <row r="43" spans="1:16" x14ac:dyDescent="0.2">
      <c r="A43" s="14"/>
      <c r="B43" s="651" t="s">
        <v>2576</v>
      </c>
      <c r="C43" s="14"/>
      <c r="D43" s="14"/>
      <c r="E43" s="14"/>
      <c r="F43" s="14"/>
      <c r="G43" s="14"/>
      <c r="H43" s="14"/>
      <c r="I43" s="14"/>
      <c r="J43" s="14"/>
    </row>
    <row r="44" spans="1:16" x14ac:dyDescent="0.2">
      <c r="A44" s="14"/>
      <c r="B44" s="651" t="s">
        <v>2577</v>
      </c>
      <c r="C44" s="14"/>
      <c r="D44" s="14"/>
      <c r="E44" s="14"/>
      <c r="F44" s="14"/>
      <c r="G44" s="14"/>
      <c r="H44" s="14"/>
      <c r="I44" s="14"/>
      <c r="J44" s="14"/>
    </row>
    <row r="45" spans="1:16" x14ac:dyDescent="0.2">
      <c r="A45" s="14"/>
      <c r="B45" s="651" t="s">
        <v>2764</v>
      </c>
      <c r="C45" s="14"/>
      <c r="D45" s="14"/>
      <c r="E45" s="14"/>
      <c r="F45" s="14"/>
      <c r="G45" s="14"/>
      <c r="H45" s="14"/>
      <c r="I45" s="14"/>
      <c r="J45" s="14"/>
    </row>
    <row r="46" spans="1:16" x14ac:dyDescent="0.2">
      <c r="A46" s="14"/>
      <c r="B46" s="651" t="s">
        <v>2578</v>
      </c>
      <c r="C46" s="14"/>
      <c r="D46" s="14"/>
      <c r="E46" s="14"/>
      <c r="F46" s="14"/>
      <c r="G46" s="14"/>
      <c r="H46" s="14"/>
      <c r="I46" s="14"/>
      <c r="J46" s="14"/>
    </row>
    <row r="47" spans="1:16" x14ac:dyDescent="0.2">
      <c r="A47" s="14"/>
      <c r="B47" s="651" t="s">
        <v>3086</v>
      </c>
      <c r="C47" s="438" t="s">
        <v>3085</v>
      </c>
      <c r="D47" s="14"/>
      <c r="E47" s="14"/>
      <c r="F47" s="14"/>
      <c r="G47" s="14"/>
      <c r="H47" s="14"/>
      <c r="I47" s="14"/>
      <c r="J47" s="14"/>
    </row>
    <row r="48" spans="1:16" x14ac:dyDescent="0.2">
      <c r="A48" s="14"/>
      <c r="B48" s="651" t="s">
        <v>3083</v>
      </c>
      <c r="C48" s="438" t="s">
        <v>3085</v>
      </c>
      <c r="D48" s="14"/>
      <c r="E48" s="14"/>
      <c r="F48" s="14"/>
      <c r="G48" s="14"/>
      <c r="H48" s="14"/>
      <c r="I48" s="14"/>
      <c r="J48" s="14"/>
    </row>
    <row r="49" spans="1:13" x14ac:dyDescent="0.2">
      <c r="A49" s="14"/>
      <c r="B49" s="651" t="s">
        <v>3149</v>
      </c>
      <c r="C49" s="438" t="s">
        <v>3085</v>
      </c>
      <c r="D49" s="14"/>
      <c r="E49" s="14"/>
      <c r="F49" s="14"/>
      <c r="G49" s="14"/>
      <c r="H49" s="14"/>
      <c r="I49" s="14"/>
      <c r="J49" s="14"/>
    </row>
    <row r="50" spans="1:13" x14ac:dyDescent="0.2">
      <c r="A50" s="14"/>
      <c r="B50" s="651" t="s">
        <v>3150</v>
      </c>
      <c r="C50" s="438" t="s">
        <v>3085</v>
      </c>
      <c r="D50" s="14"/>
      <c r="E50" s="14"/>
      <c r="F50" s="14"/>
      <c r="G50" s="14"/>
      <c r="H50" s="14"/>
      <c r="I50" s="14"/>
      <c r="J50" s="14"/>
    </row>
    <row r="51" spans="1:13" x14ac:dyDescent="0.2">
      <c r="A51" s="14"/>
      <c r="B51" s="651" t="s">
        <v>3061</v>
      </c>
      <c r="C51" s="14"/>
      <c r="D51" s="14"/>
      <c r="E51" s="14"/>
      <c r="F51" s="14"/>
      <c r="G51" s="14"/>
      <c r="H51" s="14"/>
      <c r="I51" s="14"/>
      <c r="J51" s="14"/>
    </row>
    <row r="52" spans="1:13" x14ac:dyDescent="0.2">
      <c r="A52" s="14"/>
      <c r="B52" s="651" t="s">
        <v>3062</v>
      </c>
      <c r="C52" s="438"/>
      <c r="D52" s="14"/>
      <c r="E52" s="14"/>
      <c r="F52" s="14"/>
      <c r="G52" s="14"/>
      <c r="H52" s="14"/>
      <c r="I52" s="14"/>
      <c r="J52" s="14"/>
    </row>
    <row r="53" spans="1:13" x14ac:dyDescent="0.2">
      <c r="A53" s="14"/>
      <c r="B53" s="648" t="s">
        <v>2643</v>
      </c>
      <c r="C53" s="14"/>
      <c r="D53" s="14"/>
      <c r="E53" s="14"/>
      <c r="F53" s="14"/>
      <c r="G53" s="14"/>
      <c r="H53" s="14"/>
      <c r="I53" s="14"/>
      <c r="J53" s="14"/>
    </row>
    <row r="54" spans="1:13" x14ac:dyDescent="0.2">
      <c r="A54" s="14"/>
      <c r="B54" s="14"/>
      <c r="C54" s="14"/>
      <c r="D54" s="14"/>
      <c r="E54" s="14"/>
      <c r="F54" s="14"/>
      <c r="G54" s="14"/>
      <c r="H54" s="117" t="s">
        <v>1181</v>
      </c>
      <c r="I54" s="14"/>
      <c r="J54" s="14"/>
    </row>
    <row r="55" spans="1:13" x14ac:dyDescent="0.2">
      <c r="A55" s="14"/>
      <c r="B55" s="14"/>
      <c r="C55" s="117"/>
      <c r="D55" s="14"/>
      <c r="E55" s="117" t="s">
        <v>2312</v>
      </c>
      <c r="F55" s="117" t="s">
        <v>2313</v>
      </c>
      <c r="G55" s="117" t="s">
        <v>2313</v>
      </c>
      <c r="H55" s="117" t="s">
        <v>229</v>
      </c>
      <c r="I55" s="117" t="s">
        <v>1689</v>
      </c>
      <c r="J55" s="14"/>
    </row>
    <row r="56" spans="1:13" x14ac:dyDescent="0.2">
      <c r="A56" s="14"/>
      <c r="B56" s="14"/>
      <c r="C56" s="131" t="s">
        <v>2314</v>
      </c>
      <c r="D56" s="14"/>
      <c r="E56" s="131" t="s">
        <v>205</v>
      </c>
      <c r="F56" s="131" t="s">
        <v>2315</v>
      </c>
      <c r="G56" s="131" t="s">
        <v>2436</v>
      </c>
      <c r="H56" s="385" t="s">
        <v>2639</v>
      </c>
      <c r="I56" s="131" t="s">
        <v>1181</v>
      </c>
      <c r="J56" s="131" t="s">
        <v>198</v>
      </c>
    </row>
    <row r="57" spans="1:13" x14ac:dyDescent="0.2">
      <c r="B57" s="14"/>
      <c r="C57" s="828" t="s">
        <v>2437</v>
      </c>
      <c r="D57" s="771"/>
      <c r="E57" s="113">
        <v>400000000</v>
      </c>
      <c r="F57" s="829">
        <v>38469</v>
      </c>
      <c r="G57" s="113">
        <v>5426936</v>
      </c>
      <c r="H57" s="159">
        <v>5</v>
      </c>
      <c r="I57" s="869" t="s">
        <v>30</v>
      </c>
      <c r="J57" s="101" t="s">
        <v>2438</v>
      </c>
      <c r="K57" s="101"/>
      <c r="L57" s="101"/>
      <c r="M57" s="101"/>
    </row>
    <row r="58" spans="1:13" x14ac:dyDescent="0.2">
      <c r="B58" s="14"/>
      <c r="C58" s="828" t="s">
        <v>2439</v>
      </c>
      <c r="D58" s="771"/>
      <c r="E58" s="113">
        <v>200000000</v>
      </c>
      <c r="F58" s="829">
        <v>38610</v>
      </c>
      <c r="G58" s="113">
        <v>3435743</v>
      </c>
      <c r="H58" s="159">
        <v>30</v>
      </c>
      <c r="I58" s="113">
        <f>G58/H58</f>
        <v>114524.76666666666</v>
      </c>
      <c r="J58" s="101"/>
      <c r="K58" s="101"/>
      <c r="L58" s="101"/>
      <c r="M58" s="101"/>
    </row>
    <row r="59" spans="1:13" x14ac:dyDescent="0.2">
      <c r="B59" s="14"/>
      <c r="C59" s="828" t="s">
        <v>2440</v>
      </c>
      <c r="D59" s="771"/>
      <c r="E59" s="113">
        <v>200000000</v>
      </c>
      <c r="F59" s="829">
        <v>38741</v>
      </c>
      <c r="G59" s="113">
        <v>3779170</v>
      </c>
      <c r="H59" s="159">
        <v>30</v>
      </c>
      <c r="I59" s="113">
        <f>G59/H59</f>
        <v>125972.33333333333</v>
      </c>
      <c r="J59" s="101"/>
      <c r="K59" s="101"/>
      <c r="L59" s="101"/>
      <c r="M59" s="101"/>
    </row>
    <row r="60" spans="1:13" x14ac:dyDescent="0.2">
      <c r="B60" s="14"/>
      <c r="C60" s="771" t="s">
        <v>578</v>
      </c>
      <c r="D60" s="771"/>
      <c r="E60" s="113"/>
      <c r="F60" s="829"/>
      <c r="G60" s="113"/>
      <c r="H60" s="159"/>
      <c r="I60" s="101"/>
      <c r="J60" s="101"/>
      <c r="K60" s="101"/>
      <c r="L60" s="101"/>
      <c r="M60" s="101"/>
    </row>
    <row r="61" spans="1:13" x14ac:dyDescent="0.2">
      <c r="B61" s="14"/>
      <c r="C61" s="868"/>
      <c r="D61" s="868"/>
      <c r="E61" s="14"/>
      <c r="F61" s="14"/>
      <c r="G61" s="14"/>
      <c r="H61" s="14"/>
      <c r="I61" s="644">
        <f>SUM(I58:I60)</f>
        <v>240497.09999999998</v>
      </c>
      <c r="J61" s="651" t="s">
        <v>2642</v>
      </c>
      <c r="K61" s="14"/>
      <c r="L61" s="14"/>
      <c r="M61" s="14"/>
    </row>
    <row r="62" spans="1:13" x14ac:dyDescent="0.2">
      <c r="B62" s="651" t="s">
        <v>3063</v>
      </c>
      <c r="G62" s="14"/>
      <c r="H62" s="14"/>
      <c r="I62" s="14"/>
      <c r="J62" s="14"/>
      <c r="K62" s="14"/>
      <c r="L62" s="14"/>
      <c r="M62" s="14"/>
    </row>
    <row r="63" spans="1:13" x14ac:dyDescent="0.2">
      <c r="B63" s="648" t="s">
        <v>2640</v>
      </c>
      <c r="G63" s="14"/>
      <c r="H63" s="14"/>
      <c r="I63" s="14"/>
      <c r="J63" s="14"/>
      <c r="K63" s="14"/>
      <c r="L63" s="14"/>
      <c r="M63" s="14"/>
    </row>
    <row r="64" spans="1:13" x14ac:dyDescent="0.2">
      <c r="B64" s="14"/>
      <c r="G64" s="117" t="s">
        <v>1181</v>
      </c>
      <c r="H64" s="14"/>
      <c r="I64" s="14"/>
      <c r="J64" s="14"/>
      <c r="K64" s="14"/>
      <c r="L64" s="14"/>
      <c r="M64" s="14"/>
    </row>
    <row r="65" spans="2:13" x14ac:dyDescent="0.2">
      <c r="B65" s="14"/>
      <c r="C65" s="117"/>
      <c r="E65" s="827" t="s">
        <v>2441</v>
      </c>
      <c r="F65" s="117" t="s">
        <v>1181</v>
      </c>
      <c r="G65" s="117" t="s">
        <v>229</v>
      </c>
      <c r="H65" s="117" t="s">
        <v>1689</v>
      </c>
      <c r="I65" s="117"/>
      <c r="J65" s="14"/>
      <c r="K65" s="14"/>
      <c r="L65" s="14"/>
      <c r="M65" s="14"/>
    </row>
    <row r="66" spans="2:13" x14ac:dyDescent="0.2">
      <c r="B66" s="14"/>
      <c r="C66" s="131" t="s">
        <v>2442</v>
      </c>
      <c r="E66" s="131" t="s">
        <v>2315</v>
      </c>
      <c r="F66" s="131" t="s">
        <v>205</v>
      </c>
      <c r="G66" s="385" t="s">
        <v>2639</v>
      </c>
      <c r="H66" s="131" t="s">
        <v>1181</v>
      </c>
      <c r="I66" s="131" t="s">
        <v>198</v>
      </c>
      <c r="J66" s="14"/>
      <c r="K66" s="14"/>
      <c r="L66" s="14"/>
      <c r="M66" s="14"/>
    </row>
    <row r="67" spans="2:13" x14ac:dyDescent="0.2">
      <c r="B67" s="14"/>
      <c r="C67" s="828" t="s">
        <v>2443</v>
      </c>
      <c r="D67" s="771"/>
      <c r="E67" s="830" t="s">
        <v>2444</v>
      </c>
      <c r="F67" s="113">
        <v>-286600</v>
      </c>
      <c r="G67" s="159">
        <v>34</v>
      </c>
      <c r="H67" s="113">
        <f>F67/G67</f>
        <v>-8429.4117647058829</v>
      </c>
      <c r="I67" s="101" t="s">
        <v>2445</v>
      </c>
      <c r="J67" s="101"/>
      <c r="K67" s="101"/>
      <c r="L67" s="101"/>
      <c r="M67" s="101"/>
    </row>
    <row r="68" spans="2:13" x14ac:dyDescent="0.2">
      <c r="B68" s="14"/>
      <c r="C68" s="828" t="s">
        <v>2446</v>
      </c>
      <c r="D68" s="771"/>
      <c r="E68" s="831" t="s">
        <v>2447</v>
      </c>
      <c r="F68" s="113">
        <v>6247500</v>
      </c>
      <c r="G68" s="159">
        <v>34</v>
      </c>
      <c r="H68" s="113">
        <f t="shared" ref="H68:H69" si="6">F68/G68</f>
        <v>183750</v>
      </c>
      <c r="I68" s="101" t="s">
        <v>2448</v>
      </c>
      <c r="J68" s="101"/>
      <c r="K68" s="101"/>
      <c r="L68" s="101"/>
      <c r="M68" s="101"/>
    </row>
    <row r="69" spans="2:13" x14ac:dyDescent="0.2">
      <c r="B69" s="14"/>
      <c r="C69" s="828" t="s">
        <v>2446</v>
      </c>
      <c r="D69" s="771"/>
      <c r="E69" s="831" t="s">
        <v>2447</v>
      </c>
      <c r="F69" s="113">
        <v>1025000</v>
      </c>
      <c r="G69" s="159">
        <v>34</v>
      </c>
      <c r="H69" s="113">
        <f t="shared" si="6"/>
        <v>30147.058823529413</v>
      </c>
      <c r="I69" s="101" t="s">
        <v>2449</v>
      </c>
      <c r="J69" s="101"/>
      <c r="K69" s="101"/>
      <c r="L69" s="101"/>
      <c r="M69" s="101"/>
    </row>
    <row r="70" spans="2:13" x14ac:dyDescent="0.2">
      <c r="B70" s="14"/>
      <c r="C70" s="771" t="s">
        <v>578</v>
      </c>
      <c r="D70" s="771"/>
      <c r="E70" s="831"/>
      <c r="F70" s="113"/>
      <c r="G70" s="159"/>
      <c r="H70" s="113"/>
      <c r="I70" s="667"/>
      <c r="J70" s="101"/>
      <c r="K70" s="101"/>
      <c r="L70" s="101"/>
      <c r="M70" s="101"/>
    </row>
    <row r="71" spans="2:13" x14ac:dyDescent="0.2">
      <c r="B71" s="14"/>
      <c r="C71" s="868"/>
      <c r="D71" s="868"/>
      <c r="E71" s="14"/>
      <c r="F71" s="14"/>
      <c r="G71" s="14"/>
      <c r="H71" s="644">
        <f>SUM(H67:H70)</f>
        <v>205467.64705882355</v>
      </c>
      <c r="I71" s="651" t="s">
        <v>2641</v>
      </c>
      <c r="J71" s="14"/>
      <c r="K71" s="14"/>
      <c r="L71" s="14"/>
      <c r="M71" s="14"/>
    </row>
    <row r="72" spans="2:13" x14ac:dyDescent="0.2">
      <c r="B72" s="14"/>
      <c r="C72" s="14"/>
      <c r="D72" s="14"/>
      <c r="E72" s="14"/>
      <c r="F72" s="14"/>
      <c r="G72" s="14"/>
      <c r="H72" s="14"/>
      <c r="I72" s="14"/>
      <c r="J72" s="14"/>
      <c r="K72" s="14"/>
      <c r="L72" s="14"/>
      <c r="M72" s="14"/>
    </row>
    <row r="73" spans="2:13" x14ac:dyDescent="0.2">
      <c r="B73" s="651" t="s">
        <v>3066</v>
      </c>
      <c r="C73" s="14"/>
      <c r="D73" s="14"/>
      <c r="E73" s="14"/>
      <c r="F73" s="14"/>
      <c r="G73" s="14"/>
      <c r="H73" s="14"/>
      <c r="I73" s="14"/>
      <c r="J73" s="14"/>
      <c r="K73" s="14"/>
      <c r="L73" s="14"/>
      <c r="M73" s="14"/>
    </row>
    <row r="74" spans="2:13" x14ac:dyDescent="0.2">
      <c r="B74" s="651" t="s">
        <v>3067</v>
      </c>
      <c r="C74" s="14"/>
      <c r="D74" s="14"/>
      <c r="E74" s="14"/>
      <c r="F74" s="14"/>
      <c r="G74" s="14"/>
      <c r="H74" s="14"/>
      <c r="I74" s="14"/>
      <c r="J74" s="14"/>
      <c r="K74" s="14"/>
      <c r="L74" s="14"/>
      <c r="M74" s="14"/>
    </row>
    <row r="75" spans="2:13" x14ac:dyDescent="0.2">
      <c r="B75" s="651" t="s">
        <v>3068</v>
      </c>
      <c r="C75" s="14"/>
      <c r="D75" s="14"/>
      <c r="E75" s="14"/>
      <c r="F75" s="14"/>
      <c r="G75" s="14"/>
      <c r="H75" s="14"/>
      <c r="I75" s="14"/>
      <c r="J75" s="14"/>
      <c r="K75" s="14"/>
      <c r="L75" s="14"/>
      <c r="M75" s="14"/>
    </row>
  </sheetData>
  <pageMargins left="0.7" right="0.7" top="0.75" bottom="0.75" header="0.3" footer="0.3"/>
  <pageSetup scale="57" fitToHeight="0" orientation="landscape" cellComments="asDisplayed" r:id="rId1"/>
  <headerFooter>
    <oddHeader xml:space="preserve">&amp;CSchedule 5 ROR-2
Return and Capitalization
&amp;"Arial,Bold"Exhibit G-1&amp;"Arial,Regular"
</oddHeader>
    <oddFooter>&amp;R5-ROR-2</oddFooter>
  </headerFooter>
  <rowBreaks count="1" manualBreakCount="1">
    <brk id="41"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4"/>
  <sheetViews>
    <sheetView zoomScale="85" zoomScaleNormal="85" workbookViewId="0"/>
  </sheetViews>
  <sheetFormatPr defaultRowHeight="12.75" x14ac:dyDescent="0.2"/>
  <cols>
    <col min="1" max="1" width="4.7109375" customWidth="1"/>
    <col min="2" max="2" width="10.7109375" customWidth="1"/>
    <col min="3" max="13" width="13.7109375" customWidth="1"/>
  </cols>
  <sheetData>
    <row r="1" spans="1:13" x14ac:dyDescent="0.2">
      <c r="A1" s="468" t="s">
        <v>1460</v>
      </c>
      <c r="B1" s="244"/>
      <c r="C1" s="244"/>
      <c r="D1" s="244"/>
      <c r="E1" s="244"/>
      <c r="F1" s="244"/>
      <c r="G1" s="244"/>
      <c r="H1" s="244"/>
      <c r="I1" s="667" t="s">
        <v>18</v>
      </c>
      <c r="J1" s="469"/>
      <c r="K1" s="244"/>
      <c r="L1" s="244"/>
    </row>
    <row r="2" spans="1:13" x14ac:dyDescent="0.2">
      <c r="A2" s="468"/>
      <c r="B2" s="244"/>
      <c r="C2" s="244"/>
      <c r="D2" s="244"/>
      <c r="E2" s="244"/>
      <c r="F2" s="244"/>
      <c r="G2" s="244"/>
      <c r="H2" s="244"/>
      <c r="I2" s="244"/>
      <c r="J2" s="244"/>
      <c r="K2" s="244"/>
      <c r="L2" s="244"/>
    </row>
    <row r="3" spans="1:13" x14ac:dyDescent="0.2">
      <c r="A3" s="468"/>
      <c r="B3" s="468" t="s">
        <v>363</v>
      </c>
      <c r="C3" s="244"/>
      <c r="D3" s="244"/>
      <c r="E3" s="244"/>
      <c r="F3" s="244"/>
      <c r="G3" s="244"/>
      <c r="H3" s="244"/>
      <c r="I3" s="244"/>
      <c r="J3" s="244"/>
      <c r="K3" s="244"/>
      <c r="L3" s="244"/>
    </row>
    <row r="4" spans="1:13" x14ac:dyDescent="0.2">
      <c r="A4" s="468"/>
      <c r="B4" s="468"/>
      <c r="C4" s="244"/>
      <c r="D4" s="244"/>
      <c r="E4" s="244"/>
      <c r="F4" s="244"/>
      <c r="G4" s="244"/>
      <c r="H4" s="244"/>
      <c r="I4" s="244"/>
      <c r="J4" s="244"/>
      <c r="K4" s="244"/>
      <c r="L4" s="244"/>
    </row>
    <row r="5" spans="1:13" x14ac:dyDescent="0.2">
      <c r="A5" s="468"/>
      <c r="B5" s="649" t="s">
        <v>2024</v>
      </c>
      <c r="C5" s="244"/>
      <c r="D5" s="244"/>
      <c r="E5" s="244"/>
      <c r="F5" s="244"/>
      <c r="G5" s="244"/>
      <c r="H5" s="649"/>
      <c r="I5" s="1055" t="s">
        <v>2524</v>
      </c>
      <c r="J5" s="469">
        <v>2010</v>
      </c>
      <c r="K5" s="244"/>
      <c r="L5" s="244"/>
    </row>
    <row r="6" spans="1:13" x14ac:dyDescent="0.2">
      <c r="A6" s="468"/>
      <c r="B6" s="649"/>
      <c r="C6" s="244"/>
      <c r="D6" s="244"/>
      <c r="E6" s="244"/>
      <c r="F6" s="244"/>
      <c r="G6" s="244"/>
      <c r="H6" s="244"/>
      <c r="I6" s="244"/>
      <c r="J6" s="244"/>
      <c r="K6" s="244"/>
      <c r="L6" s="244"/>
    </row>
    <row r="7" spans="1:13" x14ac:dyDescent="0.2">
      <c r="A7" s="468"/>
      <c r="B7" s="88" t="s">
        <v>406</v>
      </c>
      <c r="C7" s="88" t="s">
        <v>390</v>
      </c>
      <c r="D7" s="88" t="s">
        <v>391</v>
      </c>
      <c r="E7" s="88" t="s">
        <v>392</v>
      </c>
      <c r="F7" s="88" t="s">
        <v>393</v>
      </c>
      <c r="G7" s="88" t="s">
        <v>394</v>
      </c>
      <c r="H7" s="88" t="s">
        <v>395</v>
      </c>
      <c r="I7" s="88" t="s">
        <v>610</v>
      </c>
      <c r="J7" s="88" t="s">
        <v>1059</v>
      </c>
      <c r="K7" s="88" t="s">
        <v>1076</v>
      </c>
      <c r="L7" s="88" t="s">
        <v>1079</v>
      </c>
      <c r="M7" s="88" t="s">
        <v>1097</v>
      </c>
    </row>
    <row r="8" spans="1:13" x14ac:dyDescent="0.2">
      <c r="A8" s="244"/>
      <c r="B8" s="610"/>
      <c r="C8" s="244"/>
      <c r="D8" s="244"/>
      <c r="E8" s="244"/>
      <c r="F8" s="244"/>
      <c r="G8" s="244"/>
      <c r="H8" s="244"/>
      <c r="I8" s="244"/>
      <c r="J8" s="244"/>
      <c r="K8" s="244"/>
      <c r="M8" s="266" t="s">
        <v>1525</v>
      </c>
    </row>
    <row r="9" spans="1:13" x14ac:dyDescent="0.2">
      <c r="A9" s="244"/>
      <c r="B9" s="117"/>
      <c r="C9" s="88"/>
      <c r="D9" s="88"/>
      <c r="E9" s="244"/>
      <c r="F9" s="244"/>
      <c r="G9" s="244"/>
      <c r="H9" s="244"/>
      <c r="I9" s="244"/>
      <c r="J9" s="244"/>
      <c r="K9" s="244"/>
      <c r="L9" s="244"/>
    </row>
    <row r="10" spans="1:13" x14ac:dyDescent="0.2">
      <c r="A10" s="53" t="s">
        <v>372</v>
      </c>
      <c r="B10" s="131" t="s">
        <v>2580</v>
      </c>
      <c r="C10" s="88">
        <v>350.1</v>
      </c>
      <c r="D10" s="88">
        <v>350.2</v>
      </c>
      <c r="E10" s="88">
        <v>352</v>
      </c>
      <c r="F10" s="88">
        <v>353</v>
      </c>
      <c r="G10" s="88">
        <v>354</v>
      </c>
      <c r="H10" s="88">
        <v>355</v>
      </c>
      <c r="I10" s="88">
        <v>356</v>
      </c>
      <c r="J10" s="88">
        <v>357</v>
      </c>
      <c r="K10" s="88">
        <v>358</v>
      </c>
      <c r="L10" s="88">
        <v>359</v>
      </c>
      <c r="M10" s="3" t="s">
        <v>226</v>
      </c>
    </row>
    <row r="11" spans="1:13" x14ac:dyDescent="0.2">
      <c r="A11" s="736">
        <v>1</v>
      </c>
      <c r="B11" s="861" t="s">
        <v>2581</v>
      </c>
      <c r="C11" s="738">
        <v>79059603.74731046</v>
      </c>
      <c r="D11" s="832">
        <v>80780545.616018757</v>
      </c>
      <c r="E11" s="249">
        <v>155688007.49363178</v>
      </c>
      <c r="F11" s="249">
        <v>1577974055.0093179</v>
      </c>
      <c r="G11" s="738">
        <v>606815940</v>
      </c>
      <c r="H11" s="738">
        <v>97176839</v>
      </c>
      <c r="I11" s="738">
        <v>405471016</v>
      </c>
      <c r="J11" s="738">
        <v>281034</v>
      </c>
      <c r="K11" s="738">
        <v>2305716</v>
      </c>
      <c r="L11" s="738">
        <v>27705032</v>
      </c>
      <c r="M11" s="246">
        <f t="shared" ref="M11:M23" si="0">SUM(C11:L11)</f>
        <v>3033257788.8662786</v>
      </c>
    </row>
    <row r="12" spans="1:13" x14ac:dyDescent="0.2">
      <c r="A12" s="736">
        <f>A11+1</f>
        <v>2</v>
      </c>
      <c r="B12" s="862" t="s">
        <v>2582</v>
      </c>
      <c r="C12" s="248">
        <f t="shared" ref="C12:C22" si="1">C146+C94 +C11</f>
        <v>79061049.370702162</v>
      </c>
      <c r="D12" s="261">
        <f t="shared" ref="D12:D22" si="2">D146+D94 +D11</f>
        <v>80812142.075636387</v>
      </c>
      <c r="E12" s="248">
        <f t="shared" ref="E12:E22" si="3">E146+E94 +E11</f>
        <v>156679809.86205167</v>
      </c>
      <c r="F12" s="248">
        <f t="shared" ref="F12:F22" si="4">F146+F94 +F11</f>
        <v>1579148595.373064</v>
      </c>
      <c r="G12" s="248">
        <f t="shared" ref="G12:G22" si="5">G146+G94 +G11</f>
        <v>617039954.30159843</v>
      </c>
      <c r="H12" s="248">
        <f t="shared" ref="H12:H22" si="6">H146+H94 +H11</f>
        <v>98925054.547617957</v>
      </c>
      <c r="I12" s="248">
        <f t="shared" ref="I12:I22" si="7">I146+I94 +I11</f>
        <v>409087479.04539222</v>
      </c>
      <c r="J12" s="248">
        <f t="shared" ref="J12:J22" si="8">J146+J94 +J11</f>
        <v>281594.37812070403</v>
      </c>
      <c r="K12" s="248">
        <f t="shared" ref="K12:K22" si="9">K146+K94 +K11</f>
        <v>2306363.4753104006</v>
      </c>
      <c r="L12" s="248">
        <f t="shared" ref="L12:L22" si="10">L146+L94 +L11</f>
        <v>28032650.706029277</v>
      </c>
      <c r="M12" s="246">
        <f t="shared" si="0"/>
        <v>3051374693.1355233</v>
      </c>
    </row>
    <row r="13" spans="1:13" x14ac:dyDescent="0.2">
      <c r="A13" s="736">
        <f t="shared" ref="A13:A24" si="11">A12+1</f>
        <v>3</v>
      </c>
      <c r="B13" s="861" t="s">
        <v>2583</v>
      </c>
      <c r="C13" s="248">
        <f t="shared" si="1"/>
        <v>79050700.429181442</v>
      </c>
      <c r="D13" s="261">
        <f t="shared" si="2"/>
        <v>80536888.22524257</v>
      </c>
      <c r="E13" s="248">
        <f t="shared" si="3"/>
        <v>158036524.62832522</v>
      </c>
      <c r="F13" s="248">
        <f t="shared" si="4"/>
        <v>1582379030.5621791</v>
      </c>
      <c r="G13" s="248">
        <f t="shared" si="5"/>
        <v>616477256.24932384</v>
      </c>
      <c r="H13" s="248">
        <f t="shared" si="6"/>
        <v>99531640.144623235</v>
      </c>
      <c r="I13" s="248">
        <f t="shared" si="7"/>
        <v>409967456.92227983</v>
      </c>
      <c r="J13" s="248">
        <f t="shared" si="8"/>
        <v>281594.50604355586</v>
      </c>
      <c r="K13" s="248">
        <f t="shared" si="9"/>
        <v>2306502.5183222839</v>
      </c>
      <c r="L13" s="248">
        <f t="shared" si="10"/>
        <v>28032651.910161883</v>
      </c>
      <c r="M13" s="246">
        <f t="shared" si="0"/>
        <v>3056600246.0956831</v>
      </c>
    </row>
    <row r="14" spans="1:13" x14ac:dyDescent="0.2">
      <c r="A14" s="736">
        <f t="shared" si="11"/>
        <v>4</v>
      </c>
      <c r="B14" s="861" t="s">
        <v>2584</v>
      </c>
      <c r="C14" s="248">
        <f t="shared" si="1"/>
        <v>79053845.309883058</v>
      </c>
      <c r="D14" s="261">
        <f t="shared" si="2"/>
        <v>80370943.794423178</v>
      </c>
      <c r="E14" s="248">
        <f t="shared" si="3"/>
        <v>158713823.08362693</v>
      </c>
      <c r="F14" s="248">
        <f t="shared" si="4"/>
        <v>1584998795.9697356</v>
      </c>
      <c r="G14" s="248">
        <f t="shared" si="5"/>
        <v>617489738.85438538</v>
      </c>
      <c r="H14" s="248">
        <f t="shared" si="6"/>
        <v>101072258.03910415</v>
      </c>
      <c r="I14" s="248">
        <f t="shared" si="7"/>
        <v>410919859.17664337</v>
      </c>
      <c r="J14" s="248">
        <f t="shared" si="8"/>
        <v>281591.35141775658</v>
      </c>
      <c r="K14" s="248">
        <f t="shared" si="9"/>
        <v>2306504.9694691473</v>
      </c>
      <c r="L14" s="248">
        <f t="shared" si="10"/>
        <v>28158412.01686969</v>
      </c>
      <c r="M14" s="246">
        <f t="shared" si="0"/>
        <v>3063365772.565558</v>
      </c>
    </row>
    <row r="15" spans="1:13" x14ac:dyDescent="0.2">
      <c r="A15" s="736">
        <f t="shared" si="11"/>
        <v>5</v>
      </c>
      <c r="B15" s="862" t="s">
        <v>2585</v>
      </c>
      <c r="C15" s="248">
        <f t="shared" si="1"/>
        <v>79057069.095943868</v>
      </c>
      <c r="D15" s="261">
        <f t="shared" si="2"/>
        <v>80248070.552409172</v>
      </c>
      <c r="E15" s="248">
        <f t="shared" si="3"/>
        <v>160050690.79743281</v>
      </c>
      <c r="F15" s="248">
        <f t="shared" si="4"/>
        <v>1586846684.875149</v>
      </c>
      <c r="G15" s="248">
        <f t="shared" si="5"/>
        <v>617714621.05960214</v>
      </c>
      <c r="H15" s="248">
        <f t="shared" si="6"/>
        <v>101652743.26904297</v>
      </c>
      <c r="I15" s="248">
        <f t="shared" si="7"/>
        <v>411619189.79204738</v>
      </c>
      <c r="J15" s="248">
        <f t="shared" si="8"/>
        <v>281592.52323935227</v>
      </c>
      <c r="K15" s="248">
        <f t="shared" si="9"/>
        <v>2306330.0464106207</v>
      </c>
      <c r="L15" s="248">
        <f t="shared" si="10"/>
        <v>28198679.093631461</v>
      </c>
      <c r="M15" s="246">
        <f t="shared" si="0"/>
        <v>3067975671.1049085</v>
      </c>
    </row>
    <row r="16" spans="1:13" x14ac:dyDescent="0.2">
      <c r="A16" s="736">
        <f t="shared" si="11"/>
        <v>6</v>
      </c>
      <c r="B16" s="861" t="s">
        <v>2586</v>
      </c>
      <c r="C16" s="248">
        <f t="shared" si="1"/>
        <v>79057647.581324041</v>
      </c>
      <c r="D16" s="261">
        <f t="shared" si="2"/>
        <v>80260655.191574872</v>
      </c>
      <c r="E16" s="248">
        <f t="shared" si="3"/>
        <v>160012314.73267153</v>
      </c>
      <c r="F16" s="248">
        <f t="shared" si="4"/>
        <v>1598448412.7219615</v>
      </c>
      <c r="G16" s="248">
        <f t="shared" si="5"/>
        <v>618015817.87558293</v>
      </c>
      <c r="H16" s="248">
        <f t="shared" si="6"/>
        <v>101511990.88064729</v>
      </c>
      <c r="I16" s="248">
        <f t="shared" si="7"/>
        <v>410736002.11732966</v>
      </c>
      <c r="J16" s="248">
        <f t="shared" si="8"/>
        <v>281592.52685981034</v>
      </c>
      <c r="K16" s="248">
        <f t="shared" si="9"/>
        <v>2308754.4152494562</v>
      </c>
      <c r="L16" s="248">
        <f t="shared" si="10"/>
        <v>28224887.544919059</v>
      </c>
      <c r="M16" s="246">
        <f t="shared" si="0"/>
        <v>3078858075.58812</v>
      </c>
    </row>
    <row r="17" spans="1:15" x14ac:dyDescent="0.2">
      <c r="A17" s="736">
        <f t="shared" si="11"/>
        <v>7</v>
      </c>
      <c r="B17" s="861" t="s">
        <v>2587</v>
      </c>
      <c r="C17" s="248">
        <f t="shared" si="1"/>
        <v>79057689.194189265</v>
      </c>
      <c r="D17" s="261">
        <f t="shared" si="2"/>
        <v>79813704.067958668</v>
      </c>
      <c r="E17" s="248">
        <f t="shared" si="3"/>
        <v>160582930.4309099</v>
      </c>
      <c r="F17" s="248">
        <f t="shared" si="4"/>
        <v>1614295504.5157509</v>
      </c>
      <c r="G17" s="248">
        <f t="shared" si="5"/>
        <v>618044609.87346351</v>
      </c>
      <c r="H17" s="248">
        <f t="shared" si="6"/>
        <v>102049318.21149142</v>
      </c>
      <c r="I17" s="248">
        <f t="shared" si="7"/>
        <v>411071121.85290915</v>
      </c>
      <c r="J17" s="248">
        <f t="shared" si="8"/>
        <v>281592.73563955911</v>
      </c>
      <c r="K17" s="248">
        <f t="shared" si="9"/>
        <v>2308749.4626126862</v>
      </c>
      <c r="L17" s="248">
        <f t="shared" si="10"/>
        <v>28238842.344579797</v>
      </c>
      <c r="M17" s="246">
        <f t="shared" si="0"/>
        <v>3095744062.6895046</v>
      </c>
    </row>
    <row r="18" spans="1:15" x14ac:dyDescent="0.2">
      <c r="A18" s="736">
        <f t="shared" si="11"/>
        <v>8</v>
      </c>
      <c r="B18" s="862" t="s">
        <v>2588</v>
      </c>
      <c r="C18" s="248">
        <f t="shared" si="1"/>
        <v>75816432.780947223</v>
      </c>
      <c r="D18" s="261">
        <f t="shared" si="2"/>
        <v>79028758.618102506</v>
      </c>
      <c r="E18" s="248">
        <f t="shared" si="3"/>
        <v>161526474.74920157</v>
      </c>
      <c r="F18" s="248">
        <f t="shared" si="4"/>
        <v>1619373667.0981226</v>
      </c>
      <c r="G18" s="248">
        <f t="shared" si="5"/>
        <v>618129139.21670818</v>
      </c>
      <c r="H18" s="248">
        <f t="shared" si="6"/>
        <v>103830188.75758122</v>
      </c>
      <c r="I18" s="248">
        <f t="shared" si="7"/>
        <v>414325961.72571939</v>
      </c>
      <c r="J18" s="248">
        <f t="shared" si="8"/>
        <v>281592.90338744974</v>
      </c>
      <c r="K18" s="248">
        <f t="shared" si="9"/>
        <v>2307165.4019602733</v>
      </c>
      <c r="L18" s="248">
        <f t="shared" si="10"/>
        <v>28254398.906368542</v>
      </c>
      <c r="M18" s="246">
        <f t="shared" si="0"/>
        <v>3102873780.1580997</v>
      </c>
    </row>
    <row r="19" spans="1:15" x14ac:dyDescent="0.2">
      <c r="A19" s="736">
        <f t="shared" si="11"/>
        <v>9</v>
      </c>
      <c r="B19" s="861" t="s">
        <v>2589</v>
      </c>
      <c r="C19" s="248">
        <f t="shared" si="1"/>
        <v>76192904.532969743</v>
      </c>
      <c r="D19" s="261">
        <f t="shared" si="2"/>
        <v>78824638.079824194</v>
      </c>
      <c r="E19" s="248">
        <f t="shared" si="3"/>
        <v>163668406.65058562</v>
      </c>
      <c r="F19" s="248">
        <f t="shared" si="4"/>
        <v>1621390268.0730956</v>
      </c>
      <c r="G19" s="248">
        <f t="shared" si="5"/>
        <v>618794016.72765553</v>
      </c>
      <c r="H19" s="248">
        <f t="shared" si="6"/>
        <v>103523234.67586793</v>
      </c>
      <c r="I19" s="248">
        <f t="shared" si="7"/>
        <v>413590034.80598193</v>
      </c>
      <c r="J19" s="248">
        <f t="shared" si="8"/>
        <v>282030.16059052962</v>
      </c>
      <c r="K19" s="248">
        <f t="shared" si="9"/>
        <v>2305276.5488587548</v>
      </c>
      <c r="L19" s="248">
        <f t="shared" si="10"/>
        <v>28279108.451287601</v>
      </c>
      <c r="M19" s="246">
        <f t="shared" si="0"/>
        <v>3106849918.706718</v>
      </c>
    </row>
    <row r="20" spans="1:15" x14ac:dyDescent="0.2">
      <c r="A20" s="736">
        <f t="shared" si="11"/>
        <v>10</v>
      </c>
      <c r="B20" s="861" t="s">
        <v>2590</v>
      </c>
      <c r="C20" s="248">
        <f t="shared" si="1"/>
        <v>76144389.286186323</v>
      </c>
      <c r="D20" s="261">
        <f t="shared" si="2"/>
        <v>77226394.299553558</v>
      </c>
      <c r="E20" s="248">
        <f t="shared" si="3"/>
        <v>164323535.77741078</v>
      </c>
      <c r="F20" s="248">
        <f t="shared" si="4"/>
        <v>1626864507.9543972</v>
      </c>
      <c r="G20" s="248">
        <f t="shared" si="5"/>
        <v>623402444.4589082</v>
      </c>
      <c r="H20" s="248">
        <f t="shared" si="6"/>
        <v>104616698.62415808</v>
      </c>
      <c r="I20" s="248">
        <f t="shared" si="7"/>
        <v>413599535.0429076</v>
      </c>
      <c r="J20" s="248">
        <f t="shared" si="8"/>
        <v>282799.974969731</v>
      </c>
      <c r="K20" s="248">
        <f t="shared" si="9"/>
        <v>2306304.9576750873</v>
      </c>
      <c r="L20" s="858">
        <f t="shared" si="10"/>
        <v>13521409.75080901</v>
      </c>
      <c r="M20" s="246">
        <f t="shared" si="0"/>
        <v>3102288020.1269755</v>
      </c>
    </row>
    <row r="21" spans="1:15" x14ac:dyDescent="0.2">
      <c r="A21" s="736">
        <f t="shared" si="11"/>
        <v>11</v>
      </c>
      <c r="B21" s="862" t="s">
        <v>2591</v>
      </c>
      <c r="C21" s="248">
        <f t="shared" si="1"/>
        <v>76145470.156361446</v>
      </c>
      <c r="D21" s="261">
        <f t="shared" si="2"/>
        <v>76394870.301226214</v>
      </c>
      <c r="E21" s="248">
        <f t="shared" si="3"/>
        <v>167145766.64069074</v>
      </c>
      <c r="F21" s="248">
        <f t="shared" si="4"/>
        <v>1631296284.64414</v>
      </c>
      <c r="G21" s="248">
        <f t="shared" si="5"/>
        <v>625357678.79684067</v>
      </c>
      <c r="H21" s="248">
        <f t="shared" si="6"/>
        <v>106485300.44247778</v>
      </c>
      <c r="I21" s="248">
        <f t="shared" si="7"/>
        <v>415299183.50556475</v>
      </c>
      <c r="J21" s="248">
        <f t="shared" si="8"/>
        <v>283722.54733632662</v>
      </c>
      <c r="K21" s="248">
        <f t="shared" si="9"/>
        <v>2305504.6867519869</v>
      </c>
      <c r="L21" s="248">
        <f t="shared" si="10"/>
        <v>28435472.808943741</v>
      </c>
      <c r="M21" s="246">
        <f t="shared" si="0"/>
        <v>3129149254.530333</v>
      </c>
    </row>
    <row r="22" spans="1:15" x14ac:dyDescent="0.2">
      <c r="A22" s="736">
        <f t="shared" si="11"/>
        <v>12</v>
      </c>
      <c r="B22" s="862" t="s">
        <v>2592</v>
      </c>
      <c r="C22" s="248">
        <f t="shared" si="1"/>
        <v>76154959.217543766</v>
      </c>
      <c r="D22" s="261">
        <f t="shared" si="2"/>
        <v>76088656.61937876</v>
      </c>
      <c r="E22" s="248">
        <f t="shared" si="3"/>
        <v>167625890.81706083</v>
      </c>
      <c r="F22" s="248">
        <f t="shared" si="4"/>
        <v>1642651694.7998681</v>
      </c>
      <c r="G22" s="248">
        <f t="shared" si="5"/>
        <v>627478806.53800893</v>
      </c>
      <c r="H22" s="248">
        <f t="shared" si="6"/>
        <v>109440988.83480842</v>
      </c>
      <c r="I22" s="248">
        <f t="shared" si="7"/>
        <v>417992815.01163709</v>
      </c>
      <c r="J22" s="248">
        <f t="shared" si="8"/>
        <v>283769.10280666297</v>
      </c>
      <c r="K22" s="248">
        <f t="shared" si="9"/>
        <v>2303584.228287606</v>
      </c>
      <c r="L22" s="248">
        <f t="shared" si="10"/>
        <v>28603486.153523535</v>
      </c>
      <c r="M22" s="246">
        <f t="shared" si="0"/>
        <v>3148624651.3229237</v>
      </c>
    </row>
    <row r="23" spans="1:15" x14ac:dyDescent="0.2">
      <c r="A23" s="736">
        <f t="shared" si="11"/>
        <v>13</v>
      </c>
      <c r="B23" s="861" t="s">
        <v>2593</v>
      </c>
      <c r="C23" s="123">
        <v>76155076</v>
      </c>
      <c r="D23" s="123">
        <v>77823202</v>
      </c>
      <c r="E23" s="617">
        <f>'7-PlantStudy'!E10</f>
        <v>175457663</v>
      </c>
      <c r="F23" s="617">
        <f>'7-PlantStudy'!E11</f>
        <v>1680213303</v>
      </c>
      <c r="G23" s="617">
        <f>'7-PlantStudy'!E20</f>
        <v>625307190</v>
      </c>
      <c r="H23" s="617">
        <f>'7-PlantStudy'!E21</f>
        <v>113770199</v>
      </c>
      <c r="I23" s="617">
        <f>'7-PlantStudy'!E22</f>
        <v>422173397</v>
      </c>
      <c r="J23" s="617">
        <f>'7-PlantStudy'!E23</f>
        <v>284096</v>
      </c>
      <c r="K23" s="617">
        <f>'7-PlantStudy'!E24</f>
        <v>2302928</v>
      </c>
      <c r="L23" s="617">
        <f>'7-PlantStudy'!E25</f>
        <v>28619068</v>
      </c>
      <c r="M23" s="394">
        <f t="shared" si="0"/>
        <v>3202106122</v>
      </c>
      <c r="O23" s="1"/>
    </row>
    <row r="24" spans="1:15" x14ac:dyDescent="0.2">
      <c r="A24" s="736">
        <f t="shared" si="11"/>
        <v>14</v>
      </c>
      <c r="B24" s="740" t="s">
        <v>1461</v>
      </c>
      <c r="C24" s="246">
        <f t="shared" ref="C24:M24" si="12">AVERAGE(C11:C23)</f>
        <v>77692833.592503294</v>
      </c>
      <c r="D24" s="246">
        <f t="shared" si="12"/>
        <v>79093036.110872999</v>
      </c>
      <c r="E24" s="246">
        <f t="shared" si="12"/>
        <v>162270141.43566149</v>
      </c>
      <c r="F24" s="246">
        <f t="shared" si="12"/>
        <v>1611221600.3535986</v>
      </c>
      <c r="G24" s="246">
        <f t="shared" si="12"/>
        <v>619235939.53477526</v>
      </c>
      <c r="H24" s="246">
        <f t="shared" si="12"/>
        <v>103352804.18672465</v>
      </c>
      <c r="I24" s="246">
        <f t="shared" si="12"/>
        <v>412757927.07680094</v>
      </c>
      <c r="J24" s="246">
        <f t="shared" si="12"/>
        <v>282200.20849318756</v>
      </c>
      <c r="K24" s="246">
        <f t="shared" si="12"/>
        <v>2306129.5931467926</v>
      </c>
      <c r="L24" s="246">
        <f t="shared" si="12"/>
        <v>27100315.360547975</v>
      </c>
      <c r="M24" s="246">
        <f t="shared" si="12"/>
        <v>3095312927.4531255</v>
      </c>
    </row>
    <row r="25" spans="1:15" x14ac:dyDescent="0.2">
      <c r="A25" s="649"/>
      <c r="B25" s="649"/>
      <c r="C25" s="649"/>
      <c r="D25" s="649"/>
      <c r="E25" s="649"/>
      <c r="F25" s="649"/>
      <c r="G25" s="649"/>
      <c r="H25" s="649"/>
      <c r="I25" s="649"/>
      <c r="J25" s="649"/>
      <c r="K25" s="649"/>
      <c r="L25" s="649"/>
    </row>
    <row r="26" spans="1:15" x14ac:dyDescent="0.2">
      <c r="A26" s="649"/>
      <c r="B26" s="468" t="s">
        <v>364</v>
      </c>
      <c r="C26" s="649"/>
      <c r="D26" s="649"/>
      <c r="E26" s="649"/>
      <c r="F26" s="649"/>
      <c r="G26" s="649"/>
      <c r="H26" s="649"/>
      <c r="I26" s="649"/>
      <c r="J26" s="649"/>
      <c r="K26" s="649"/>
      <c r="L26" s="649"/>
    </row>
    <row r="27" spans="1:15" x14ac:dyDescent="0.2">
      <c r="A27" s="649"/>
      <c r="B27" s="468"/>
      <c r="C27" s="649"/>
      <c r="D27" s="649"/>
      <c r="E27" s="649"/>
      <c r="F27" s="649"/>
      <c r="G27" s="649"/>
      <c r="H27" s="649"/>
      <c r="I27" s="649"/>
      <c r="J27" s="649"/>
      <c r="K27" s="649"/>
      <c r="L27" s="649"/>
    </row>
    <row r="28" spans="1:15" x14ac:dyDescent="0.2">
      <c r="A28" s="649"/>
      <c r="B28" s="254" t="s">
        <v>2525</v>
      </c>
      <c r="C28" s="651"/>
      <c r="D28" s="651"/>
      <c r="E28" s="651"/>
      <c r="F28" s="651"/>
      <c r="G28" s="651"/>
      <c r="H28" s="651"/>
      <c r="I28" s="649"/>
      <c r="J28" s="649"/>
      <c r="K28" s="649"/>
      <c r="L28" s="649"/>
    </row>
    <row r="29" spans="1:15" x14ac:dyDescent="0.2">
      <c r="A29" s="649"/>
      <c r="B29" s="1076"/>
      <c r="C29" s="651"/>
      <c r="D29" s="651"/>
      <c r="E29" s="651"/>
      <c r="F29" s="651"/>
      <c r="G29" s="651"/>
      <c r="H29" s="651"/>
      <c r="I29" s="649"/>
      <c r="J29" s="649"/>
      <c r="K29" s="649"/>
      <c r="L29" s="649"/>
    </row>
    <row r="30" spans="1:15" x14ac:dyDescent="0.2">
      <c r="A30" s="468"/>
      <c r="B30" s="385" t="s">
        <v>406</v>
      </c>
      <c r="C30" s="385" t="s">
        <v>390</v>
      </c>
      <c r="D30" s="385" t="s">
        <v>391</v>
      </c>
      <c r="E30" s="385" t="s">
        <v>392</v>
      </c>
      <c r="F30" s="385" t="s">
        <v>393</v>
      </c>
      <c r="G30" s="651"/>
      <c r="H30" s="651"/>
      <c r="I30" s="649"/>
      <c r="J30" s="649"/>
      <c r="K30" s="649"/>
      <c r="L30" s="649"/>
    </row>
    <row r="31" spans="1:15" x14ac:dyDescent="0.2">
      <c r="A31" s="244"/>
      <c r="B31" s="612"/>
      <c r="C31" s="254"/>
      <c r="D31" s="254"/>
      <c r="E31" s="254"/>
      <c r="F31" s="612" t="s">
        <v>1462</v>
      </c>
      <c r="G31" s="651"/>
      <c r="H31" s="651"/>
      <c r="K31" s="649"/>
      <c r="L31" s="649"/>
    </row>
    <row r="32" spans="1:15" x14ac:dyDescent="0.2">
      <c r="A32" s="244"/>
      <c r="B32" s="117"/>
      <c r="C32" s="385"/>
      <c r="D32" s="385"/>
      <c r="E32" s="254"/>
      <c r="F32" s="254"/>
      <c r="G32" s="651"/>
      <c r="H32" s="651"/>
      <c r="K32" s="649"/>
      <c r="L32" s="649"/>
    </row>
    <row r="33" spans="1:12" ht="12.75" customHeight="1" x14ac:dyDescent="0.2">
      <c r="A33" s="53" t="s">
        <v>372</v>
      </c>
      <c r="B33" s="131" t="s">
        <v>2580</v>
      </c>
      <c r="C33" s="611">
        <v>360</v>
      </c>
      <c r="D33" s="611">
        <v>361</v>
      </c>
      <c r="E33" s="611">
        <v>362</v>
      </c>
      <c r="F33" s="131" t="s">
        <v>226</v>
      </c>
      <c r="G33" s="651"/>
      <c r="H33" s="651"/>
      <c r="K33" s="649"/>
      <c r="L33" s="649"/>
    </row>
    <row r="34" spans="1:12" ht="12.75" customHeight="1" x14ac:dyDescent="0.2">
      <c r="A34" s="736">
        <f>A24+1</f>
        <v>15</v>
      </c>
      <c r="B34" s="861" t="s">
        <v>2581</v>
      </c>
      <c r="C34" s="249">
        <v>38555.853482467224</v>
      </c>
      <c r="D34" s="249">
        <v>989342.70434627484</v>
      </c>
      <c r="E34" s="249">
        <v>17226762.909975063</v>
      </c>
      <c r="F34" s="246">
        <f>SUM(C34:E34)</f>
        <v>18254661.467803806</v>
      </c>
      <c r="G34" s="649"/>
      <c r="H34" s="649"/>
      <c r="K34" s="649"/>
      <c r="L34" s="649"/>
    </row>
    <row r="35" spans="1:12" ht="12.75" customHeight="1" x14ac:dyDescent="0.2">
      <c r="A35" s="736">
        <f>A34+1</f>
        <v>16</v>
      </c>
      <c r="B35" s="861" t="s">
        <v>2593</v>
      </c>
      <c r="C35" s="473">
        <v>25780.258666172798</v>
      </c>
      <c r="D35" s="473">
        <v>1107531.0406130964</v>
      </c>
      <c r="E35" s="473">
        <v>16087945.866893532</v>
      </c>
      <c r="F35" s="394">
        <f>SUM(C35:E35)</f>
        <v>17221257.166172802</v>
      </c>
      <c r="G35" s="649"/>
      <c r="H35" s="649"/>
      <c r="K35" s="649"/>
      <c r="L35" s="649"/>
    </row>
    <row r="36" spans="1:12" ht="12.75" customHeight="1" x14ac:dyDescent="0.2">
      <c r="A36" s="736">
        <f>A35+1</f>
        <v>17</v>
      </c>
      <c r="B36" s="740" t="s">
        <v>1463</v>
      </c>
      <c r="C36" s="246">
        <f>AVERAGE(C34:C35)</f>
        <v>32168.056074320011</v>
      </c>
      <c r="D36" s="246">
        <f>AVERAGE(D34:D35)</f>
        <v>1048436.8724796856</v>
      </c>
      <c r="E36" s="246">
        <f>AVERAGE(E34:E35)</f>
        <v>16657354.388434298</v>
      </c>
      <c r="F36" s="246">
        <f>AVERAGE(F34:F35)</f>
        <v>17737959.316988304</v>
      </c>
      <c r="G36" s="649"/>
      <c r="H36" s="649"/>
      <c r="K36" s="649"/>
      <c r="L36" s="649"/>
    </row>
    <row r="37" spans="1:12" ht="12.75" customHeight="1" x14ac:dyDescent="0.2">
      <c r="A37" s="649"/>
      <c r="B37" s="649"/>
      <c r="C37" s="649"/>
      <c r="D37" s="649"/>
      <c r="E37" s="649"/>
      <c r="F37" s="649"/>
      <c r="G37" s="649"/>
      <c r="H37" s="649"/>
      <c r="K37" s="649"/>
      <c r="L37" s="649"/>
    </row>
    <row r="38" spans="1:12" x14ac:dyDescent="0.2">
      <c r="A38" s="649"/>
      <c r="B38" s="1" t="s">
        <v>1162</v>
      </c>
      <c r="C38" s="22"/>
      <c r="D38" s="22"/>
      <c r="E38" s="741"/>
      <c r="F38" s="742"/>
      <c r="G38" s="743"/>
      <c r="H38" s="649"/>
      <c r="K38" s="649"/>
      <c r="L38" s="649"/>
    </row>
    <row r="39" spans="1:12" x14ac:dyDescent="0.2">
      <c r="A39" s="649"/>
      <c r="B39" s="649" t="s">
        <v>1163</v>
      </c>
      <c r="C39" s="22"/>
      <c r="D39" s="22"/>
      <c r="E39" s="741"/>
      <c r="F39" s="742"/>
      <c r="G39" s="743"/>
      <c r="H39" s="649"/>
      <c r="K39" s="649"/>
      <c r="L39" s="649"/>
    </row>
    <row r="40" spans="1:12" x14ac:dyDescent="0.2">
      <c r="A40" s="649"/>
      <c r="B40" s="649"/>
      <c r="C40" s="22"/>
      <c r="D40" s="22"/>
      <c r="E40" s="741"/>
      <c r="F40" s="742"/>
      <c r="G40" s="743"/>
      <c r="H40" s="649"/>
      <c r="K40" s="649"/>
      <c r="L40" s="649"/>
    </row>
    <row r="41" spans="1:12" x14ac:dyDescent="0.2">
      <c r="A41" s="649"/>
      <c r="B41" s="649"/>
      <c r="C41" s="22"/>
      <c r="D41" s="470" t="s">
        <v>205</v>
      </c>
      <c r="E41" s="471" t="s">
        <v>209</v>
      </c>
      <c r="F41" s="742"/>
      <c r="G41" s="743"/>
      <c r="H41" s="649"/>
      <c r="K41" s="649"/>
      <c r="L41" s="649"/>
    </row>
    <row r="42" spans="1:12" x14ac:dyDescent="0.2">
      <c r="A42" s="736">
        <f>A36+1</f>
        <v>18</v>
      </c>
      <c r="B42" s="649"/>
      <c r="C42" s="741" t="s">
        <v>365</v>
      </c>
      <c r="D42" s="742">
        <f>M24+F36</f>
        <v>3113050886.7701139</v>
      </c>
      <c r="E42" s="744" t="str">
        <f>"Sum of Line "&amp;A24&amp;", "&amp;M7&amp;" and Line "&amp;A36&amp;", "&amp;F30&amp;""</f>
        <v>Sum of Line 14, Col 12 and Line 17, Col 5</v>
      </c>
      <c r="F42" s="649"/>
      <c r="G42" s="649"/>
      <c r="H42" s="649"/>
      <c r="K42" s="649"/>
      <c r="L42" s="649"/>
    </row>
    <row r="43" spans="1:12" x14ac:dyDescent="0.2">
      <c r="A43" s="736">
        <f>A42+1</f>
        <v>19</v>
      </c>
      <c r="B43" s="649"/>
      <c r="C43" s="741" t="s">
        <v>176</v>
      </c>
      <c r="D43" s="742">
        <f>M23+F35</f>
        <v>3219327379.166173</v>
      </c>
      <c r="E43" s="744" t="str">
        <f>"Sum of Line "&amp;A23&amp;", "&amp;M7&amp;" and Line "&amp;A35&amp;", "&amp;F30&amp;""</f>
        <v>Sum of Line 13, Col 12 and Line 16, Col 5</v>
      </c>
      <c r="F43" s="649"/>
      <c r="G43" s="649"/>
      <c r="H43" s="649"/>
      <c r="I43" s="649"/>
      <c r="J43" s="649"/>
      <c r="K43" s="649"/>
      <c r="L43" s="649"/>
    </row>
    <row r="44" spans="1:12" x14ac:dyDescent="0.2">
      <c r="A44" s="649"/>
      <c r="B44" s="649"/>
      <c r="C44" s="22"/>
      <c r="D44" s="22"/>
      <c r="E44" s="745"/>
      <c r="F44" s="746"/>
      <c r="G44" s="747"/>
      <c r="H44" s="649"/>
      <c r="I44" s="649"/>
      <c r="J44" s="649"/>
      <c r="K44" s="649"/>
      <c r="L44" s="649"/>
    </row>
    <row r="45" spans="1:12" x14ac:dyDescent="0.2">
      <c r="A45" s="649"/>
      <c r="B45" s="1" t="s">
        <v>2526</v>
      </c>
      <c r="C45" s="649"/>
      <c r="D45" s="649"/>
      <c r="E45" s="745"/>
      <c r="F45" s="746"/>
      <c r="G45" s="747"/>
      <c r="H45" s="649"/>
      <c r="I45" s="649"/>
      <c r="J45" s="649"/>
      <c r="K45" s="649"/>
      <c r="L45" s="649"/>
    </row>
    <row r="46" spans="1:12" x14ac:dyDescent="0.2">
      <c r="A46" s="649"/>
      <c r="B46" s="653" t="s">
        <v>346</v>
      </c>
      <c r="C46" s="649"/>
      <c r="D46" s="649"/>
      <c r="E46" s="745"/>
      <c r="F46" s="746"/>
      <c r="G46" s="747"/>
      <c r="H46" s="649"/>
      <c r="I46" s="649"/>
      <c r="J46" s="649"/>
      <c r="K46" s="649"/>
      <c r="L46" s="649"/>
    </row>
    <row r="47" spans="1:12" ht="12.75" customHeight="1" x14ac:dyDescent="0.2">
      <c r="A47" s="649"/>
      <c r="B47" s="653"/>
      <c r="C47" s="649"/>
      <c r="D47" s="649"/>
      <c r="E47" s="745"/>
      <c r="F47" s="746"/>
      <c r="G47" s="747"/>
      <c r="H47" s="649"/>
      <c r="I47" s="649"/>
      <c r="J47" s="649"/>
      <c r="K47" s="649"/>
      <c r="L47" s="649"/>
    </row>
    <row r="48" spans="1:12" x14ac:dyDescent="0.2">
      <c r="A48" s="649"/>
      <c r="B48" s="1"/>
      <c r="C48" s="266" t="s">
        <v>407</v>
      </c>
      <c r="D48" s="649"/>
      <c r="E48" s="745"/>
      <c r="F48" s="88" t="s">
        <v>406</v>
      </c>
      <c r="G48" s="88" t="s">
        <v>390</v>
      </c>
      <c r="H48" s="88" t="s">
        <v>391</v>
      </c>
      <c r="I48" s="649"/>
      <c r="J48" s="649"/>
      <c r="K48" s="649"/>
      <c r="L48" s="649"/>
    </row>
    <row r="49" spans="1:12" x14ac:dyDescent="0.2">
      <c r="A49" s="649"/>
      <c r="B49" s="1"/>
      <c r="C49" s="736" t="s">
        <v>459</v>
      </c>
      <c r="D49" s="745"/>
      <c r="F49" s="736" t="s">
        <v>1503</v>
      </c>
      <c r="G49" s="736" t="s">
        <v>1504</v>
      </c>
      <c r="H49" s="78" t="s">
        <v>226</v>
      </c>
      <c r="I49" s="747"/>
      <c r="J49" s="649"/>
      <c r="K49" s="649"/>
      <c r="L49" s="649"/>
    </row>
    <row r="50" spans="1:12" x14ac:dyDescent="0.2">
      <c r="A50" s="649"/>
      <c r="B50" s="649"/>
      <c r="C50" s="736" t="s">
        <v>223</v>
      </c>
      <c r="D50" s="26" t="s">
        <v>224</v>
      </c>
      <c r="F50" s="26" t="s">
        <v>427</v>
      </c>
      <c r="G50" s="26" t="s">
        <v>427</v>
      </c>
      <c r="H50" s="26" t="s">
        <v>1464</v>
      </c>
      <c r="I50" s="26"/>
      <c r="J50" s="649"/>
      <c r="K50" s="649"/>
      <c r="L50" s="649"/>
    </row>
    <row r="51" spans="1:12" x14ac:dyDescent="0.2">
      <c r="A51" s="649"/>
      <c r="B51" s="649"/>
      <c r="C51" s="3" t="s">
        <v>222</v>
      </c>
      <c r="D51" s="25" t="s">
        <v>209</v>
      </c>
      <c r="F51" s="31" t="s">
        <v>3</v>
      </c>
      <c r="G51" s="31" t="s">
        <v>3</v>
      </c>
      <c r="H51" s="31" t="s">
        <v>3</v>
      </c>
      <c r="I51" s="29" t="s">
        <v>198</v>
      </c>
      <c r="J51" s="649"/>
      <c r="K51" s="649"/>
      <c r="L51" s="649"/>
    </row>
    <row r="52" spans="1:12" x14ac:dyDescent="0.2">
      <c r="A52" s="736">
        <f>A43+1</f>
        <v>20</v>
      </c>
      <c r="B52" s="649"/>
      <c r="C52" s="748" t="s">
        <v>210</v>
      </c>
      <c r="D52" s="749" t="s">
        <v>1505</v>
      </c>
      <c r="F52" s="113">
        <v>1640191465</v>
      </c>
      <c r="G52" s="738">
        <v>1061473228</v>
      </c>
      <c r="H52" s="742">
        <f>SUM(F52:G52)</f>
        <v>2701664693</v>
      </c>
      <c r="I52" s="749" t="s">
        <v>2527</v>
      </c>
      <c r="J52" s="651"/>
      <c r="K52" s="649"/>
      <c r="L52" s="649"/>
    </row>
    <row r="53" spans="1:12" ht="12.75" customHeight="1" x14ac:dyDescent="0.2">
      <c r="A53" s="736">
        <f>A52+1</f>
        <v>21</v>
      </c>
      <c r="B53" s="649"/>
      <c r="C53" s="737" t="s">
        <v>210</v>
      </c>
      <c r="D53" s="749" t="s">
        <v>2574</v>
      </c>
      <c r="E53" s="14"/>
      <c r="F53" s="113">
        <v>1804660920</v>
      </c>
      <c r="G53" s="738">
        <v>1315217471</v>
      </c>
      <c r="H53" s="742">
        <f>SUM(F53:G53)</f>
        <v>3119878391</v>
      </c>
      <c r="I53" s="648" t="s">
        <v>2528</v>
      </c>
      <c r="J53" s="651"/>
      <c r="K53" s="649"/>
      <c r="L53" s="649"/>
    </row>
    <row r="54" spans="1:12" ht="12.75" customHeight="1" x14ac:dyDescent="0.2">
      <c r="A54" s="649"/>
      <c r="B54" s="649"/>
      <c r="C54" s="737"/>
      <c r="D54" s="750"/>
      <c r="E54" s="751"/>
      <c r="F54" s="742"/>
      <c r="G54" s="653"/>
      <c r="H54" s="649"/>
      <c r="I54" s="649"/>
      <c r="J54" s="649"/>
      <c r="K54" s="649"/>
      <c r="L54" s="649"/>
    </row>
    <row r="55" spans="1:12" ht="12.75" customHeight="1" x14ac:dyDescent="0.2">
      <c r="A55" s="649"/>
      <c r="B55" s="649"/>
      <c r="C55" s="22" t="s">
        <v>1507</v>
      </c>
      <c r="D55" s="22"/>
      <c r="E55" s="745"/>
      <c r="F55" s="471" t="s">
        <v>205</v>
      </c>
      <c r="G55" s="472" t="s">
        <v>209</v>
      </c>
      <c r="H55" s="649"/>
      <c r="I55" s="649"/>
      <c r="J55" s="649"/>
      <c r="K55" s="649"/>
      <c r="L55" s="649"/>
    </row>
    <row r="56" spans="1:12" x14ac:dyDescent="0.2">
      <c r="A56" s="736">
        <f>A53+1</f>
        <v>22</v>
      </c>
      <c r="B56" s="649"/>
      <c r="C56" s="22"/>
      <c r="D56" s="22"/>
      <c r="E56" s="741" t="s">
        <v>96</v>
      </c>
      <c r="F56" s="742">
        <f>(H52+H53)/2</f>
        <v>2910771542</v>
      </c>
      <c r="G56" s="752" t="str">
        <f>"Average of Line "&amp;A52&amp;" and "&amp;A53&amp;"."</f>
        <v>Average of Line 20 and 21.</v>
      </c>
      <c r="H56" s="649"/>
      <c r="I56" s="649"/>
      <c r="J56" s="649"/>
      <c r="K56" s="649"/>
      <c r="L56" s="649"/>
    </row>
    <row r="57" spans="1:12" x14ac:dyDescent="0.2">
      <c r="A57" s="736">
        <f>A56+1</f>
        <v>23</v>
      </c>
      <c r="B57" s="649"/>
      <c r="C57" s="22"/>
      <c r="D57" s="22"/>
      <c r="E57" s="753" t="s">
        <v>276</v>
      </c>
      <c r="F57" s="36">
        <f>'27-Allocators'!G15</f>
        <v>4.0090597826729017E-2</v>
      </c>
      <c r="G57" s="752" t="str">
        <f>"27-Allocators, Line "&amp;'27-Allocators'!A15&amp;""</f>
        <v>27-Allocators, Line 9</v>
      </c>
      <c r="H57" s="649"/>
      <c r="I57" s="649"/>
      <c r="J57" s="649"/>
      <c r="K57" s="649"/>
      <c r="L57" s="649"/>
    </row>
    <row r="58" spans="1:12" x14ac:dyDescent="0.2">
      <c r="A58" s="736">
        <f>A57+1</f>
        <v>24</v>
      </c>
      <c r="B58" s="649"/>
      <c r="C58" s="22"/>
      <c r="D58" s="22"/>
      <c r="E58" s="753" t="s">
        <v>347</v>
      </c>
      <c r="F58" s="742">
        <f>F56*F57</f>
        <v>116694571.25580987</v>
      </c>
      <c r="G58" s="752" t="str">
        <f>"Line "&amp;A56&amp;" * Line "&amp;A57&amp;"."</f>
        <v>Line 22 * Line 23.</v>
      </c>
      <c r="H58" s="649"/>
      <c r="I58" s="649"/>
      <c r="J58" s="649"/>
      <c r="K58" s="649"/>
      <c r="L58" s="649"/>
    </row>
    <row r="59" spans="1:12" x14ac:dyDescent="0.2">
      <c r="A59" s="649"/>
      <c r="B59" s="649"/>
      <c r="C59" s="22"/>
      <c r="D59" s="22"/>
      <c r="E59" s="753"/>
      <c r="F59" s="742"/>
      <c r="G59" s="743"/>
      <c r="H59" s="649"/>
      <c r="I59" s="649"/>
      <c r="J59" s="649"/>
      <c r="K59" s="649"/>
      <c r="L59" s="649"/>
    </row>
    <row r="60" spans="1:12" x14ac:dyDescent="0.2">
      <c r="A60" s="649"/>
      <c r="B60" s="649"/>
      <c r="C60" s="22" t="s">
        <v>1506</v>
      </c>
      <c r="D60" s="22"/>
      <c r="E60" s="745"/>
      <c r="F60" s="471" t="s">
        <v>205</v>
      </c>
      <c r="G60" s="472" t="s">
        <v>209</v>
      </c>
      <c r="H60" s="649"/>
      <c r="I60" s="649"/>
      <c r="J60" s="649"/>
      <c r="K60" s="649"/>
      <c r="L60" s="649"/>
    </row>
    <row r="61" spans="1:12" x14ac:dyDescent="0.2">
      <c r="A61" s="736">
        <f>A58+1</f>
        <v>25</v>
      </c>
      <c r="B61" s="649"/>
      <c r="C61" s="22"/>
      <c r="D61" s="22"/>
      <c r="E61" s="741" t="s">
        <v>176</v>
      </c>
      <c r="F61" s="742">
        <f>H53</f>
        <v>3119878391</v>
      </c>
      <c r="G61" s="752" t="str">
        <f>"Line "&amp;A53&amp;"."</f>
        <v>Line 21.</v>
      </c>
      <c r="H61" s="649"/>
      <c r="I61" s="649"/>
      <c r="J61" s="649"/>
      <c r="K61" s="649"/>
      <c r="L61" s="649"/>
    </row>
    <row r="62" spans="1:12" x14ac:dyDescent="0.2">
      <c r="A62" s="736">
        <f>A61+1</f>
        <v>26</v>
      </c>
      <c r="B62" s="649"/>
      <c r="C62" s="22"/>
      <c r="D62" s="22"/>
      <c r="E62" s="753" t="s">
        <v>276</v>
      </c>
      <c r="F62" s="36">
        <f>'27-Allocators'!G15</f>
        <v>4.0090597826729017E-2</v>
      </c>
      <c r="G62" s="752" t="str">
        <f>"27-Allocators, Line "&amp;'27-Allocators'!A15&amp;""</f>
        <v>27-Allocators, Line 9</v>
      </c>
      <c r="H62" s="649"/>
      <c r="I62" s="649"/>
      <c r="J62" s="649"/>
      <c r="K62" s="649"/>
      <c r="L62" s="649"/>
    </row>
    <row r="63" spans="1:12" x14ac:dyDescent="0.2">
      <c r="A63" s="736">
        <f>A62+1</f>
        <v>27</v>
      </c>
      <c r="B63" s="649"/>
      <c r="C63" s="22"/>
      <c r="D63" s="22"/>
      <c r="E63" s="753" t="s">
        <v>347</v>
      </c>
      <c r="F63" s="742">
        <f>F61*F62</f>
        <v>125077789.84188342</v>
      </c>
      <c r="G63" s="752" t="str">
        <f>"Line "&amp;A61&amp;" * Line "&amp;A62&amp;"."</f>
        <v>Line 25 * Line 26.</v>
      </c>
      <c r="H63" s="649"/>
      <c r="I63" s="649"/>
      <c r="J63" s="649"/>
      <c r="K63" s="649"/>
      <c r="L63" s="649"/>
    </row>
    <row r="64" spans="1:12" x14ac:dyDescent="0.2">
      <c r="A64" s="649"/>
      <c r="B64" s="649"/>
      <c r="C64" s="649"/>
      <c r="D64" s="649"/>
      <c r="E64" s="649"/>
      <c r="F64" s="649"/>
      <c r="G64" s="649"/>
      <c r="H64" s="649"/>
      <c r="I64" s="649"/>
      <c r="J64" s="649"/>
      <c r="K64" s="649"/>
      <c r="L64" s="649"/>
    </row>
    <row r="65" spans="1:13" x14ac:dyDescent="0.2">
      <c r="A65" s="649"/>
      <c r="B65" s="649"/>
      <c r="C65" s="649"/>
      <c r="D65" s="649"/>
      <c r="E65" s="649"/>
      <c r="F65" s="649"/>
      <c r="G65" s="649"/>
      <c r="H65" s="649"/>
      <c r="I65" s="649"/>
      <c r="J65" s="649"/>
      <c r="K65" s="649"/>
      <c r="L65" s="649"/>
    </row>
    <row r="66" spans="1:13" x14ac:dyDescent="0.2">
      <c r="A66" s="649"/>
      <c r="B66" s="1" t="s">
        <v>2025</v>
      </c>
      <c r="C66" s="649"/>
      <c r="D66" s="649"/>
      <c r="E66" s="649"/>
      <c r="F66" s="649"/>
      <c r="G66" s="649"/>
      <c r="H66" s="649"/>
      <c r="I66" s="649"/>
      <c r="J66" s="649"/>
      <c r="K66" s="649"/>
      <c r="L66" s="649"/>
    </row>
    <row r="67" spans="1:13" x14ac:dyDescent="0.2">
      <c r="A67" s="649"/>
      <c r="C67" s="649"/>
      <c r="D67" s="649"/>
      <c r="E67" s="649"/>
      <c r="F67" s="649"/>
      <c r="G67" s="649"/>
      <c r="H67" s="649"/>
      <c r="I67" s="649"/>
      <c r="J67" s="649"/>
      <c r="K67" s="649"/>
      <c r="L67" s="649"/>
    </row>
    <row r="68" spans="1:13" x14ac:dyDescent="0.2">
      <c r="B68" s="1" t="s">
        <v>2026</v>
      </c>
      <c r="C68" s="649"/>
      <c r="D68" s="649"/>
      <c r="E68" s="649"/>
      <c r="F68" s="649"/>
      <c r="G68" s="649"/>
      <c r="H68" s="649"/>
      <c r="I68" s="649"/>
      <c r="J68" s="649"/>
      <c r="K68" s="649"/>
      <c r="L68" s="649"/>
    </row>
    <row r="69" spans="1:13" x14ac:dyDescent="0.2">
      <c r="A69" s="649"/>
      <c r="C69" s="649"/>
      <c r="D69" s="649"/>
      <c r="E69" s="649"/>
      <c r="F69" s="649"/>
      <c r="G69" s="649"/>
      <c r="H69" s="649"/>
      <c r="I69" s="649"/>
      <c r="J69" s="649"/>
      <c r="K69" s="649"/>
      <c r="L69" s="649"/>
    </row>
    <row r="70" spans="1:13" x14ac:dyDescent="0.2">
      <c r="A70" s="468"/>
      <c r="B70" s="88" t="s">
        <v>406</v>
      </c>
      <c r="C70" s="88" t="s">
        <v>390</v>
      </c>
      <c r="D70" s="88" t="s">
        <v>391</v>
      </c>
      <c r="E70" s="88" t="s">
        <v>392</v>
      </c>
      <c r="F70" s="88" t="s">
        <v>393</v>
      </c>
      <c r="G70" s="88" t="s">
        <v>394</v>
      </c>
      <c r="H70" s="88" t="s">
        <v>395</v>
      </c>
      <c r="I70" s="88" t="s">
        <v>610</v>
      </c>
      <c r="J70" s="88" t="s">
        <v>1059</v>
      </c>
      <c r="K70" s="88" t="s">
        <v>1076</v>
      </c>
      <c r="L70" s="88" t="s">
        <v>1079</v>
      </c>
      <c r="M70" s="88" t="s">
        <v>1097</v>
      </c>
    </row>
    <row r="71" spans="1:13" x14ac:dyDescent="0.2">
      <c r="A71" s="244"/>
      <c r="B71" s="266"/>
      <c r="C71" s="244"/>
      <c r="D71" s="244"/>
      <c r="E71" s="244"/>
      <c r="F71" s="244"/>
      <c r="G71" s="244"/>
      <c r="H71" s="244"/>
      <c r="I71" s="244"/>
      <c r="J71" s="244"/>
      <c r="K71" s="244"/>
      <c r="M71" s="266" t="s">
        <v>1525</v>
      </c>
    </row>
    <row r="72" spans="1:13" x14ac:dyDescent="0.2">
      <c r="A72" s="244"/>
      <c r="B72" s="117"/>
      <c r="C72" s="88"/>
      <c r="D72" s="88"/>
      <c r="E72" s="244"/>
      <c r="F72" s="244"/>
      <c r="G72" s="244"/>
      <c r="H72" s="244"/>
      <c r="I72" s="244"/>
      <c r="J72" s="244"/>
      <c r="K72" s="244"/>
      <c r="L72" s="244"/>
    </row>
    <row r="73" spans="1:13" x14ac:dyDescent="0.2">
      <c r="A73" s="53"/>
      <c r="B73" s="131" t="s">
        <v>2580</v>
      </c>
      <c r="C73" s="88">
        <v>350.1</v>
      </c>
      <c r="D73" s="88">
        <v>350.2</v>
      </c>
      <c r="E73" s="88">
        <v>352</v>
      </c>
      <c r="F73" s="88">
        <v>353</v>
      </c>
      <c r="G73" s="88">
        <v>354</v>
      </c>
      <c r="H73" s="88">
        <v>355</v>
      </c>
      <c r="I73" s="88">
        <v>356</v>
      </c>
      <c r="J73" s="88">
        <v>357</v>
      </c>
      <c r="K73" s="88">
        <v>358</v>
      </c>
      <c r="L73" s="88">
        <v>359</v>
      </c>
      <c r="M73" s="3" t="s">
        <v>226</v>
      </c>
    </row>
    <row r="74" spans="1:13" x14ac:dyDescent="0.2">
      <c r="A74" s="736">
        <f>A63+1</f>
        <v>28</v>
      </c>
      <c r="B74" s="862" t="s">
        <v>2582</v>
      </c>
      <c r="C74" s="738">
        <v>1448</v>
      </c>
      <c r="D74" s="738">
        <v>31598</v>
      </c>
      <c r="E74" s="249">
        <v>1255254</v>
      </c>
      <c r="F74" s="249">
        <v>1538611.2699999996</v>
      </c>
      <c r="G74" s="249">
        <v>11508149.09</v>
      </c>
      <c r="H74" s="249">
        <v>4160490</v>
      </c>
      <c r="I74" s="249">
        <v>2053997</v>
      </c>
      <c r="J74" s="249">
        <v>464343</v>
      </c>
      <c r="K74" s="249">
        <v>-578757</v>
      </c>
      <c r="L74" s="249">
        <v>327621</v>
      </c>
      <c r="M74" s="246">
        <f t="shared" ref="M74:M85" si="13">SUM(C74:L74)</f>
        <v>20762754.359999999</v>
      </c>
    </row>
    <row r="75" spans="1:13" x14ac:dyDescent="0.2">
      <c r="A75" s="736">
        <f t="shared" ref="A75:A86" si="14">A74+1</f>
        <v>29</v>
      </c>
      <c r="B75" s="861" t="s">
        <v>2583</v>
      </c>
      <c r="C75" s="738">
        <v>-10343</v>
      </c>
      <c r="D75" s="738">
        <v>-217405</v>
      </c>
      <c r="E75" s="249">
        <v>1669477</v>
      </c>
      <c r="F75" s="249">
        <v>5131265.3600000041</v>
      </c>
      <c r="G75" s="249">
        <v>937355.09</v>
      </c>
      <c r="H75" s="249">
        <v>1929329</v>
      </c>
      <c r="I75" s="249">
        <v>3140151</v>
      </c>
      <c r="J75" s="249">
        <v>106</v>
      </c>
      <c r="K75" s="249">
        <v>-124286</v>
      </c>
      <c r="L75" s="249">
        <v>2</v>
      </c>
      <c r="M75" s="246">
        <f t="shared" si="13"/>
        <v>12455651.450000003</v>
      </c>
    </row>
    <row r="76" spans="1:13" x14ac:dyDescent="0.2">
      <c r="A76" s="736">
        <f t="shared" si="14"/>
        <v>30</v>
      </c>
      <c r="B76" s="861" t="s">
        <v>2584</v>
      </c>
      <c r="C76" s="738">
        <v>3148</v>
      </c>
      <c r="D76" s="738">
        <v>107786</v>
      </c>
      <c r="E76" s="249">
        <v>450239</v>
      </c>
      <c r="F76" s="249">
        <v>4049660.1200000024</v>
      </c>
      <c r="G76" s="249">
        <v>957983.96000000008</v>
      </c>
      <c r="H76" s="249">
        <v>4669427</v>
      </c>
      <c r="I76" s="249">
        <v>998695</v>
      </c>
      <c r="J76" s="249">
        <v>-2614</v>
      </c>
      <c r="K76" s="249">
        <v>-2191</v>
      </c>
      <c r="L76" s="249">
        <v>125758</v>
      </c>
      <c r="M76" s="246">
        <f t="shared" si="13"/>
        <v>11357892.080000002</v>
      </c>
    </row>
    <row r="77" spans="1:13" x14ac:dyDescent="0.2">
      <c r="A77" s="736">
        <f t="shared" si="14"/>
        <v>31</v>
      </c>
      <c r="B77" s="862" t="s">
        <v>2585</v>
      </c>
      <c r="C77" s="738">
        <v>977</v>
      </c>
      <c r="D77" s="738">
        <v>41492</v>
      </c>
      <c r="E77" s="249">
        <v>2045155</v>
      </c>
      <c r="F77" s="249">
        <v>3948998.0000000009</v>
      </c>
      <c r="G77" s="249">
        <v>418128.54000000004</v>
      </c>
      <c r="H77" s="249">
        <v>1616503</v>
      </c>
      <c r="I77" s="249">
        <v>1160901</v>
      </c>
      <c r="J77" s="249">
        <v>971</v>
      </c>
      <c r="K77" s="249">
        <v>156358</v>
      </c>
      <c r="L77" s="249">
        <v>40266</v>
      </c>
      <c r="M77" s="246">
        <f t="shared" si="13"/>
        <v>9429749.540000001</v>
      </c>
    </row>
    <row r="78" spans="1:13" x14ac:dyDescent="0.2">
      <c r="A78" s="736">
        <f t="shared" si="14"/>
        <v>32</v>
      </c>
      <c r="B78" s="861" t="s">
        <v>2586</v>
      </c>
      <c r="C78" s="738">
        <v>577</v>
      </c>
      <c r="D78" s="738">
        <v>12588</v>
      </c>
      <c r="E78" s="249">
        <v>-77206</v>
      </c>
      <c r="F78" s="249">
        <v>25525433.370000001</v>
      </c>
      <c r="G78" s="249">
        <v>308065.77999999997</v>
      </c>
      <c r="H78" s="249">
        <v>-504558</v>
      </c>
      <c r="I78" s="249">
        <v>-3686119</v>
      </c>
      <c r="J78" s="249">
        <v>3</v>
      </c>
      <c r="K78" s="249">
        <v>-2167064</v>
      </c>
      <c r="L78" s="249">
        <v>26207</v>
      </c>
      <c r="M78" s="246">
        <f t="shared" si="13"/>
        <v>19437927.150000002</v>
      </c>
    </row>
    <row r="79" spans="1:13" x14ac:dyDescent="0.2">
      <c r="A79" s="736">
        <f t="shared" si="14"/>
        <v>33</v>
      </c>
      <c r="B79" s="861" t="s">
        <v>2587</v>
      </c>
      <c r="C79" s="738">
        <v>48</v>
      </c>
      <c r="D79" s="738">
        <v>75703</v>
      </c>
      <c r="E79" s="249">
        <v>304381</v>
      </c>
      <c r="F79" s="249">
        <v>31103518.959999874</v>
      </c>
      <c r="G79" s="249">
        <v>150627.73000000001</v>
      </c>
      <c r="H79" s="249">
        <v>1691987</v>
      </c>
      <c r="I79" s="249">
        <v>930539</v>
      </c>
      <c r="J79" s="249">
        <v>173</v>
      </c>
      <c r="K79" s="249">
        <v>4427</v>
      </c>
      <c r="L79" s="249">
        <v>13957</v>
      </c>
      <c r="M79" s="246">
        <f t="shared" si="13"/>
        <v>34275361.689999878</v>
      </c>
    </row>
    <row r="80" spans="1:13" x14ac:dyDescent="0.2">
      <c r="A80" s="736">
        <f t="shared" si="14"/>
        <v>34</v>
      </c>
      <c r="B80" s="862" t="s">
        <v>2588</v>
      </c>
      <c r="C80" s="738">
        <v>721</v>
      </c>
      <c r="D80" s="738">
        <v>743253</v>
      </c>
      <c r="E80" s="249">
        <v>1369810</v>
      </c>
      <c r="F80" s="249">
        <v>9559407.0799999777</v>
      </c>
      <c r="G80" s="249">
        <v>427173.31</v>
      </c>
      <c r="H80" s="249">
        <v>5618588</v>
      </c>
      <c r="I80" s="249">
        <v>11188982</v>
      </c>
      <c r="J80" s="249">
        <v>139</v>
      </c>
      <c r="K80" s="249">
        <v>1415940</v>
      </c>
      <c r="L80" s="249">
        <v>22566</v>
      </c>
      <c r="M80" s="246">
        <f t="shared" si="13"/>
        <v>30346579.389999978</v>
      </c>
    </row>
    <row r="81" spans="1:13" x14ac:dyDescent="0.2">
      <c r="A81" s="736">
        <f t="shared" si="14"/>
        <v>35</v>
      </c>
      <c r="B81" s="861" t="s">
        <v>2589</v>
      </c>
      <c r="C81" s="738">
        <v>20845</v>
      </c>
      <c r="D81" s="738">
        <v>27463</v>
      </c>
      <c r="E81" s="249">
        <v>3249122</v>
      </c>
      <c r="F81" s="249">
        <v>4175455.4500000039</v>
      </c>
      <c r="G81" s="249">
        <v>815998.33000000007</v>
      </c>
      <c r="H81" s="249">
        <v>-1029933</v>
      </c>
      <c r="I81" s="249">
        <v>-3128962</v>
      </c>
      <c r="J81" s="249">
        <v>362322</v>
      </c>
      <c r="K81" s="249">
        <v>1688384</v>
      </c>
      <c r="L81" s="249">
        <v>24708</v>
      </c>
      <c r="M81" s="246">
        <f t="shared" si="13"/>
        <v>6205402.780000004</v>
      </c>
    </row>
    <row r="82" spans="1:13" x14ac:dyDescent="0.2">
      <c r="A82" s="736">
        <f t="shared" si="14"/>
        <v>36</v>
      </c>
      <c r="B82" s="861" t="s">
        <v>2590</v>
      </c>
      <c r="C82" s="738">
        <v>-48520</v>
      </c>
      <c r="D82" s="738">
        <v>-968771</v>
      </c>
      <c r="E82" s="249">
        <v>979796</v>
      </c>
      <c r="F82" s="249">
        <v>12173566.950000007</v>
      </c>
      <c r="G82" s="249">
        <v>4609662.49</v>
      </c>
      <c r="H82" s="249">
        <v>3524172</v>
      </c>
      <c r="I82" s="249">
        <v>466734</v>
      </c>
      <c r="J82" s="249">
        <v>637887</v>
      </c>
      <c r="K82" s="249">
        <v>-919261</v>
      </c>
      <c r="L82" s="249">
        <v>3981428</v>
      </c>
      <c r="M82" s="246">
        <f t="shared" si="13"/>
        <v>24436694.440000005</v>
      </c>
    </row>
    <row r="83" spans="1:13" x14ac:dyDescent="0.2">
      <c r="A83" s="736">
        <f t="shared" si="14"/>
        <v>37</v>
      </c>
      <c r="B83" s="862" t="s">
        <v>2591</v>
      </c>
      <c r="C83" s="738">
        <v>1088</v>
      </c>
      <c r="D83" s="738">
        <v>166254</v>
      </c>
      <c r="E83" s="249">
        <v>4300531</v>
      </c>
      <c r="F83" s="249">
        <v>9636908.0399999693</v>
      </c>
      <c r="G83" s="249">
        <v>2107209.94</v>
      </c>
      <c r="H83" s="249">
        <v>4709907</v>
      </c>
      <c r="I83" s="249">
        <v>2399707</v>
      </c>
      <c r="J83" s="249">
        <v>764466</v>
      </c>
      <c r="K83" s="249">
        <v>715336</v>
      </c>
      <c r="L83" s="249">
        <v>-3825065</v>
      </c>
      <c r="M83" s="246">
        <f t="shared" si="13"/>
        <v>20976341.979999967</v>
      </c>
    </row>
    <row r="84" spans="1:13" x14ac:dyDescent="0.2">
      <c r="A84" s="736">
        <f t="shared" si="14"/>
        <v>38</v>
      </c>
      <c r="B84" s="862" t="s">
        <v>2592</v>
      </c>
      <c r="C84" s="738">
        <v>971</v>
      </c>
      <c r="D84" s="738">
        <v>61140</v>
      </c>
      <c r="E84" s="249">
        <v>742941</v>
      </c>
      <c r="F84" s="249">
        <v>25404742.350000098</v>
      </c>
      <c r="G84" s="249">
        <v>2127954.1800000002</v>
      </c>
      <c r="H84" s="249">
        <v>8232363</v>
      </c>
      <c r="I84" s="249">
        <v>6492237</v>
      </c>
      <c r="J84" s="249">
        <v>38577</v>
      </c>
      <c r="K84" s="249">
        <v>1716635</v>
      </c>
      <c r="L84" s="249">
        <v>168014</v>
      </c>
      <c r="M84" s="246">
        <f t="shared" si="13"/>
        <v>44985574.530000098</v>
      </c>
    </row>
    <row r="85" spans="1:13" x14ac:dyDescent="0.2">
      <c r="A85" s="736">
        <f t="shared" si="14"/>
        <v>39</v>
      </c>
      <c r="B85" s="861" t="s">
        <v>2593</v>
      </c>
      <c r="C85" s="123">
        <v>115</v>
      </c>
      <c r="D85" s="123">
        <v>-286083</v>
      </c>
      <c r="E85" s="473">
        <v>12095710</v>
      </c>
      <c r="F85" s="473">
        <v>83719436.679999933</v>
      </c>
      <c r="G85" s="473">
        <v>2741158.2500000005</v>
      </c>
      <c r="H85" s="473">
        <v>13710309</v>
      </c>
      <c r="I85" s="473">
        <v>14606119</v>
      </c>
      <c r="J85" s="473">
        <v>270875</v>
      </c>
      <c r="K85" s="473">
        <v>586581</v>
      </c>
      <c r="L85" s="473">
        <v>15584</v>
      </c>
      <c r="M85" s="394">
        <f t="shared" si="13"/>
        <v>127459804.92999993</v>
      </c>
    </row>
    <row r="86" spans="1:13" x14ac:dyDescent="0.2">
      <c r="A86" s="736">
        <f t="shared" si="14"/>
        <v>40</v>
      </c>
      <c r="B86" s="740" t="s">
        <v>5</v>
      </c>
      <c r="C86" s="246">
        <f>SUM(C74:C85)</f>
        <v>-28925</v>
      </c>
      <c r="D86" s="246">
        <f t="shared" ref="D86:L86" si="15">SUM(D74:D85)</f>
        <v>-204982</v>
      </c>
      <c r="E86" s="246">
        <f t="shared" si="15"/>
        <v>28385210</v>
      </c>
      <c r="F86" s="246">
        <f t="shared" si="15"/>
        <v>215967003.62999988</v>
      </c>
      <c r="G86" s="246">
        <f t="shared" si="15"/>
        <v>27109466.690000001</v>
      </c>
      <c r="H86" s="246">
        <f t="shared" si="15"/>
        <v>48328584</v>
      </c>
      <c r="I86" s="246">
        <f t="shared" si="15"/>
        <v>36622981</v>
      </c>
      <c r="J86" s="246">
        <f t="shared" si="15"/>
        <v>2537248</v>
      </c>
      <c r="K86" s="246">
        <f t="shared" si="15"/>
        <v>2492102</v>
      </c>
      <c r="L86" s="246">
        <f t="shared" si="15"/>
        <v>921046</v>
      </c>
      <c r="M86" s="246">
        <f>SUM(M74:M85)</f>
        <v>362129734.31999981</v>
      </c>
    </row>
    <row r="88" spans="1:13" x14ac:dyDescent="0.2">
      <c r="B88" s="45" t="s">
        <v>2521</v>
      </c>
      <c r="C88" s="14"/>
      <c r="D88" s="14"/>
      <c r="E88" s="14"/>
    </row>
    <row r="89" spans="1:13" x14ac:dyDescent="0.2">
      <c r="B89" s="14"/>
      <c r="C89" s="14"/>
      <c r="D89" s="14"/>
    </row>
    <row r="90" spans="1:13" x14ac:dyDescent="0.2">
      <c r="A90" s="468"/>
      <c r="B90" s="385" t="s">
        <v>406</v>
      </c>
      <c r="C90" s="385" t="s">
        <v>390</v>
      </c>
      <c r="D90" s="385" t="s">
        <v>391</v>
      </c>
      <c r="E90" s="88" t="s">
        <v>392</v>
      </c>
      <c r="F90" s="88" t="s">
        <v>393</v>
      </c>
      <c r="G90" s="88" t="s">
        <v>394</v>
      </c>
      <c r="H90" s="88" t="s">
        <v>395</v>
      </c>
      <c r="I90" s="88" t="s">
        <v>610</v>
      </c>
      <c r="J90" s="88" t="s">
        <v>1059</v>
      </c>
      <c r="K90" s="88" t="s">
        <v>1076</v>
      </c>
      <c r="L90" s="88" t="s">
        <v>1079</v>
      </c>
      <c r="M90" s="88" t="s">
        <v>1097</v>
      </c>
    </row>
    <row r="91" spans="1:13" x14ac:dyDescent="0.2">
      <c r="A91" s="244"/>
      <c r="B91" s="612"/>
      <c r="C91" s="254"/>
      <c r="D91" s="254"/>
      <c r="E91" s="244"/>
      <c r="F91" s="244"/>
      <c r="G91" s="244"/>
      <c r="H91" s="244"/>
      <c r="I91" s="244"/>
      <c r="J91" s="244"/>
      <c r="K91" s="244"/>
      <c r="M91" s="266" t="s">
        <v>1525</v>
      </c>
    </row>
    <row r="92" spans="1:13" x14ac:dyDescent="0.2">
      <c r="A92" s="244"/>
      <c r="B92" s="117"/>
      <c r="C92" s="385"/>
      <c r="D92" s="385"/>
      <c r="E92" s="244"/>
      <c r="F92" s="244"/>
      <c r="G92" s="244"/>
      <c r="H92" s="244"/>
      <c r="I92" s="244"/>
      <c r="J92" s="244"/>
      <c r="K92" s="244"/>
      <c r="L92" s="244"/>
    </row>
    <row r="93" spans="1:13" x14ac:dyDescent="0.2">
      <c r="A93" s="53"/>
      <c r="B93" s="131" t="s">
        <v>2580</v>
      </c>
      <c r="C93" s="385">
        <v>350.1</v>
      </c>
      <c r="D93" s="385">
        <v>350.2</v>
      </c>
      <c r="E93" s="88">
        <v>352</v>
      </c>
      <c r="F93" s="88">
        <v>353</v>
      </c>
      <c r="G93" s="88">
        <v>354</v>
      </c>
      <c r="H93" s="88">
        <v>355</v>
      </c>
      <c r="I93" s="88">
        <v>356</v>
      </c>
      <c r="J93" s="88">
        <v>357</v>
      </c>
      <c r="K93" s="88">
        <v>358</v>
      </c>
      <c r="L93" s="88">
        <v>359</v>
      </c>
      <c r="M93" s="3" t="s">
        <v>226</v>
      </c>
    </row>
    <row r="94" spans="1:13" x14ac:dyDescent="0.2">
      <c r="A94" s="736">
        <f>A86+1</f>
        <v>41</v>
      </c>
      <c r="B94" s="862" t="s">
        <v>2582</v>
      </c>
      <c r="C94" s="738">
        <v>1448.160000000149</v>
      </c>
      <c r="D94" s="738">
        <v>31597.780000001192</v>
      </c>
      <c r="E94" s="249">
        <v>500126.75</v>
      </c>
      <c r="F94" s="249">
        <v>877679.87000000849</v>
      </c>
      <c r="G94" s="249">
        <v>10835962.979999978</v>
      </c>
      <c r="H94" s="249">
        <v>641993.32999999821</v>
      </c>
      <c r="I94" s="249">
        <v>4224443.4600000009</v>
      </c>
      <c r="J94" s="249">
        <v>0</v>
      </c>
      <c r="K94" s="249">
        <v>0</v>
      </c>
      <c r="L94" s="249">
        <v>327620.50999999989</v>
      </c>
      <c r="M94" s="246">
        <f t="shared" ref="M94:M105" si="16">SUM(C94:L94)</f>
        <v>17440872.839999989</v>
      </c>
    </row>
    <row r="95" spans="1:13" x14ac:dyDescent="0.2">
      <c r="A95" s="736">
        <f t="shared" ref="A95:A106" si="17">A94+1</f>
        <v>42</v>
      </c>
      <c r="B95" s="861" t="s">
        <v>2583</v>
      </c>
      <c r="C95" s="738">
        <v>-10342.599999999627</v>
      </c>
      <c r="D95" s="738">
        <v>-225667.0700000003</v>
      </c>
      <c r="E95" s="249">
        <v>773011.54999999888</v>
      </c>
      <c r="F95" s="249">
        <v>1680513.52999999</v>
      </c>
      <c r="G95" s="249">
        <v>152145.5500000082</v>
      </c>
      <c r="H95" s="249">
        <v>1.1600000001490116</v>
      </c>
      <c r="I95" s="249">
        <v>508.53000000072643</v>
      </c>
      <c r="J95" s="249">
        <v>0</v>
      </c>
      <c r="K95" s="249">
        <v>0</v>
      </c>
      <c r="L95" s="249">
        <v>1.8299999999944703</v>
      </c>
      <c r="M95" s="246">
        <f t="shared" si="16"/>
        <v>2370172.4799999981</v>
      </c>
    </row>
    <row r="96" spans="1:13" x14ac:dyDescent="0.2">
      <c r="A96" s="736">
        <f t="shared" si="17"/>
        <v>43</v>
      </c>
      <c r="B96" s="861" t="s">
        <v>2584</v>
      </c>
      <c r="C96" s="738">
        <v>3148.2099999999627</v>
      </c>
      <c r="D96" s="738">
        <v>68691.359999999404</v>
      </c>
      <c r="E96" s="249">
        <v>1101055.9299999978</v>
      </c>
      <c r="F96" s="249">
        <v>1453840.7399999872</v>
      </c>
      <c r="G96" s="249">
        <v>986511.51999999955</v>
      </c>
      <c r="H96" s="249">
        <v>105806.80000000075</v>
      </c>
      <c r="I96" s="249">
        <v>934389.00999999512</v>
      </c>
      <c r="J96" s="249">
        <v>0</v>
      </c>
      <c r="K96" s="249">
        <v>0</v>
      </c>
      <c r="L96" s="249">
        <v>125758.45000000019</v>
      </c>
      <c r="M96" s="246">
        <f t="shared" si="16"/>
        <v>4779202.01999998</v>
      </c>
    </row>
    <row r="97" spans="1:13" x14ac:dyDescent="0.2">
      <c r="A97" s="736">
        <f t="shared" si="17"/>
        <v>44</v>
      </c>
      <c r="B97" s="862" t="s">
        <v>2585</v>
      </c>
      <c r="C97" s="738">
        <v>825.74000000022352</v>
      </c>
      <c r="D97" s="738">
        <v>18017.080000001937</v>
      </c>
      <c r="E97" s="249">
        <v>15002.339999997988</v>
      </c>
      <c r="F97" s="249">
        <v>134661.42000001669</v>
      </c>
      <c r="G97" s="249">
        <v>316972.87999999523</v>
      </c>
      <c r="H97" s="249">
        <v>105387.59999999963</v>
      </c>
      <c r="I97" s="249">
        <v>519726.23000000417</v>
      </c>
      <c r="J97" s="249">
        <v>0</v>
      </c>
      <c r="K97" s="249">
        <v>0</v>
      </c>
      <c r="L97" s="249">
        <v>40266.230000000447</v>
      </c>
      <c r="M97" s="246">
        <f t="shared" si="16"/>
        <v>1150859.5200000163</v>
      </c>
    </row>
    <row r="98" spans="1:13" x14ac:dyDescent="0.2">
      <c r="A98" s="736">
        <f t="shared" si="17"/>
        <v>45</v>
      </c>
      <c r="B98" s="861" t="s">
        <v>2586</v>
      </c>
      <c r="C98" s="738">
        <v>576.90000000037253</v>
      </c>
      <c r="D98" s="738">
        <v>12587.519999999553</v>
      </c>
      <c r="E98" s="249">
        <v>34091.629999998957</v>
      </c>
      <c r="F98" s="249">
        <v>248450.15999998152</v>
      </c>
      <c r="G98" s="249">
        <v>304470.18999999762</v>
      </c>
      <c r="H98" s="249">
        <v>26081.800000000745</v>
      </c>
      <c r="I98" s="249">
        <v>207477.53000000212</v>
      </c>
      <c r="J98" s="249">
        <v>0</v>
      </c>
      <c r="K98" s="249">
        <v>0</v>
      </c>
      <c r="L98" s="249">
        <v>26207.30999999959</v>
      </c>
      <c r="M98" s="246">
        <f t="shared" si="16"/>
        <v>859943.03999998048</v>
      </c>
    </row>
    <row r="99" spans="1:13" x14ac:dyDescent="0.2">
      <c r="A99" s="736">
        <f t="shared" si="17"/>
        <v>46</v>
      </c>
      <c r="B99" s="861" t="s">
        <v>2587</v>
      </c>
      <c r="C99" s="738">
        <v>48.429999999701977</v>
      </c>
      <c r="D99" s="738">
        <v>1056.660000000149</v>
      </c>
      <c r="E99" s="249">
        <v>1067485.3100000024</v>
      </c>
      <c r="F99" s="249">
        <v>3407123.5799999908</v>
      </c>
      <c r="G99" s="249">
        <v>86852.269999980927</v>
      </c>
      <c r="H99" s="249">
        <v>7822.8299999982119</v>
      </c>
      <c r="I99" s="249">
        <v>103432.62000000337</v>
      </c>
      <c r="J99" s="249">
        <v>0</v>
      </c>
      <c r="K99" s="249">
        <v>0</v>
      </c>
      <c r="L99" s="249">
        <v>13956.530000000261</v>
      </c>
      <c r="M99" s="246">
        <f t="shared" si="16"/>
        <v>4687778.2299999753</v>
      </c>
    </row>
    <row r="100" spans="1:13" x14ac:dyDescent="0.2">
      <c r="A100" s="736">
        <f t="shared" si="17"/>
        <v>47</v>
      </c>
      <c r="B100" s="862" t="s">
        <v>2588</v>
      </c>
      <c r="C100" s="738">
        <v>218980.09999999963</v>
      </c>
      <c r="D100" s="738">
        <v>524993.12999999896</v>
      </c>
      <c r="E100" s="249">
        <v>148011.40999999829</v>
      </c>
      <c r="F100" s="249">
        <v>1424191.8000000045</v>
      </c>
      <c r="G100" s="249">
        <v>247814.79000002146</v>
      </c>
      <c r="H100" s="249">
        <v>20967.85000000149</v>
      </c>
      <c r="I100" s="249">
        <v>167538.85000000242</v>
      </c>
      <c r="J100" s="249">
        <v>0</v>
      </c>
      <c r="K100" s="249">
        <v>0</v>
      </c>
      <c r="L100" s="249">
        <v>21068.760000000708</v>
      </c>
      <c r="M100" s="246">
        <f t="shared" si="16"/>
        <v>2773566.6900000274</v>
      </c>
    </row>
    <row r="101" spans="1:13" x14ac:dyDescent="0.2">
      <c r="A101" s="736">
        <f t="shared" si="17"/>
        <v>48</v>
      </c>
      <c r="B101" s="861" t="s">
        <v>2589</v>
      </c>
      <c r="C101" s="738">
        <v>-3096.7999999998137</v>
      </c>
      <c r="D101" s="738">
        <v>-5612.1500000022352</v>
      </c>
      <c r="E101" s="249">
        <v>75600.510000001639</v>
      </c>
      <c r="F101" s="249">
        <v>256288.37000000477</v>
      </c>
      <c r="G101" s="249">
        <v>736893.45999997854</v>
      </c>
      <c r="H101" s="249">
        <v>24590.009999999776</v>
      </c>
      <c r="I101" s="249">
        <v>195241.13000000268</v>
      </c>
      <c r="J101" s="249">
        <v>0</v>
      </c>
      <c r="K101" s="249">
        <v>0</v>
      </c>
      <c r="L101" s="249">
        <v>24708.330000000075</v>
      </c>
      <c r="M101" s="246">
        <f t="shared" si="16"/>
        <v>1304612.8599999854</v>
      </c>
    </row>
    <row r="102" spans="1:13" x14ac:dyDescent="0.2">
      <c r="A102" s="736">
        <f t="shared" si="17"/>
        <v>49</v>
      </c>
      <c r="B102" s="861" t="s">
        <v>2590</v>
      </c>
      <c r="C102" s="738">
        <v>-48520.320000000298</v>
      </c>
      <c r="D102" s="738">
        <v>-1058673.3599999994</v>
      </c>
      <c r="E102" s="249">
        <v>49208.470000002533</v>
      </c>
      <c r="F102" s="249">
        <v>11662.379999995232</v>
      </c>
      <c r="G102" s="249">
        <v>4609016.150000006</v>
      </c>
      <c r="H102" s="249">
        <v>-21211.560000000522</v>
      </c>
      <c r="I102" s="249">
        <v>-168416.70000000298</v>
      </c>
      <c r="J102" s="249">
        <v>0</v>
      </c>
      <c r="K102" s="249">
        <v>0</v>
      </c>
      <c r="L102" s="249">
        <v>-21313.620000000112</v>
      </c>
      <c r="M102" s="246">
        <f t="shared" si="16"/>
        <v>3351751.4400000004</v>
      </c>
    </row>
    <row r="103" spans="1:13" x14ac:dyDescent="0.2">
      <c r="A103" s="736">
        <f t="shared" si="17"/>
        <v>50</v>
      </c>
      <c r="B103" s="862" t="s">
        <v>2591</v>
      </c>
      <c r="C103" s="738">
        <v>1088.480000000447</v>
      </c>
      <c r="D103" s="738">
        <v>23749.670000001788</v>
      </c>
      <c r="E103" s="249">
        <v>63302.670000001788</v>
      </c>
      <c r="F103" s="249">
        <v>187554.38000000268</v>
      </c>
      <c r="G103" s="249">
        <v>2027657.630000025</v>
      </c>
      <c r="H103" s="249">
        <v>565634.44000000134</v>
      </c>
      <c r="I103" s="249">
        <v>1427244.5399999991</v>
      </c>
      <c r="J103" s="249">
        <v>0</v>
      </c>
      <c r="K103" s="249">
        <v>0</v>
      </c>
      <c r="L103" s="249">
        <v>177676.91000000015</v>
      </c>
      <c r="M103" s="246">
        <f t="shared" si="16"/>
        <v>4473908.7200000323</v>
      </c>
    </row>
    <row r="104" spans="1:13" x14ac:dyDescent="0.2">
      <c r="A104" s="736">
        <f t="shared" si="17"/>
        <v>51</v>
      </c>
      <c r="B104" s="862" t="s">
        <v>2592</v>
      </c>
      <c r="C104" s="738">
        <v>397.54000000003725</v>
      </c>
      <c r="D104" s="738">
        <v>8673.929999999702</v>
      </c>
      <c r="E104" s="249">
        <v>-10366.710000000894</v>
      </c>
      <c r="F104" s="249">
        <v>-100302.50999999791</v>
      </c>
      <c r="G104" s="249">
        <v>2124380.8499999754</v>
      </c>
      <c r="H104" s="249">
        <v>535907.8900000006</v>
      </c>
      <c r="I104" s="249">
        <v>1215533.6300000008</v>
      </c>
      <c r="J104" s="249">
        <v>0</v>
      </c>
      <c r="K104" s="249">
        <v>0</v>
      </c>
      <c r="L104" s="249">
        <v>168013.86000000034</v>
      </c>
      <c r="M104" s="246">
        <f t="shared" si="16"/>
        <v>3942238.4799999781</v>
      </c>
    </row>
    <row r="105" spans="1:13" x14ac:dyDescent="0.2">
      <c r="A105" s="736">
        <f t="shared" si="17"/>
        <v>52</v>
      </c>
      <c r="B105" s="861" t="s">
        <v>2593</v>
      </c>
      <c r="C105" s="123">
        <v>114.87999999988824</v>
      </c>
      <c r="D105" s="123">
        <v>2506.5399999991059</v>
      </c>
      <c r="E105" s="473">
        <v>-125947.6099999994</v>
      </c>
      <c r="F105" s="473">
        <v>-75114.530000002385</v>
      </c>
      <c r="G105" s="473">
        <v>169544.27000001073</v>
      </c>
      <c r="H105" s="473">
        <v>27220.420000001788</v>
      </c>
      <c r="I105" s="473">
        <v>123839.54999999702</v>
      </c>
      <c r="J105" s="473">
        <v>0</v>
      </c>
      <c r="K105" s="473">
        <v>0</v>
      </c>
      <c r="L105" s="473">
        <v>15583.540000000037</v>
      </c>
      <c r="M105" s="394">
        <f t="shared" si="16"/>
        <v>137747.06000000678</v>
      </c>
    </row>
    <row r="106" spans="1:13" x14ac:dyDescent="0.2">
      <c r="A106" s="736">
        <f t="shared" si="17"/>
        <v>53</v>
      </c>
      <c r="B106" s="740" t="s">
        <v>5</v>
      </c>
      <c r="C106" s="246">
        <f>SUM(C94:C105)</f>
        <v>164668.72000000067</v>
      </c>
      <c r="D106" s="246">
        <f t="shared" ref="D106:L106" si="18">SUM(D94:D105)</f>
        <v>-598078.91000000015</v>
      </c>
      <c r="E106" s="246">
        <f t="shared" si="18"/>
        <v>3690582.25</v>
      </c>
      <c r="F106" s="246">
        <f t="shared" si="18"/>
        <v>9506549.1899999809</v>
      </c>
      <c r="G106" s="246">
        <f t="shared" si="18"/>
        <v>22598222.539999977</v>
      </c>
      <c r="H106" s="246">
        <f t="shared" si="18"/>
        <v>2040202.5700000022</v>
      </c>
      <c r="I106" s="246">
        <f t="shared" si="18"/>
        <v>8950958.3800000064</v>
      </c>
      <c r="J106" s="246">
        <f t="shared" si="18"/>
        <v>0</v>
      </c>
      <c r="K106" s="246">
        <f t="shared" si="18"/>
        <v>0</v>
      </c>
      <c r="L106" s="246">
        <f t="shared" si="18"/>
        <v>919548.64000000153</v>
      </c>
      <c r="M106" s="246">
        <f>SUM(M94:M105)</f>
        <v>47272653.379999958</v>
      </c>
    </row>
    <row r="108" spans="1:13" x14ac:dyDescent="0.2">
      <c r="B108" s="45" t="s">
        <v>2522</v>
      </c>
      <c r="C108" s="14"/>
      <c r="D108" s="14"/>
      <c r="E108" s="14"/>
      <c r="F108" s="14"/>
      <c r="G108" s="14"/>
    </row>
    <row r="109" spans="1:13" x14ac:dyDescent="0.2">
      <c r="B109" s="14"/>
      <c r="C109" s="14"/>
      <c r="D109" s="14"/>
      <c r="E109" s="14"/>
      <c r="F109" s="14"/>
      <c r="G109" s="14"/>
    </row>
    <row r="110" spans="1:13" x14ac:dyDescent="0.2">
      <c r="A110" s="468"/>
      <c r="B110" s="385" t="s">
        <v>406</v>
      </c>
      <c r="C110" s="385" t="s">
        <v>390</v>
      </c>
      <c r="D110" s="385" t="s">
        <v>391</v>
      </c>
      <c r="E110" s="385" t="s">
        <v>392</v>
      </c>
      <c r="F110" s="385" t="s">
        <v>393</v>
      </c>
      <c r="G110" s="385" t="s">
        <v>394</v>
      </c>
      <c r="H110" s="88" t="s">
        <v>395</v>
      </c>
      <c r="I110" s="88" t="s">
        <v>610</v>
      </c>
      <c r="J110" s="88" t="s">
        <v>1059</v>
      </c>
      <c r="K110" s="88" t="s">
        <v>1076</v>
      </c>
      <c r="L110" s="88" t="s">
        <v>1079</v>
      </c>
      <c r="M110" s="88" t="s">
        <v>1097</v>
      </c>
    </row>
    <row r="111" spans="1:13" x14ac:dyDescent="0.2">
      <c r="A111" s="244"/>
      <c r="B111" s="612"/>
      <c r="C111" s="254"/>
      <c r="D111" s="254"/>
      <c r="E111" s="254"/>
      <c r="F111" s="254"/>
      <c r="G111" s="254"/>
      <c r="H111" s="244"/>
      <c r="I111" s="244"/>
      <c r="J111" s="244"/>
      <c r="K111" s="244"/>
      <c r="M111" s="266" t="s">
        <v>1525</v>
      </c>
    </row>
    <row r="112" spans="1:13" x14ac:dyDescent="0.2">
      <c r="A112" s="244"/>
      <c r="B112" s="117"/>
      <c r="C112" s="385"/>
      <c r="D112" s="385"/>
      <c r="E112" s="254"/>
      <c r="F112" s="254"/>
      <c r="G112" s="254"/>
      <c r="H112" s="244"/>
      <c r="I112" s="244"/>
      <c r="J112" s="244"/>
      <c r="K112" s="244"/>
      <c r="L112" s="244"/>
    </row>
    <row r="113" spans="1:13" x14ac:dyDescent="0.2">
      <c r="A113" s="53"/>
      <c r="B113" s="131" t="s">
        <v>2580</v>
      </c>
      <c r="C113" s="385">
        <v>350.1</v>
      </c>
      <c r="D113" s="385">
        <v>350.2</v>
      </c>
      <c r="E113" s="385">
        <v>352</v>
      </c>
      <c r="F113" s="385">
        <v>353</v>
      </c>
      <c r="G113" s="385">
        <v>354</v>
      </c>
      <c r="H113" s="88">
        <v>355</v>
      </c>
      <c r="I113" s="88">
        <v>356</v>
      </c>
      <c r="J113" s="88">
        <v>357</v>
      </c>
      <c r="K113" s="88">
        <v>358</v>
      </c>
      <c r="L113" s="88">
        <v>359</v>
      </c>
      <c r="M113" s="3" t="s">
        <v>226</v>
      </c>
    </row>
    <row r="114" spans="1:13" x14ac:dyDescent="0.2">
      <c r="A114" s="736">
        <f>A106+1</f>
        <v>54</v>
      </c>
      <c r="B114" s="862" t="s">
        <v>2582</v>
      </c>
      <c r="C114" s="709">
        <f t="shared" ref="C114:L114" si="19">C74-C94</f>
        <v>-0.16000000014901161</v>
      </c>
      <c r="D114" s="709">
        <f t="shared" si="19"/>
        <v>0.2199999988079071</v>
      </c>
      <c r="E114" s="709">
        <f t="shared" si="19"/>
        <v>755127.25</v>
      </c>
      <c r="F114" s="709">
        <f t="shared" si="19"/>
        <v>660931.39999999106</v>
      </c>
      <c r="G114" s="709">
        <f t="shared" si="19"/>
        <v>672186.11000002176</v>
      </c>
      <c r="H114" s="709">
        <f t="shared" si="19"/>
        <v>3518496.6700000018</v>
      </c>
      <c r="I114" s="709">
        <f t="shared" si="19"/>
        <v>-2170446.4600000009</v>
      </c>
      <c r="J114" s="709">
        <f t="shared" si="19"/>
        <v>464343</v>
      </c>
      <c r="K114" s="709">
        <f t="shared" si="19"/>
        <v>-578757</v>
      </c>
      <c r="L114" s="709">
        <f t="shared" si="19"/>
        <v>0.4900000001071021</v>
      </c>
      <c r="M114" s="246">
        <f t="shared" ref="M114:M125" si="20">SUM(C114:L114)</f>
        <v>3321881.5200000126</v>
      </c>
    </row>
    <row r="115" spans="1:13" x14ac:dyDescent="0.2">
      <c r="A115" s="736">
        <f t="shared" ref="A115:A126" si="21">A114+1</f>
        <v>55</v>
      </c>
      <c r="B115" s="861" t="s">
        <v>2583</v>
      </c>
      <c r="C115" s="709">
        <f t="shared" ref="C115:L115" si="22">C75-C95</f>
        <v>-0.40000000037252903</v>
      </c>
      <c r="D115" s="709">
        <f t="shared" si="22"/>
        <v>8262.070000000298</v>
      </c>
      <c r="E115" s="709">
        <f t="shared" si="22"/>
        <v>896465.45000000112</v>
      </c>
      <c r="F115" s="709">
        <f t="shared" si="22"/>
        <v>3450751.830000014</v>
      </c>
      <c r="G115" s="709">
        <f t="shared" si="22"/>
        <v>785209.53999999177</v>
      </c>
      <c r="H115" s="709">
        <f t="shared" si="22"/>
        <v>1929327.8399999999</v>
      </c>
      <c r="I115" s="709">
        <f t="shared" si="22"/>
        <v>3139642.4699999993</v>
      </c>
      <c r="J115" s="709">
        <f t="shared" si="22"/>
        <v>106</v>
      </c>
      <c r="K115" s="709">
        <f t="shared" si="22"/>
        <v>-124286</v>
      </c>
      <c r="L115" s="709">
        <f t="shared" si="22"/>
        <v>0.17000000000552973</v>
      </c>
      <c r="M115" s="246">
        <f t="shared" si="20"/>
        <v>10085478.970000006</v>
      </c>
    </row>
    <row r="116" spans="1:13" x14ac:dyDescent="0.2">
      <c r="A116" s="736">
        <f t="shared" si="21"/>
        <v>56</v>
      </c>
      <c r="B116" s="861" t="s">
        <v>2584</v>
      </c>
      <c r="C116" s="709">
        <f t="shared" ref="C116:L116" si="23">C76-C96</f>
        <v>-0.2099999999627471</v>
      </c>
      <c r="D116" s="709">
        <f t="shared" si="23"/>
        <v>39094.640000000596</v>
      </c>
      <c r="E116" s="709">
        <f t="shared" si="23"/>
        <v>-650816.92999999784</v>
      </c>
      <c r="F116" s="709">
        <f t="shared" si="23"/>
        <v>2595819.3800000153</v>
      </c>
      <c r="G116" s="709">
        <f t="shared" si="23"/>
        <v>-28527.559999999474</v>
      </c>
      <c r="H116" s="709">
        <f t="shared" si="23"/>
        <v>4563620.1999999993</v>
      </c>
      <c r="I116" s="709">
        <f t="shared" si="23"/>
        <v>64305.99000000488</v>
      </c>
      <c r="J116" s="709">
        <f t="shared" si="23"/>
        <v>-2614</v>
      </c>
      <c r="K116" s="709">
        <f t="shared" si="23"/>
        <v>-2191</v>
      </c>
      <c r="L116" s="709">
        <f t="shared" si="23"/>
        <v>-0.45000000018626451</v>
      </c>
      <c r="M116" s="246">
        <f t="shared" si="20"/>
        <v>6578690.0600000229</v>
      </c>
    </row>
    <row r="117" spans="1:13" x14ac:dyDescent="0.2">
      <c r="A117" s="736">
        <f t="shared" si="21"/>
        <v>57</v>
      </c>
      <c r="B117" s="862" t="s">
        <v>2585</v>
      </c>
      <c r="C117" s="709">
        <f t="shared" ref="C117:L117" si="24">C77-C97</f>
        <v>151.25999999977648</v>
      </c>
      <c r="D117" s="709">
        <f t="shared" si="24"/>
        <v>23474.919999998063</v>
      </c>
      <c r="E117" s="709">
        <f t="shared" si="24"/>
        <v>2030152.660000002</v>
      </c>
      <c r="F117" s="709">
        <f t="shared" si="24"/>
        <v>3814336.5799999842</v>
      </c>
      <c r="G117" s="709">
        <f t="shared" si="24"/>
        <v>101155.66000000481</v>
      </c>
      <c r="H117" s="709">
        <f t="shared" si="24"/>
        <v>1511115.4000000004</v>
      </c>
      <c r="I117" s="709">
        <f t="shared" si="24"/>
        <v>641174.76999999583</v>
      </c>
      <c r="J117" s="709">
        <f t="shared" si="24"/>
        <v>971</v>
      </c>
      <c r="K117" s="709">
        <f t="shared" si="24"/>
        <v>156358</v>
      </c>
      <c r="L117" s="709">
        <f t="shared" si="24"/>
        <v>-0.23000000044703484</v>
      </c>
      <c r="M117" s="246">
        <f t="shared" si="20"/>
        <v>8278890.0199999847</v>
      </c>
    </row>
    <row r="118" spans="1:13" x14ac:dyDescent="0.2">
      <c r="A118" s="736">
        <f t="shared" si="21"/>
        <v>58</v>
      </c>
      <c r="B118" s="861" t="s">
        <v>2586</v>
      </c>
      <c r="C118" s="709">
        <f t="shared" ref="C118:L118" si="25">C78-C98</f>
        <v>9.999999962747097E-2</v>
      </c>
      <c r="D118" s="709">
        <f t="shared" si="25"/>
        <v>0.48000000044703484</v>
      </c>
      <c r="E118" s="709">
        <f t="shared" si="25"/>
        <v>-111297.62999999896</v>
      </c>
      <c r="F118" s="709">
        <f t="shared" si="25"/>
        <v>25276983.21000002</v>
      </c>
      <c r="G118" s="709">
        <f t="shared" si="25"/>
        <v>3595.5900000023539</v>
      </c>
      <c r="H118" s="709">
        <f t="shared" si="25"/>
        <v>-530639.80000000075</v>
      </c>
      <c r="I118" s="709">
        <f t="shared" si="25"/>
        <v>-3893596.5300000021</v>
      </c>
      <c r="J118" s="709">
        <f t="shared" si="25"/>
        <v>3</v>
      </c>
      <c r="K118" s="709">
        <f t="shared" si="25"/>
        <v>-2167064</v>
      </c>
      <c r="L118" s="709">
        <f t="shared" si="25"/>
        <v>-0.30999999959021807</v>
      </c>
      <c r="M118" s="246">
        <f t="shared" si="20"/>
        <v>18577984.110000022</v>
      </c>
    </row>
    <row r="119" spans="1:13" x14ac:dyDescent="0.2">
      <c r="A119" s="736">
        <f t="shared" si="21"/>
        <v>59</v>
      </c>
      <c r="B119" s="861" t="s">
        <v>2587</v>
      </c>
      <c r="C119" s="709">
        <f t="shared" ref="C119:L119" si="26">C79-C99</f>
        <v>-0.42999999970197678</v>
      </c>
      <c r="D119" s="709">
        <f t="shared" si="26"/>
        <v>74646.339999999851</v>
      </c>
      <c r="E119" s="709">
        <f t="shared" si="26"/>
        <v>-763104.31000000238</v>
      </c>
      <c r="F119" s="709">
        <f t="shared" si="26"/>
        <v>27696395.379999883</v>
      </c>
      <c r="G119" s="709">
        <f t="shared" si="26"/>
        <v>63775.460000019084</v>
      </c>
      <c r="H119" s="709">
        <f t="shared" si="26"/>
        <v>1684164.1700000018</v>
      </c>
      <c r="I119" s="709">
        <f t="shared" si="26"/>
        <v>827106.37999999663</v>
      </c>
      <c r="J119" s="709">
        <f t="shared" si="26"/>
        <v>173</v>
      </c>
      <c r="K119" s="709">
        <f t="shared" si="26"/>
        <v>4427</v>
      </c>
      <c r="L119" s="709">
        <f t="shared" si="26"/>
        <v>0.46999999973922968</v>
      </c>
      <c r="M119" s="246">
        <f t="shared" si="20"/>
        <v>29587583.459999897</v>
      </c>
    </row>
    <row r="120" spans="1:13" x14ac:dyDescent="0.2">
      <c r="A120" s="736">
        <f t="shared" si="21"/>
        <v>60</v>
      </c>
      <c r="B120" s="862" t="s">
        <v>2588</v>
      </c>
      <c r="C120" s="709">
        <f t="shared" ref="C120:L120" si="27">C80-C100</f>
        <v>-218259.09999999963</v>
      </c>
      <c r="D120" s="709">
        <f t="shared" si="27"/>
        <v>218259.87000000104</v>
      </c>
      <c r="E120" s="709">
        <f t="shared" si="27"/>
        <v>1221798.5900000017</v>
      </c>
      <c r="F120" s="709">
        <f t="shared" si="27"/>
        <v>8135215.2799999733</v>
      </c>
      <c r="G120" s="709">
        <f t="shared" si="27"/>
        <v>179358.51999997854</v>
      </c>
      <c r="H120" s="709">
        <f t="shared" si="27"/>
        <v>5597620.1499999985</v>
      </c>
      <c r="I120" s="709">
        <f t="shared" si="27"/>
        <v>11021443.149999999</v>
      </c>
      <c r="J120" s="709">
        <f t="shared" si="27"/>
        <v>139</v>
      </c>
      <c r="K120" s="709">
        <f t="shared" si="27"/>
        <v>1415940</v>
      </c>
      <c r="L120" s="709">
        <f t="shared" si="27"/>
        <v>1497.2399999992922</v>
      </c>
      <c r="M120" s="246">
        <f t="shared" si="20"/>
        <v>27573012.699999951</v>
      </c>
    </row>
    <row r="121" spans="1:13" x14ac:dyDescent="0.2">
      <c r="A121" s="736">
        <f t="shared" si="21"/>
        <v>61</v>
      </c>
      <c r="B121" s="861" t="s">
        <v>2589</v>
      </c>
      <c r="C121" s="709">
        <f t="shared" ref="C121:L121" si="28">C81-C101</f>
        <v>23941.799999999814</v>
      </c>
      <c r="D121" s="709">
        <f t="shared" si="28"/>
        <v>33075.150000002235</v>
      </c>
      <c r="E121" s="709">
        <f t="shared" si="28"/>
        <v>3173521.4899999984</v>
      </c>
      <c r="F121" s="709">
        <f t="shared" si="28"/>
        <v>3919167.0799999991</v>
      </c>
      <c r="G121" s="709">
        <f t="shared" si="28"/>
        <v>79104.870000021532</v>
      </c>
      <c r="H121" s="709">
        <f t="shared" si="28"/>
        <v>-1054523.0099999998</v>
      </c>
      <c r="I121" s="709">
        <f t="shared" si="28"/>
        <v>-3324203.1300000027</v>
      </c>
      <c r="J121" s="709">
        <f t="shared" si="28"/>
        <v>362322</v>
      </c>
      <c r="K121" s="709">
        <f t="shared" si="28"/>
        <v>1688384</v>
      </c>
      <c r="L121" s="709">
        <f t="shared" si="28"/>
        <v>-0.33000000007450581</v>
      </c>
      <c r="M121" s="246">
        <f t="shared" si="20"/>
        <v>4900789.9200000186</v>
      </c>
    </row>
    <row r="122" spans="1:13" x14ac:dyDescent="0.2">
      <c r="A122" s="736">
        <f t="shared" si="21"/>
        <v>62</v>
      </c>
      <c r="B122" s="861" t="s">
        <v>2590</v>
      </c>
      <c r="C122" s="709">
        <f t="shared" ref="C122:L122" si="29">C82-C102</f>
        <v>0.32000000029802322</v>
      </c>
      <c r="D122" s="709">
        <f t="shared" si="29"/>
        <v>89902.359999999404</v>
      </c>
      <c r="E122" s="709">
        <f t="shared" si="29"/>
        <v>930587.52999999747</v>
      </c>
      <c r="F122" s="709">
        <f t="shared" si="29"/>
        <v>12161904.570000011</v>
      </c>
      <c r="G122" s="709">
        <f t="shared" si="29"/>
        <v>646.33999999426305</v>
      </c>
      <c r="H122" s="709">
        <f t="shared" si="29"/>
        <v>3545383.5600000005</v>
      </c>
      <c r="I122" s="709">
        <f t="shared" si="29"/>
        <v>635150.70000000298</v>
      </c>
      <c r="J122" s="709">
        <f t="shared" si="29"/>
        <v>637887</v>
      </c>
      <c r="K122" s="709">
        <f t="shared" si="29"/>
        <v>-919261</v>
      </c>
      <c r="L122" s="709">
        <f t="shared" si="29"/>
        <v>4002741.62</v>
      </c>
      <c r="M122" s="246">
        <f t="shared" si="20"/>
        <v>21084943.000000007</v>
      </c>
    </row>
    <row r="123" spans="1:13" x14ac:dyDescent="0.2">
      <c r="A123" s="736">
        <f t="shared" si="21"/>
        <v>63</v>
      </c>
      <c r="B123" s="862" t="s">
        <v>2591</v>
      </c>
      <c r="C123" s="709">
        <f t="shared" ref="C123:L123" si="30">C83-C103</f>
        <v>-0.48000000044703484</v>
      </c>
      <c r="D123" s="709">
        <f t="shared" si="30"/>
        <v>142504.32999999821</v>
      </c>
      <c r="E123" s="709">
        <f t="shared" si="30"/>
        <v>4237228.3299999982</v>
      </c>
      <c r="F123" s="709">
        <f t="shared" si="30"/>
        <v>9449353.6599999666</v>
      </c>
      <c r="G123" s="709">
        <f t="shared" si="30"/>
        <v>79552.30999997491</v>
      </c>
      <c r="H123" s="709">
        <f t="shared" si="30"/>
        <v>4144272.5599999987</v>
      </c>
      <c r="I123" s="709">
        <f t="shared" si="30"/>
        <v>972462.46000000089</v>
      </c>
      <c r="J123" s="709">
        <f t="shared" si="30"/>
        <v>764466</v>
      </c>
      <c r="K123" s="709">
        <f t="shared" si="30"/>
        <v>715336</v>
      </c>
      <c r="L123" s="709">
        <f t="shared" si="30"/>
        <v>-4002741.91</v>
      </c>
      <c r="M123" s="246">
        <f t="shared" si="20"/>
        <v>16502433.259999935</v>
      </c>
    </row>
    <row r="124" spans="1:13" x14ac:dyDescent="0.2">
      <c r="A124" s="736">
        <f t="shared" si="21"/>
        <v>64</v>
      </c>
      <c r="B124" s="862" t="s">
        <v>2592</v>
      </c>
      <c r="C124" s="709">
        <f t="shared" ref="C124:L124" si="31">C84-C104</f>
        <v>573.45999999996275</v>
      </c>
      <c r="D124" s="709">
        <f t="shared" si="31"/>
        <v>52466.070000000298</v>
      </c>
      <c r="E124" s="709">
        <f t="shared" si="31"/>
        <v>753307.71000000089</v>
      </c>
      <c r="F124" s="709">
        <f t="shared" si="31"/>
        <v>25505044.860000096</v>
      </c>
      <c r="G124" s="709">
        <f t="shared" si="31"/>
        <v>3573.3300000247546</v>
      </c>
      <c r="H124" s="709">
        <f t="shared" si="31"/>
        <v>7696455.1099999994</v>
      </c>
      <c r="I124" s="709">
        <f t="shared" si="31"/>
        <v>5276703.3699999992</v>
      </c>
      <c r="J124" s="709">
        <f t="shared" si="31"/>
        <v>38577</v>
      </c>
      <c r="K124" s="709">
        <f t="shared" si="31"/>
        <v>1716635</v>
      </c>
      <c r="L124" s="709">
        <f t="shared" si="31"/>
        <v>0.13999999966472387</v>
      </c>
      <c r="M124" s="246">
        <f t="shared" si="20"/>
        <v>41043336.050000124</v>
      </c>
    </row>
    <row r="125" spans="1:13" x14ac:dyDescent="0.2">
      <c r="A125" s="736">
        <f t="shared" si="21"/>
        <v>65</v>
      </c>
      <c r="B125" s="861" t="s">
        <v>2593</v>
      </c>
      <c r="C125" s="118">
        <f t="shared" ref="C125:L125" si="32">C85-C105</f>
        <v>0.12000000011175871</v>
      </c>
      <c r="D125" s="118">
        <f t="shared" si="32"/>
        <v>-288589.53999999911</v>
      </c>
      <c r="E125" s="118">
        <f t="shared" si="32"/>
        <v>12221657.609999999</v>
      </c>
      <c r="F125" s="118">
        <f t="shared" si="32"/>
        <v>83794551.209999934</v>
      </c>
      <c r="G125" s="118">
        <f t="shared" si="32"/>
        <v>2571613.9799999897</v>
      </c>
      <c r="H125" s="118">
        <f t="shared" si="32"/>
        <v>13683088.579999998</v>
      </c>
      <c r="I125" s="118">
        <f t="shared" si="32"/>
        <v>14482279.450000003</v>
      </c>
      <c r="J125" s="118">
        <f t="shared" si="32"/>
        <v>270875</v>
      </c>
      <c r="K125" s="118">
        <f t="shared" si="32"/>
        <v>586581</v>
      </c>
      <c r="L125" s="118">
        <f t="shared" si="32"/>
        <v>0.4599999999627471</v>
      </c>
      <c r="M125" s="394">
        <f t="shared" si="20"/>
        <v>127322057.86999992</v>
      </c>
    </row>
    <row r="126" spans="1:13" x14ac:dyDescent="0.2">
      <c r="A126" s="736">
        <f t="shared" si="21"/>
        <v>66</v>
      </c>
      <c r="B126" s="740" t="s">
        <v>5</v>
      </c>
      <c r="C126" s="246">
        <f>SUM(C114:C125)</f>
        <v>-193593.72000000067</v>
      </c>
      <c r="D126" s="246">
        <f t="shared" ref="D126:L126" si="33">SUM(D114:D125)</f>
        <v>393096.91000000015</v>
      </c>
      <c r="E126" s="246">
        <f t="shared" si="33"/>
        <v>24694627.75</v>
      </c>
      <c r="F126" s="246">
        <f t="shared" si="33"/>
        <v>206460454.43999988</v>
      </c>
      <c r="G126" s="246">
        <f t="shared" si="33"/>
        <v>4511244.1500000237</v>
      </c>
      <c r="H126" s="246">
        <f t="shared" si="33"/>
        <v>46288381.430000007</v>
      </c>
      <c r="I126" s="246">
        <f t="shared" si="33"/>
        <v>27672022.619999997</v>
      </c>
      <c r="J126" s="246">
        <f t="shared" si="33"/>
        <v>2537248</v>
      </c>
      <c r="K126" s="246">
        <f t="shared" si="33"/>
        <v>2492102</v>
      </c>
      <c r="L126" s="246">
        <f t="shared" si="33"/>
        <v>1497.3599999984726</v>
      </c>
      <c r="M126" s="246">
        <f>SUM(M114:M125)</f>
        <v>314857080.93999994</v>
      </c>
    </row>
    <row r="128" spans="1:13" x14ac:dyDescent="0.2">
      <c r="B128" s="1" t="s">
        <v>2027</v>
      </c>
    </row>
    <row r="129" spans="1:13" x14ac:dyDescent="0.2">
      <c r="B129" s="653" t="s">
        <v>2028</v>
      </c>
    </row>
    <row r="130" spans="1:13" x14ac:dyDescent="0.2">
      <c r="B130" s="16"/>
      <c r="C130" s="88">
        <v>350.1</v>
      </c>
      <c r="D130" s="88">
        <v>350.2</v>
      </c>
      <c r="E130" s="88">
        <v>352</v>
      </c>
      <c r="F130" s="88">
        <v>353</v>
      </c>
      <c r="G130" s="88">
        <v>354</v>
      </c>
      <c r="H130" s="88">
        <v>355</v>
      </c>
      <c r="I130" s="88">
        <v>356</v>
      </c>
      <c r="J130" s="88">
        <v>357</v>
      </c>
      <c r="K130" s="88">
        <v>358</v>
      </c>
      <c r="L130" s="88">
        <v>359</v>
      </c>
      <c r="M130" s="3" t="s">
        <v>226</v>
      </c>
    </row>
    <row r="131" spans="1:13" x14ac:dyDescent="0.2">
      <c r="A131" s="736">
        <f>A126+1</f>
        <v>67</v>
      </c>
      <c r="B131" s="16"/>
      <c r="C131" s="7">
        <f t="shared" ref="C131:M131" si="34">C23-C11</f>
        <v>-2904527.7473104596</v>
      </c>
      <c r="D131" s="7">
        <f t="shared" si="34"/>
        <v>-2957343.6160187572</v>
      </c>
      <c r="E131" s="7">
        <f t="shared" si="34"/>
        <v>19769655.50636822</v>
      </c>
      <c r="F131" s="7">
        <f t="shared" si="34"/>
        <v>102239247.99068213</v>
      </c>
      <c r="G131" s="7">
        <f t="shared" si="34"/>
        <v>18491250</v>
      </c>
      <c r="H131" s="7">
        <f t="shared" si="34"/>
        <v>16593360</v>
      </c>
      <c r="I131" s="7">
        <f t="shared" si="34"/>
        <v>16702381</v>
      </c>
      <c r="J131" s="7">
        <f t="shared" si="34"/>
        <v>3062</v>
      </c>
      <c r="K131" s="7">
        <f t="shared" si="34"/>
        <v>-2788</v>
      </c>
      <c r="L131" s="7">
        <f t="shared" si="34"/>
        <v>914036</v>
      </c>
      <c r="M131" s="7">
        <f t="shared" si="34"/>
        <v>168848333.13372135</v>
      </c>
    </row>
    <row r="132" spans="1:13" x14ac:dyDescent="0.2">
      <c r="B132" s="16"/>
      <c r="C132" s="7"/>
      <c r="D132" s="7"/>
      <c r="E132" s="7"/>
      <c r="F132" s="7"/>
      <c r="G132" s="7"/>
      <c r="H132" s="7"/>
      <c r="I132" s="7"/>
      <c r="J132" s="7"/>
      <c r="K132" s="7"/>
      <c r="L132" s="7"/>
      <c r="M132" s="7"/>
    </row>
    <row r="133" spans="1:13" x14ac:dyDescent="0.2">
      <c r="B133" s="653" t="s">
        <v>2029</v>
      </c>
      <c r="C133" s="7"/>
      <c r="D133" s="7"/>
      <c r="E133" s="7"/>
      <c r="F133" s="7"/>
      <c r="G133" s="7"/>
      <c r="H133" s="7"/>
      <c r="I133" s="7"/>
      <c r="J133" s="7"/>
      <c r="K133" s="7"/>
      <c r="L133" s="7"/>
      <c r="M133" s="7"/>
    </row>
    <row r="134" spans="1:13" x14ac:dyDescent="0.2">
      <c r="B134" s="16"/>
      <c r="C134" s="88">
        <v>350.1</v>
      </c>
      <c r="D134" s="88">
        <v>350.2</v>
      </c>
      <c r="E134" s="88">
        <v>352</v>
      </c>
      <c r="F134" s="88">
        <v>353</v>
      </c>
      <c r="G134" s="88">
        <v>354</v>
      </c>
      <c r="H134" s="88">
        <v>355</v>
      </c>
      <c r="I134" s="88">
        <v>356</v>
      </c>
      <c r="J134" s="88">
        <v>357</v>
      </c>
      <c r="K134" s="88">
        <v>358</v>
      </c>
      <c r="L134" s="88">
        <v>359</v>
      </c>
      <c r="M134" s="3" t="s">
        <v>226</v>
      </c>
    </row>
    <row r="135" spans="1:13" x14ac:dyDescent="0.2">
      <c r="A135" s="736">
        <f>A131+1</f>
        <v>68</v>
      </c>
      <c r="B135" s="16"/>
      <c r="C135" s="7">
        <f t="shared" ref="C135:M135" si="35">C106</f>
        <v>164668.72000000067</v>
      </c>
      <c r="D135" s="7">
        <f t="shared" si="35"/>
        <v>-598078.91000000015</v>
      </c>
      <c r="E135" s="7">
        <f t="shared" si="35"/>
        <v>3690582.25</v>
      </c>
      <c r="F135" s="7">
        <f t="shared" si="35"/>
        <v>9506549.1899999809</v>
      </c>
      <c r="G135" s="7">
        <f t="shared" si="35"/>
        <v>22598222.539999977</v>
      </c>
      <c r="H135" s="7">
        <f t="shared" si="35"/>
        <v>2040202.5700000022</v>
      </c>
      <c r="I135" s="7">
        <f t="shared" si="35"/>
        <v>8950958.3800000064</v>
      </c>
      <c r="J135" s="7">
        <f t="shared" si="35"/>
        <v>0</v>
      </c>
      <c r="K135" s="7">
        <f t="shared" si="35"/>
        <v>0</v>
      </c>
      <c r="L135" s="7">
        <f t="shared" si="35"/>
        <v>919548.64000000153</v>
      </c>
      <c r="M135" s="7">
        <f t="shared" si="35"/>
        <v>47272653.379999958</v>
      </c>
    </row>
    <row r="136" spans="1:13" x14ac:dyDescent="0.2">
      <c r="B136" s="16"/>
      <c r="C136" s="7"/>
      <c r="D136" s="7"/>
      <c r="E136" s="7"/>
      <c r="F136" s="7"/>
      <c r="G136" s="7"/>
      <c r="H136" s="7"/>
      <c r="I136" s="7"/>
      <c r="J136" s="7"/>
      <c r="K136" s="7"/>
      <c r="L136" s="7"/>
      <c r="M136" s="7"/>
    </row>
    <row r="137" spans="1:13" x14ac:dyDescent="0.2">
      <c r="B137" s="653" t="s">
        <v>2030</v>
      </c>
      <c r="C137" s="7"/>
      <c r="D137" s="7"/>
      <c r="E137" s="7"/>
      <c r="F137" s="7"/>
      <c r="G137" s="7"/>
      <c r="H137" s="7"/>
      <c r="I137" s="7"/>
      <c r="J137" s="7"/>
      <c r="K137" s="7"/>
      <c r="L137" s="7"/>
      <c r="M137" s="7"/>
    </row>
    <row r="138" spans="1:13" x14ac:dyDescent="0.2">
      <c r="C138" s="88">
        <v>350.1</v>
      </c>
      <c r="D138" s="88">
        <v>350.2</v>
      </c>
      <c r="E138" s="88">
        <v>352</v>
      </c>
      <c r="F138" s="88">
        <v>353</v>
      </c>
      <c r="G138" s="88">
        <v>354</v>
      </c>
      <c r="H138" s="88">
        <v>355</v>
      </c>
      <c r="I138" s="88">
        <v>356</v>
      </c>
      <c r="J138" s="88">
        <v>357</v>
      </c>
      <c r="K138" s="88">
        <v>358</v>
      </c>
      <c r="L138" s="88">
        <v>359</v>
      </c>
      <c r="M138" s="3" t="s">
        <v>226</v>
      </c>
    </row>
    <row r="139" spans="1:13" x14ac:dyDescent="0.2">
      <c r="A139" s="736">
        <f>A135+1</f>
        <v>69</v>
      </c>
      <c r="C139" s="7">
        <f t="shared" ref="C139:M139" si="36">C131-C135</f>
        <v>-3069196.4673104603</v>
      </c>
      <c r="D139" s="7">
        <f t="shared" si="36"/>
        <v>-2359264.7060187571</v>
      </c>
      <c r="E139" s="7">
        <f t="shared" si="36"/>
        <v>16079073.25636822</v>
      </c>
      <c r="F139" s="7">
        <f t="shared" si="36"/>
        <v>92732698.800682142</v>
      </c>
      <c r="G139" s="7">
        <f t="shared" si="36"/>
        <v>-4106972.5399999768</v>
      </c>
      <c r="H139" s="7">
        <f t="shared" si="36"/>
        <v>14553157.429999998</v>
      </c>
      <c r="I139" s="7">
        <f t="shared" si="36"/>
        <v>7751422.6199999936</v>
      </c>
      <c r="J139" s="7">
        <f t="shared" si="36"/>
        <v>3062</v>
      </c>
      <c r="K139" s="7">
        <f t="shared" si="36"/>
        <v>-2788</v>
      </c>
      <c r="L139" s="7">
        <f t="shared" si="36"/>
        <v>-5512.6400000015274</v>
      </c>
      <c r="M139" s="7">
        <f t="shared" si="36"/>
        <v>121575679.75372139</v>
      </c>
    </row>
    <row r="141" spans="1:13" x14ac:dyDescent="0.2">
      <c r="B141" s="45" t="s">
        <v>2523</v>
      </c>
      <c r="C141" s="14"/>
      <c r="D141" s="14"/>
      <c r="E141" s="14"/>
      <c r="F141" s="14"/>
      <c r="G141" s="14"/>
    </row>
    <row r="142" spans="1:13" x14ac:dyDescent="0.2">
      <c r="A142" s="468"/>
      <c r="B142" s="385" t="s">
        <v>406</v>
      </c>
      <c r="C142" s="385" t="s">
        <v>390</v>
      </c>
      <c r="D142" s="385" t="s">
        <v>391</v>
      </c>
      <c r="E142" s="385" t="s">
        <v>392</v>
      </c>
      <c r="F142" s="385" t="s">
        <v>393</v>
      </c>
      <c r="G142" s="385" t="s">
        <v>394</v>
      </c>
      <c r="H142" s="88" t="s">
        <v>395</v>
      </c>
      <c r="I142" s="88" t="s">
        <v>610</v>
      </c>
      <c r="J142" s="88" t="s">
        <v>1059</v>
      </c>
      <c r="K142" s="88" t="s">
        <v>1076</v>
      </c>
      <c r="L142" s="88" t="s">
        <v>1079</v>
      </c>
      <c r="M142" s="88" t="s">
        <v>1097</v>
      </c>
    </row>
    <row r="143" spans="1:13" x14ac:dyDescent="0.2">
      <c r="A143" s="244"/>
      <c r="B143" s="610"/>
      <c r="C143" s="254"/>
      <c r="D143" s="254"/>
      <c r="E143" s="254"/>
      <c r="F143" s="754"/>
      <c r="G143" s="254"/>
      <c r="H143" s="244"/>
      <c r="I143" s="244"/>
      <c r="J143" s="244"/>
      <c r="K143" s="244"/>
      <c r="L143" s="244"/>
      <c r="M143" s="266" t="s">
        <v>1525</v>
      </c>
    </row>
    <row r="144" spans="1:13" x14ac:dyDescent="0.2">
      <c r="A144" s="244"/>
      <c r="B144" s="117"/>
      <c r="C144" s="385"/>
      <c r="D144" s="385"/>
      <c r="E144" s="254"/>
      <c r="F144" s="254"/>
      <c r="G144" s="254"/>
      <c r="H144" s="244"/>
      <c r="I144" s="244"/>
      <c r="J144" s="244"/>
      <c r="K144" s="244"/>
      <c r="L144" s="244"/>
    </row>
    <row r="145" spans="1:13" x14ac:dyDescent="0.2">
      <c r="A145" s="53"/>
      <c r="B145" s="131" t="s">
        <v>2580</v>
      </c>
      <c r="C145" s="385">
        <v>350.1</v>
      </c>
      <c r="D145" s="385">
        <v>350.2</v>
      </c>
      <c r="E145" s="385">
        <v>352</v>
      </c>
      <c r="F145" s="385">
        <v>353</v>
      </c>
      <c r="G145" s="385">
        <v>354</v>
      </c>
      <c r="H145" s="88">
        <v>355</v>
      </c>
      <c r="I145" s="88">
        <v>356</v>
      </c>
      <c r="J145" s="88">
        <v>357</v>
      </c>
      <c r="K145" s="88">
        <v>358</v>
      </c>
      <c r="L145" s="88">
        <v>359</v>
      </c>
      <c r="M145" s="3" t="s">
        <v>226</v>
      </c>
    </row>
    <row r="146" spans="1:13" x14ac:dyDescent="0.2">
      <c r="A146" s="736">
        <f>A139+1</f>
        <v>70</v>
      </c>
      <c r="B146" s="862" t="s">
        <v>2582</v>
      </c>
      <c r="C146" s="709">
        <f t="shared" ref="C146:C157" si="37">C114*($C$139/$C$126)</f>
        <v>-2.5366082909456868</v>
      </c>
      <c r="D146" s="709">
        <f t="shared" ref="D146:D157" si="38">D114*($D$139/$D$126)</f>
        <v>-1.3203823772404206</v>
      </c>
      <c r="E146" s="709">
        <f t="shared" ref="E146:E157" si="39">E114*($E$139/$E$126)</f>
        <v>491675.61841987597</v>
      </c>
      <c r="F146" s="709">
        <f t="shared" ref="F146:F157" si="40">F114*($F$139/$F$126)</f>
        <v>296860.49374614743</v>
      </c>
      <c r="G146" s="709">
        <f t="shared" ref="G146:G157" si="41">G114*($G$139/$G$126)</f>
        <v>-611948.67840160651</v>
      </c>
      <c r="H146" s="709">
        <f t="shared" ref="H146:H157" si="42">H114*($H$139/$H$126)</f>
        <v>1106222.2176179637</v>
      </c>
      <c r="I146" s="709">
        <f t="shared" ref="I146:I157" si="43">I114*($I$139/$I$126)</f>
        <v>-607980.41460776026</v>
      </c>
      <c r="J146" s="709">
        <f t="shared" ref="J146:J157" si="44">J114*($J$139/$J$126)</f>
        <v>560.37812070400685</v>
      </c>
      <c r="K146" s="709">
        <f t="shared" ref="K146:K157" si="45">K114*($K$139/$K$126)</f>
        <v>647.47531040061756</v>
      </c>
      <c r="L146" s="709">
        <f t="shared" ref="L146:L157" si="46">L114*($L$139/$L$126)</f>
        <v>-1.803970722200352</v>
      </c>
      <c r="M146" s="246">
        <f t="shared" ref="M146:M157" si="47">SUM(C146:L146)</f>
        <v>676031.42924433446</v>
      </c>
    </row>
    <row r="147" spans="1:13" x14ac:dyDescent="0.2">
      <c r="A147" s="736">
        <f t="shared" ref="A147:A158" si="48">A146+1</f>
        <v>71</v>
      </c>
      <c r="B147" s="861" t="s">
        <v>2583</v>
      </c>
      <c r="C147" s="709">
        <f t="shared" si="37"/>
        <v>-6.3415207273642178</v>
      </c>
      <c r="D147" s="709">
        <f t="shared" si="38"/>
        <v>-49586.780393814566</v>
      </c>
      <c r="E147" s="709">
        <f t="shared" si="39"/>
        <v>583703.21627355251</v>
      </c>
      <c r="F147" s="709">
        <f t="shared" si="40"/>
        <v>1549921.6591150607</v>
      </c>
      <c r="G147" s="709">
        <f t="shared" si="41"/>
        <v>-714843.60227454384</v>
      </c>
      <c r="H147" s="709">
        <f t="shared" si="42"/>
        <v>606584.43700527202</v>
      </c>
      <c r="I147" s="709">
        <f t="shared" si="43"/>
        <v>879469.34688761283</v>
      </c>
      <c r="J147" s="709">
        <f t="shared" si="44"/>
        <v>0.12792285184577937</v>
      </c>
      <c r="K147" s="709">
        <f t="shared" si="45"/>
        <v>139.04301188314122</v>
      </c>
      <c r="L147" s="709">
        <f t="shared" si="46"/>
        <v>-0.6258673933000074</v>
      </c>
      <c r="M147" s="246">
        <f t="shared" si="47"/>
        <v>2855380.4801597539</v>
      </c>
    </row>
    <row r="148" spans="1:13" x14ac:dyDescent="0.2">
      <c r="A148" s="736">
        <f t="shared" si="48"/>
        <v>72</v>
      </c>
      <c r="B148" s="861" t="s">
        <v>2584</v>
      </c>
      <c r="C148" s="709">
        <f t="shared" si="37"/>
        <v>-3.3292983781749634</v>
      </c>
      <c r="D148" s="709">
        <f t="shared" si="38"/>
        <v>-234635.79081939493</v>
      </c>
      <c r="E148" s="709">
        <f t="shared" si="39"/>
        <v>-423757.47469830292</v>
      </c>
      <c r="F148" s="709">
        <f t="shared" si="40"/>
        <v>1165924.6675564714</v>
      </c>
      <c r="G148" s="709">
        <f t="shared" si="41"/>
        <v>25971.085061578626</v>
      </c>
      <c r="H148" s="709">
        <f t="shared" si="42"/>
        <v>1434811.0944809082</v>
      </c>
      <c r="I148" s="709">
        <f t="shared" si="43"/>
        <v>18013.244363542344</v>
      </c>
      <c r="J148" s="709">
        <f t="shared" si="44"/>
        <v>-3.1546257992912006</v>
      </c>
      <c r="K148" s="709">
        <f t="shared" si="45"/>
        <v>2.451146863170127</v>
      </c>
      <c r="L148" s="709">
        <f t="shared" si="46"/>
        <v>1.6567078064259944</v>
      </c>
      <c r="M148" s="246">
        <f t="shared" si="47"/>
        <v>1986324.4498752952</v>
      </c>
    </row>
    <row r="149" spans="1:13" x14ac:dyDescent="0.2">
      <c r="A149" s="736">
        <f t="shared" si="48"/>
        <v>73</v>
      </c>
      <c r="B149" s="862" t="s">
        <v>2585</v>
      </c>
      <c r="C149" s="709">
        <f t="shared" si="37"/>
        <v>2398.046060815881</v>
      </c>
      <c r="D149" s="709">
        <f t="shared" si="38"/>
        <v>-140890.32201400222</v>
      </c>
      <c r="E149" s="709">
        <f t="shared" si="39"/>
        <v>1321865.3738058812</v>
      </c>
      <c r="F149" s="709">
        <f t="shared" si="40"/>
        <v>1713227.4854134666</v>
      </c>
      <c r="G149" s="709">
        <f t="shared" si="41"/>
        <v>-92090.674783272727</v>
      </c>
      <c r="H149" s="709">
        <f t="shared" si="42"/>
        <v>475097.62993882719</v>
      </c>
      <c r="I149" s="709">
        <f t="shared" si="43"/>
        <v>179604.38540402081</v>
      </c>
      <c r="J149" s="709">
        <f t="shared" si="44"/>
        <v>1.1718215956816203</v>
      </c>
      <c r="K149" s="709">
        <f t="shared" si="45"/>
        <v>-174.9230585264969</v>
      </c>
      <c r="L149" s="709">
        <f t="shared" si="46"/>
        <v>0.84676176902414035</v>
      </c>
      <c r="M149" s="246">
        <f t="shared" si="47"/>
        <v>3459039.0193505753</v>
      </c>
    </row>
    <row r="150" spans="1:13" x14ac:dyDescent="0.2">
      <c r="A150" s="736">
        <f t="shared" si="48"/>
        <v>74</v>
      </c>
      <c r="B150" s="861" t="s">
        <v>2586</v>
      </c>
      <c r="C150" s="709">
        <f t="shared" si="37"/>
        <v>1.5853801744585525</v>
      </c>
      <c r="D150" s="709">
        <f t="shared" si="38"/>
        <v>-2.8808342959085498</v>
      </c>
      <c r="E150" s="709">
        <f t="shared" si="39"/>
        <v>-72467.694761268416</v>
      </c>
      <c r="F150" s="709">
        <f t="shared" si="40"/>
        <v>11353277.686812559</v>
      </c>
      <c r="G150" s="709">
        <f t="shared" si="41"/>
        <v>-3273.3740192510104</v>
      </c>
      <c r="H150" s="709">
        <f t="shared" si="42"/>
        <v>-166834.18839568013</v>
      </c>
      <c r="I150" s="709">
        <f t="shared" si="43"/>
        <v>-1090665.2047177136</v>
      </c>
      <c r="J150" s="709">
        <f t="shared" si="44"/>
        <v>3.6204580711069632E-3</v>
      </c>
      <c r="K150" s="709">
        <f t="shared" si="45"/>
        <v>2424.3688388356495</v>
      </c>
      <c r="L150" s="709">
        <f t="shared" si="46"/>
        <v>1.1412875980013066</v>
      </c>
      <c r="M150" s="246">
        <f t="shared" si="47"/>
        <v>10022461.443211418</v>
      </c>
    </row>
    <row r="151" spans="1:13" x14ac:dyDescent="0.2">
      <c r="A151" s="736">
        <f t="shared" si="48"/>
        <v>75</v>
      </c>
      <c r="B151" s="861" t="s">
        <v>2587</v>
      </c>
      <c r="C151" s="709">
        <f t="shared" si="37"/>
        <v>-6.817134770842781</v>
      </c>
      <c r="D151" s="709">
        <f t="shared" si="38"/>
        <v>-448007.7836161973</v>
      </c>
      <c r="E151" s="709">
        <f t="shared" si="39"/>
        <v>-496869.61176162545</v>
      </c>
      <c r="F151" s="709">
        <f t="shared" si="40"/>
        <v>12439968.2137895</v>
      </c>
      <c r="G151" s="709">
        <f t="shared" si="41"/>
        <v>-58060.27211937619</v>
      </c>
      <c r="H151" s="709">
        <f t="shared" si="42"/>
        <v>529504.50084413984</v>
      </c>
      <c r="I151" s="709">
        <f t="shared" si="43"/>
        <v>231687.11557949299</v>
      </c>
      <c r="J151" s="709">
        <f t="shared" si="44"/>
        <v>0.20877974876716821</v>
      </c>
      <c r="K151" s="709">
        <f t="shared" si="45"/>
        <v>-4.952636770084049</v>
      </c>
      <c r="L151" s="709">
        <f t="shared" si="46"/>
        <v>-1.7303392628131029</v>
      </c>
      <c r="M151" s="246">
        <f t="shared" si="47"/>
        <v>12198208.871384878</v>
      </c>
    </row>
    <row r="152" spans="1:13" x14ac:dyDescent="0.2">
      <c r="A152" s="736">
        <f t="shared" si="48"/>
        <v>76</v>
      </c>
      <c r="B152" s="862" t="s">
        <v>2588</v>
      </c>
      <c r="C152" s="709">
        <f t="shared" si="37"/>
        <v>-3460236.5132420463</v>
      </c>
      <c r="D152" s="709">
        <f t="shared" si="38"/>
        <v>-1309938.5798561592</v>
      </c>
      <c r="E152" s="709">
        <f t="shared" si="39"/>
        <v>795532.9082916599</v>
      </c>
      <c r="F152" s="709">
        <f t="shared" si="40"/>
        <v>3653970.7823717073</v>
      </c>
      <c r="G152" s="709">
        <f t="shared" si="41"/>
        <v>-163285.44675529137</v>
      </c>
      <c r="H152" s="709">
        <f t="shared" si="42"/>
        <v>1759902.696089803</v>
      </c>
      <c r="I152" s="709">
        <f t="shared" si="43"/>
        <v>3087301.0228102356</v>
      </c>
      <c r="J152" s="709">
        <f t="shared" si="44"/>
        <v>0.16774789062795595</v>
      </c>
      <c r="K152" s="709">
        <f t="shared" si="45"/>
        <v>-1584.0606524131033</v>
      </c>
      <c r="L152" s="709">
        <f t="shared" si="46"/>
        <v>-5512.1982112563473</v>
      </c>
      <c r="M152" s="246">
        <f t="shared" si="47"/>
        <v>4356150.7785941297</v>
      </c>
    </row>
    <row r="153" spans="1:13" x14ac:dyDescent="0.2">
      <c r="A153" s="736">
        <f t="shared" si="48"/>
        <v>77</v>
      </c>
      <c r="B153" s="861" t="s">
        <v>2589</v>
      </c>
      <c r="C153" s="709">
        <f t="shared" si="37"/>
        <v>379568.55202251783</v>
      </c>
      <c r="D153" s="709">
        <f t="shared" si="38"/>
        <v>-198508.38827830405</v>
      </c>
      <c r="E153" s="709">
        <f t="shared" si="39"/>
        <v>2066331.3913840554</v>
      </c>
      <c r="F153" s="709">
        <f t="shared" si="40"/>
        <v>1760312.6049730158</v>
      </c>
      <c r="G153" s="709">
        <f t="shared" si="41"/>
        <v>-72015.949052625467</v>
      </c>
      <c r="H153" s="709">
        <f t="shared" si="42"/>
        <v>-331544.09171328536</v>
      </c>
      <c r="I153" s="709">
        <f t="shared" si="43"/>
        <v>-931168.04973747896</v>
      </c>
      <c r="J153" s="709">
        <f t="shared" si="44"/>
        <v>437.25720307987234</v>
      </c>
      <c r="K153" s="709">
        <f t="shared" si="45"/>
        <v>-1888.8531015183166</v>
      </c>
      <c r="L153" s="709">
        <f t="shared" si="46"/>
        <v>1.2149190578171472</v>
      </c>
      <c r="M153" s="246">
        <f t="shared" si="47"/>
        <v>2671525.6886185142</v>
      </c>
    </row>
    <row r="154" spans="1:13" x14ac:dyDescent="0.2">
      <c r="A154" s="736">
        <f t="shared" si="48"/>
        <v>78</v>
      </c>
      <c r="B154" s="861" t="s">
        <v>2590</v>
      </c>
      <c r="C154" s="709">
        <f t="shared" si="37"/>
        <v>5.0732165818913737</v>
      </c>
      <c r="D154" s="709">
        <f t="shared" si="38"/>
        <v>-539570.42027064261</v>
      </c>
      <c r="E154" s="709">
        <f t="shared" si="39"/>
        <v>605920.65682515583</v>
      </c>
      <c r="F154" s="709">
        <f t="shared" si="40"/>
        <v>5462577.5013016164</v>
      </c>
      <c r="G154" s="709">
        <f t="shared" si="41"/>
        <v>-588.41874729391657</v>
      </c>
      <c r="H154" s="709">
        <f t="shared" si="42"/>
        <v>1114675.5082901553</v>
      </c>
      <c r="I154" s="709">
        <f t="shared" si="43"/>
        <v>177916.9369256917</v>
      </c>
      <c r="J154" s="709">
        <f t="shared" si="44"/>
        <v>769.8143792014024</v>
      </c>
      <c r="K154" s="709">
        <f t="shared" si="45"/>
        <v>1028.4088163325578</v>
      </c>
      <c r="L154" s="709">
        <f t="shared" si="46"/>
        <v>-14736385.08047859</v>
      </c>
      <c r="M154" s="246">
        <f t="shared" si="47"/>
        <v>-7913650.0197417913</v>
      </c>
    </row>
    <row r="155" spans="1:13" x14ac:dyDescent="0.2">
      <c r="A155" s="736">
        <f t="shared" si="48"/>
        <v>79</v>
      </c>
      <c r="B155" s="862" t="s">
        <v>2591</v>
      </c>
      <c r="C155" s="709">
        <f t="shared" si="37"/>
        <v>-7.609824872837061</v>
      </c>
      <c r="D155" s="709">
        <f t="shared" si="38"/>
        <v>-855273.66832734866</v>
      </c>
      <c r="E155" s="709">
        <f t="shared" si="39"/>
        <v>2758928.1932799635</v>
      </c>
      <c r="F155" s="709">
        <f t="shared" si="40"/>
        <v>4244222.3097428773</v>
      </c>
      <c r="G155" s="709">
        <f t="shared" si="41"/>
        <v>-72423.292067546558</v>
      </c>
      <c r="H155" s="709">
        <f t="shared" si="42"/>
        <v>1302967.3783196935</v>
      </c>
      <c r="I155" s="709">
        <f t="shared" si="43"/>
        <v>272403.92265713052</v>
      </c>
      <c r="J155" s="709">
        <f t="shared" si="44"/>
        <v>922.57236659561852</v>
      </c>
      <c r="K155" s="709">
        <f t="shared" si="45"/>
        <v>-800.2709231002583</v>
      </c>
      <c r="L155" s="709">
        <f t="shared" si="46"/>
        <v>14736386.148134733</v>
      </c>
      <c r="M155" s="246">
        <f t="shared" si="47"/>
        <v>22387325.683358125</v>
      </c>
    </row>
    <row r="156" spans="1:13" x14ac:dyDescent="0.2">
      <c r="A156" s="736">
        <f t="shared" si="48"/>
        <v>80</v>
      </c>
      <c r="B156" s="862" t="s">
        <v>2592</v>
      </c>
      <c r="C156" s="709">
        <f t="shared" si="37"/>
        <v>9091.5211823179816</v>
      </c>
      <c r="D156" s="709">
        <f t="shared" si="38"/>
        <v>-314887.61184744543</v>
      </c>
      <c r="E156" s="709">
        <f t="shared" si="39"/>
        <v>490490.88637009327</v>
      </c>
      <c r="F156" s="709">
        <f t="shared" si="40"/>
        <v>11455712.665728047</v>
      </c>
      <c r="G156" s="709">
        <f t="shared" si="41"/>
        <v>-3253.1088317309777</v>
      </c>
      <c r="H156" s="709">
        <f t="shared" si="42"/>
        <v>2419780.5023306455</v>
      </c>
      <c r="I156" s="709">
        <f t="shared" si="43"/>
        <v>1478097.876072356</v>
      </c>
      <c r="J156" s="709">
        <f t="shared" si="44"/>
        <v>46.555470336364436</v>
      </c>
      <c r="K156" s="709">
        <f t="shared" si="45"/>
        <v>-1920.4584643806713</v>
      </c>
      <c r="L156" s="709">
        <f t="shared" si="46"/>
        <v>-0.51542020499595587</v>
      </c>
      <c r="M156" s="246">
        <f t="shared" si="47"/>
        <v>15533158.312590035</v>
      </c>
    </row>
    <row r="157" spans="1:13" x14ac:dyDescent="0.2">
      <c r="A157" s="736">
        <f t="shared" si="48"/>
        <v>81</v>
      </c>
      <c r="B157" s="861" t="s">
        <v>2593</v>
      </c>
      <c r="C157" s="118">
        <f t="shared" si="37"/>
        <v>1.9024562182092652</v>
      </c>
      <c r="D157" s="118">
        <f t="shared" si="38"/>
        <v>1732038.8406212248</v>
      </c>
      <c r="E157" s="118">
        <f t="shared" si="39"/>
        <v>7957719.7929391805</v>
      </c>
      <c r="F157" s="118">
        <f t="shared" si="40"/>
        <v>37636722.730131678</v>
      </c>
      <c r="G157" s="118">
        <f t="shared" si="41"/>
        <v>-2341160.8080090173</v>
      </c>
      <c r="H157" s="118">
        <f t="shared" si="42"/>
        <v>4301989.7451915517</v>
      </c>
      <c r="I157" s="118">
        <f t="shared" si="43"/>
        <v>4056742.4383628629</v>
      </c>
      <c r="J157" s="118">
        <f t="shared" si="44"/>
        <v>326.89719333703289</v>
      </c>
      <c r="K157" s="118">
        <f t="shared" si="45"/>
        <v>-656.22828760620553</v>
      </c>
      <c r="L157" s="118">
        <f t="shared" si="46"/>
        <v>-1.6935235346195487</v>
      </c>
      <c r="M157" s="394">
        <f t="shared" si="47"/>
        <v>53343723.61707589</v>
      </c>
    </row>
    <row r="158" spans="1:13" x14ac:dyDescent="0.2">
      <c r="A158" s="736">
        <f t="shared" si="48"/>
        <v>82</v>
      </c>
      <c r="B158" s="740" t="s">
        <v>5</v>
      </c>
      <c r="C158" s="246">
        <f>SUM(C146:C157)</f>
        <v>-3069196.4673104608</v>
      </c>
      <c r="D158" s="246">
        <f t="shared" ref="D158:L158" si="49">SUM(D146:D157)</f>
        <v>-2359264.7060187571</v>
      </c>
      <c r="E158" s="246">
        <f t="shared" si="49"/>
        <v>16079073.256368224</v>
      </c>
      <c r="F158" s="246">
        <f t="shared" si="49"/>
        <v>92732698.800682157</v>
      </c>
      <c r="G158" s="246">
        <f t="shared" si="49"/>
        <v>-4106972.5399999772</v>
      </c>
      <c r="H158" s="246">
        <f t="shared" si="49"/>
        <v>14553157.429999996</v>
      </c>
      <c r="I158" s="246">
        <f t="shared" si="49"/>
        <v>7751422.6199999936</v>
      </c>
      <c r="J158" s="246">
        <f t="shared" si="49"/>
        <v>3062</v>
      </c>
      <c r="K158" s="246">
        <f t="shared" si="49"/>
        <v>-2787.9999999999995</v>
      </c>
      <c r="L158" s="246">
        <f t="shared" si="49"/>
        <v>-5512.6400000006788</v>
      </c>
      <c r="M158" s="246">
        <f>SUM(M146:M157)</f>
        <v>121575679.75372115</v>
      </c>
    </row>
    <row r="160" spans="1:13" x14ac:dyDescent="0.2">
      <c r="B160" s="474" t="s">
        <v>267</v>
      </c>
    </row>
    <row r="161" spans="2:44" x14ac:dyDescent="0.2">
      <c r="B161" s="651" t="s">
        <v>2804</v>
      </c>
      <c r="C161" s="14"/>
      <c r="D161" s="14"/>
      <c r="E161" s="14"/>
      <c r="F161" s="14"/>
      <c r="G161" s="14"/>
      <c r="H161" s="14"/>
      <c r="I161" s="14"/>
      <c r="J161" s="14"/>
      <c r="K161" s="14"/>
      <c r="L161" s="14"/>
      <c r="M161" s="14"/>
    </row>
    <row r="162" spans="2:44" x14ac:dyDescent="0.2">
      <c r="B162" s="1077" t="s">
        <v>2849</v>
      </c>
      <c r="C162" s="651"/>
      <c r="D162" s="651"/>
      <c r="E162" s="651"/>
      <c r="F162" s="651"/>
      <c r="G162" s="651"/>
      <c r="H162" s="651"/>
      <c r="I162" s="14"/>
      <c r="J162" s="651"/>
      <c r="K162" s="651"/>
      <c r="L162" s="651"/>
      <c r="M162" s="651"/>
      <c r="N162" s="649"/>
      <c r="O162" s="649"/>
      <c r="P162" s="649"/>
      <c r="Q162" s="649"/>
      <c r="R162" s="649"/>
      <c r="S162" s="649"/>
      <c r="T162" s="649"/>
      <c r="U162" s="649"/>
      <c r="V162" s="649"/>
      <c r="W162" s="649"/>
      <c r="X162" s="649"/>
      <c r="Y162" s="649"/>
      <c r="Z162" s="649"/>
      <c r="AA162" s="649"/>
      <c r="AB162" s="649"/>
      <c r="AC162" s="649"/>
      <c r="AD162" s="649"/>
      <c r="AE162" s="649"/>
      <c r="AF162" s="649"/>
      <c r="AG162" s="649"/>
      <c r="AH162" s="649"/>
      <c r="AI162" s="649"/>
      <c r="AJ162" s="649"/>
      <c r="AK162" s="649"/>
      <c r="AL162" s="649"/>
      <c r="AM162" s="649"/>
      <c r="AN162" s="649"/>
      <c r="AO162" s="649"/>
      <c r="AP162" s="649"/>
      <c r="AQ162" s="649"/>
      <c r="AR162" s="649"/>
    </row>
    <row r="163" spans="2:44" x14ac:dyDescent="0.2">
      <c r="B163" s="14" t="s">
        <v>2805</v>
      </c>
      <c r="C163" s="14"/>
      <c r="D163" s="14"/>
      <c r="E163" s="14"/>
      <c r="F163" s="14"/>
      <c r="G163" s="14"/>
      <c r="H163" s="14"/>
      <c r="I163" s="14"/>
      <c r="J163" s="14"/>
      <c r="K163" s="14"/>
      <c r="L163" s="14"/>
      <c r="M163" s="14"/>
    </row>
    <row r="164" spans="2:44" x14ac:dyDescent="0.2">
      <c r="B164" s="648" t="s">
        <v>2806</v>
      </c>
      <c r="C164" s="14"/>
      <c r="D164" s="14"/>
      <c r="E164" s="14"/>
      <c r="F164" s="14"/>
      <c r="G164" s="14"/>
      <c r="H164" s="14"/>
      <c r="I164" s="14"/>
      <c r="J164" s="14"/>
      <c r="K164" s="14"/>
      <c r="L164" s="14"/>
      <c r="M164" s="14"/>
    </row>
    <row r="165" spans="2:44" x14ac:dyDescent="0.2">
      <c r="B165" s="648" t="s">
        <v>2808</v>
      </c>
      <c r="C165" s="14"/>
      <c r="D165" s="14"/>
      <c r="E165" s="14"/>
      <c r="F165" s="14"/>
      <c r="G165" s="14"/>
      <c r="H165" s="14"/>
      <c r="I165" s="14"/>
      <c r="J165" s="14"/>
      <c r="K165" s="14"/>
      <c r="L165" s="14"/>
      <c r="M165" s="14"/>
    </row>
    <row r="166" spans="2:44" x14ac:dyDescent="0.2">
      <c r="B166" s="120" t="s">
        <v>2807</v>
      </c>
      <c r="C166" s="14"/>
      <c r="D166" s="14"/>
      <c r="E166" s="14"/>
      <c r="F166" s="14"/>
      <c r="G166" s="14"/>
      <c r="H166" s="14"/>
      <c r="I166" s="14"/>
      <c r="J166" s="14"/>
      <c r="K166" s="14"/>
      <c r="L166" s="14"/>
      <c r="M166" s="14"/>
    </row>
    <row r="167" spans="2:44" x14ac:dyDescent="0.2">
      <c r="B167" s="651" t="s">
        <v>2809</v>
      </c>
      <c r="C167" s="14"/>
      <c r="D167" s="14"/>
      <c r="E167" s="14"/>
      <c r="F167" s="14"/>
      <c r="G167" s="14"/>
      <c r="H167" s="14"/>
      <c r="I167" s="14"/>
      <c r="J167" s="14"/>
      <c r="K167" s="14"/>
      <c r="L167" s="14"/>
      <c r="M167" s="14"/>
    </row>
    <row r="168" spans="2:44" x14ac:dyDescent="0.2">
      <c r="B168" s="648" t="s">
        <v>2810</v>
      </c>
      <c r="C168" s="14"/>
      <c r="D168" s="14"/>
      <c r="E168" s="14"/>
      <c r="F168" s="14"/>
      <c r="G168" s="14"/>
      <c r="H168" s="14"/>
      <c r="I168" s="14"/>
      <c r="J168" s="14"/>
      <c r="K168" s="14"/>
      <c r="L168" s="14"/>
      <c r="M168" s="14"/>
    </row>
    <row r="169" spans="2:44" x14ac:dyDescent="0.2">
      <c r="B169" s="648" t="s">
        <v>2811</v>
      </c>
      <c r="C169" s="14"/>
      <c r="D169" s="14"/>
      <c r="E169" s="14"/>
      <c r="F169" s="14"/>
      <c r="G169" s="14"/>
      <c r="H169" s="14"/>
      <c r="I169" s="14"/>
      <c r="J169" s="14"/>
      <c r="K169" s="14"/>
      <c r="L169" s="14"/>
      <c r="M169" s="14"/>
    </row>
    <row r="170" spans="2:44" x14ac:dyDescent="0.2">
      <c r="B170" s="648" t="s">
        <v>2812</v>
      </c>
      <c r="C170" s="14"/>
      <c r="D170" s="14"/>
      <c r="E170" s="14"/>
      <c r="F170" s="14"/>
      <c r="G170" s="14"/>
      <c r="H170" s="14"/>
      <c r="I170" s="14"/>
      <c r="J170" s="14"/>
      <c r="K170" s="14"/>
      <c r="L170" s="14"/>
      <c r="M170" s="14"/>
    </row>
    <row r="171" spans="2:44" x14ac:dyDescent="0.2">
      <c r="B171" s="651" t="str">
        <f>"2) Amounts on Line "&amp;A34&amp;" must match 6-Plant Study amounts for Distribution Plant - ISO for previous year."</f>
        <v>2) Amounts on Line 15 must match 6-Plant Study amounts for Distribution Plant - ISO for previous year.</v>
      </c>
      <c r="C171" s="14"/>
      <c r="D171" s="14"/>
      <c r="E171" s="14"/>
      <c r="F171" s="14"/>
      <c r="G171" s="14"/>
      <c r="H171" s="14"/>
      <c r="I171" s="14"/>
      <c r="J171" s="14"/>
      <c r="K171" s="14"/>
      <c r="L171" s="14"/>
      <c r="M171" s="14"/>
    </row>
    <row r="172" spans="2:44" x14ac:dyDescent="0.2">
      <c r="B172" s="648" t="str">
        <f>"Amounts on Line "&amp;A35&amp;" must match amounts on 6-PlantStudy for Distribution Plant - ISO."</f>
        <v>Amounts on Line 16 must match amounts on 6-PlantStudy for Distribution Plant - ISO.</v>
      </c>
      <c r="C172" s="14"/>
      <c r="D172" s="14"/>
      <c r="E172" s="14"/>
      <c r="F172" s="14"/>
      <c r="G172" s="14"/>
      <c r="H172" s="14"/>
      <c r="I172" s="14"/>
      <c r="J172" s="14"/>
      <c r="K172" s="14"/>
      <c r="L172" s="14"/>
      <c r="M172" s="14"/>
    </row>
    <row r="173" spans="2:44" x14ac:dyDescent="0.2">
      <c r="B173" s="651" t="s">
        <v>3158</v>
      </c>
      <c r="C173" s="14"/>
      <c r="D173" s="14"/>
      <c r="E173" s="14"/>
      <c r="F173" s="14"/>
      <c r="G173" s="14"/>
      <c r="H173" s="14"/>
      <c r="I173" s="14"/>
      <c r="J173" s="14"/>
      <c r="K173" s="14"/>
      <c r="L173" s="14"/>
      <c r="M173" s="14"/>
    </row>
    <row r="174" spans="2:44" x14ac:dyDescent="0.2">
      <c r="B174" s="14"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4"/>
      <c r="D174" s="14"/>
      <c r="E174" s="14"/>
      <c r="F174" s="14"/>
      <c r="G174" s="14"/>
      <c r="H174" s="14"/>
      <c r="I174" s="14"/>
      <c r="J174" s="14"/>
      <c r="K174" s="14"/>
      <c r="L174" s="14"/>
      <c r="M174" s="14"/>
    </row>
    <row r="175" spans="2:44" x14ac:dyDescent="0.2">
      <c r="B175" s="651" t="str">
        <f>"5) Amount in matrix on lines "&amp;A74&amp;" to "&amp;A85&amp;" minus amount in matrix on lines "&amp;A94&amp;" to "&amp;A105&amp;""</f>
        <v>5) Amount in matrix on lines 28 to 39 minus amount in matrix on lines 41 to 52</v>
      </c>
      <c r="C175" s="14"/>
      <c r="D175" s="14"/>
      <c r="E175" s="14"/>
      <c r="F175" s="14"/>
      <c r="G175" s="14"/>
      <c r="H175" s="14"/>
      <c r="I175" s="14"/>
      <c r="J175" s="14"/>
      <c r="K175" s="14"/>
      <c r="L175" s="14"/>
      <c r="M175" s="14"/>
    </row>
    <row r="176" spans="2:44" x14ac:dyDescent="0.2">
      <c r="B176" s="14" t="str">
        <f>"6) Amount on Line "&amp;A23&amp;" less amount on Line "&amp;A11&amp;" for each account."</f>
        <v>6) Amount on Line 13 less amount on Line 1 for each account.</v>
      </c>
      <c r="C176" s="14"/>
      <c r="D176" s="14"/>
      <c r="E176" s="14"/>
      <c r="F176" s="14"/>
      <c r="G176" s="14"/>
      <c r="H176" s="14"/>
      <c r="I176" s="14"/>
      <c r="J176" s="14"/>
      <c r="K176" s="14"/>
      <c r="L176" s="14"/>
      <c r="M176" s="14"/>
    </row>
    <row r="177" spans="2:13" x14ac:dyDescent="0.2">
      <c r="B177" s="14" t="str">
        <f>"7) Line "&amp;A106&amp;""</f>
        <v>7) Line 53</v>
      </c>
      <c r="C177" s="14"/>
      <c r="D177" s="14"/>
      <c r="E177" s="14"/>
      <c r="F177" s="14"/>
      <c r="G177" s="14"/>
      <c r="H177" s="14"/>
      <c r="I177" s="14"/>
      <c r="J177" s="14"/>
      <c r="K177" s="14"/>
      <c r="L177" s="14"/>
      <c r="M177" s="14"/>
    </row>
    <row r="178" spans="2:13" x14ac:dyDescent="0.2">
      <c r="B178" s="14" t="str">
        <f>"8) Amount on Line "&amp;A131&amp;" less amount on Line "&amp;A135&amp;" for each account."</f>
        <v>8) Amount on Line 67 less amount on Line 68 for each account.</v>
      </c>
      <c r="C178" s="14"/>
      <c r="D178" s="14"/>
      <c r="E178" s="14"/>
      <c r="F178" s="14"/>
      <c r="G178" s="14"/>
      <c r="H178" s="14"/>
      <c r="I178" s="14"/>
      <c r="J178" s="14"/>
      <c r="K178" s="14"/>
      <c r="L178" s="14"/>
      <c r="M178" s="14"/>
    </row>
    <row r="179" spans="2:13" x14ac:dyDescent="0.2">
      <c r="B179" s="651" t="str">
        <f>"9) For each column (FERC Account) divide Line "&amp;A139&amp;" by Line "&amp;A126&amp;" to arrive at a ratio for each column."</f>
        <v>9) For each column (FERC Account) divide Line 69 by Line 66 to arrive at a ratio for each column.</v>
      </c>
      <c r="C179" s="14"/>
      <c r="D179" s="14"/>
      <c r="E179" s="14"/>
      <c r="F179" s="14"/>
      <c r="G179" s="14"/>
      <c r="H179" s="14"/>
      <c r="I179" s="14"/>
      <c r="J179" s="14"/>
      <c r="K179" s="14"/>
      <c r="L179" s="14"/>
      <c r="M179" s="14"/>
    </row>
    <row r="180" spans="2:13" x14ac:dyDescent="0.2">
      <c r="B180" s="651" t="str">
        <f>"Apply the ratio of each column to each monthly value from Lines "&amp;A114&amp;"-"&amp;A125&amp;" to calculate the values for"</f>
        <v>Apply the ratio of each column to each monthly value from Lines 54-65 to calculate the values for</v>
      </c>
      <c r="C180" s="14"/>
      <c r="D180" s="14"/>
      <c r="E180" s="14"/>
      <c r="F180" s="14"/>
      <c r="G180" s="14"/>
      <c r="H180" s="14"/>
      <c r="I180" s="14"/>
      <c r="J180" s="14"/>
      <c r="K180" s="14"/>
      <c r="L180" s="14"/>
      <c r="M180" s="14"/>
    </row>
    <row r="181" spans="2:13" x14ac:dyDescent="0.2">
      <c r="B181" s="651" t="str">
        <f>"the corresponsing months listed in Lines "&amp;A146&amp;"-"&amp;A157&amp;"."</f>
        <v>the corresponsing months listed in Lines 70-81.</v>
      </c>
      <c r="C181" s="14"/>
      <c r="D181" s="14"/>
      <c r="E181" s="14"/>
      <c r="F181" s="14"/>
      <c r="G181" s="14"/>
      <c r="H181" s="14"/>
      <c r="I181" s="14"/>
      <c r="J181" s="14"/>
      <c r="K181" s="14"/>
      <c r="L181" s="14"/>
      <c r="M181" s="14"/>
    </row>
    <row r="182" spans="2:13" x14ac:dyDescent="0.2">
      <c r="B182" s="14"/>
      <c r="C182" s="14"/>
      <c r="D182" s="14"/>
      <c r="E182" s="14"/>
      <c r="F182" s="14"/>
      <c r="G182" s="14"/>
      <c r="H182" s="14"/>
      <c r="I182" s="14"/>
      <c r="J182" s="14"/>
      <c r="K182" s="14"/>
      <c r="L182" s="14"/>
      <c r="M182" s="14"/>
    </row>
    <row r="183" spans="2:13" x14ac:dyDescent="0.2">
      <c r="B183" s="14"/>
      <c r="C183" s="14"/>
      <c r="D183" s="14"/>
      <c r="E183" s="14"/>
      <c r="F183" s="14"/>
      <c r="G183" s="14"/>
      <c r="H183" s="14"/>
      <c r="I183" s="14"/>
      <c r="J183" s="14"/>
      <c r="K183" s="14"/>
      <c r="L183" s="14"/>
      <c r="M183" s="14"/>
    </row>
    <row r="184" spans="2:13" x14ac:dyDescent="0.2">
      <c r="B184" s="14"/>
      <c r="C184" s="14"/>
      <c r="D184" s="14"/>
      <c r="E184" s="14"/>
      <c r="F184" s="14"/>
      <c r="G184" s="14"/>
      <c r="H184" s="14"/>
      <c r="I184" s="14"/>
      <c r="J184" s="14"/>
      <c r="K184" s="14"/>
      <c r="L184" s="14"/>
      <c r="M184" s="14"/>
    </row>
  </sheetData>
  <phoneticPr fontId="10" type="noConversion"/>
  <pageMargins left="0.75" right="0.75" top="1" bottom="1" header="0.5" footer="0.5"/>
  <pageSetup scale="70" orientation="landscape" cellComments="asDisplayed" r:id="rId1"/>
  <headerFooter alignWithMargins="0">
    <oddHeader>&amp;CSchedule 6
Plant In Service
&amp;"Arial,Bold"Exhibit G-1</oddHeader>
    <oddFooter>&amp;R&amp;A</oddFooter>
  </headerFooter>
  <rowBreaks count="3" manualBreakCount="3">
    <brk id="37" max="16383" man="1"/>
    <brk id="87" max="16383" man="1"/>
    <brk id="1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85" zoomScaleNormal="85" workbookViewId="0"/>
  </sheetViews>
  <sheetFormatPr defaultRowHeight="12.75" x14ac:dyDescent="0.2"/>
  <cols>
    <col min="1" max="1" width="4.7109375" customWidth="1"/>
    <col min="2" max="2" width="25.7109375" style="133" customWidth="1"/>
    <col min="3" max="5" width="15.7109375" style="133" customWidth="1"/>
    <col min="6" max="6" width="12.28515625" style="133" customWidth="1"/>
    <col min="8" max="8" width="15.5703125" customWidth="1"/>
  </cols>
  <sheetData>
    <row r="1" spans="1:8" x14ac:dyDescent="0.2">
      <c r="A1" s="1" t="s">
        <v>490</v>
      </c>
      <c r="B1" s="180"/>
      <c r="C1" s="180"/>
      <c r="D1" s="180"/>
      <c r="E1" s="181" t="s">
        <v>510</v>
      </c>
      <c r="F1" s="196"/>
      <c r="G1" s="12"/>
    </row>
    <row r="2" spans="1:8" x14ac:dyDescent="0.2">
      <c r="B2" s="180"/>
      <c r="C2" s="180"/>
      <c r="G2" s="12"/>
    </row>
    <row r="3" spans="1:8" x14ac:dyDescent="0.2">
      <c r="A3" s="1082" t="s">
        <v>2529</v>
      </c>
      <c r="B3" s="1083"/>
      <c r="C3" s="1083"/>
      <c r="D3" s="1083"/>
      <c r="E3" s="1084" t="s">
        <v>2524</v>
      </c>
      <c r="F3" s="181">
        <v>2010</v>
      </c>
      <c r="G3" s="12"/>
    </row>
    <row r="4" spans="1:8" x14ac:dyDescent="0.2">
      <c r="A4" s="178"/>
      <c r="B4" s="180"/>
      <c r="C4" s="180"/>
      <c r="D4" s="180"/>
      <c r="E4" s="180"/>
      <c r="F4" s="180"/>
      <c r="G4" s="12"/>
    </row>
    <row r="5" spans="1:8" x14ac:dyDescent="0.2">
      <c r="B5" s="178"/>
      <c r="C5" s="88" t="s">
        <v>406</v>
      </c>
      <c r="E5" s="88" t="s">
        <v>390</v>
      </c>
      <c r="F5" s="88" t="s">
        <v>391</v>
      </c>
      <c r="G5" s="12"/>
    </row>
    <row r="6" spans="1:8" x14ac:dyDescent="0.2">
      <c r="B6" s="178"/>
      <c r="C6" s="88"/>
      <c r="E6" s="88"/>
      <c r="F6" s="88"/>
      <c r="G6" s="12"/>
    </row>
    <row r="7" spans="1:8" x14ac:dyDescent="0.2">
      <c r="A7" s="53" t="s">
        <v>372</v>
      </c>
      <c r="B7" s="178"/>
      <c r="C7" s="179" t="s">
        <v>226</v>
      </c>
      <c r="D7" s="179"/>
      <c r="E7" s="179" t="s">
        <v>1280</v>
      </c>
      <c r="F7" s="179" t="s">
        <v>492</v>
      </c>
      <c r="G7" s="12"/>
    </row>
    <row r="8" spans="1:8" x14ac:dyDescent="0.2">
      <c r="A8" s="2">
        <v>1</v>
      </c>
      <c r="B8" s="171" t="s">
        <v>113</v>
      </c>
      <c r="C8" s="171" t="s">
        <v>427</v>
      </c>
      <c r="D8" s="171" t="s">
        <v>496</v>
      </c>
      <c r="E8" s="171" t="s">
        <v>1281</v>
      </c>
      <c r="F8" s="171" t="s">
        <v>493</v>
      </c>
      <c r="G8" s="182" t="s">
        <v>198</v>
      </c>
    </row>
    <row r="9" spans="1:8" ht="12.75" customHeight="1" x14ac:dyDescent="0.2">
      <c r="A9" s="2">
        <f>A8+1</f>
        <v>2</v>
      </c>
      <c r="B9" s="172" t="s">
        <v>486</v>
      </c>
      <c r="C9" s="183"/>
      <c r="D9" s="183"/>
      <c r="E9" s="183"/>
      <c r="F9" s="184"/>
      <c r="G9" s="12"/>
    </row>
    <row r="10" spans="1:8" x14ac:dyDescent="0.2">
      <c r="A10" s="2">
        <f t="shared" ref="A10:A28" si="0">A9+1</f>
        <v>3</v>
      </c>
      <c r="B10" s="173">
        <v>352</v>
      </c>
      <c r="C10" s="185">
        <v>297909732</v>
      </c>
      <c r="D10" s="165" t="s">
        <v>497</v>
      </c>
      <c r="E10" s="738">
        <v>175457663</v>
      </c>
      <c r="F10" s="167">
        <f>E10/C10</f>
        <v>0.58896250828086405</v>
      </c>
      <c r="G10" s="12"/>
      <c r="H10" s="145"/>
    </row>
    <row r="11" spans="1:8" x14ac:dyDescent="0.2">
      <c r="A11" s="2">
        <f t="shared" si="0"/>
        <v>4</v>
      </c>
      <c r="B11" s="173">
        <v>353</v>
      </c>
      <c r="C11" s="123">
        <v>3214736591</v>
      </c>
      <c r="D11" s="165" t="s">
        <v>498</v>
      </c>
      <c r="E11" s="123">
        <v>1680213303</v>
      </c>
      <c r="F11" s="168">
        <f>E11/C11</f>
        <v>0.52265971268188427</v>
      </c>
      <c r="G11" s="12"/>
    </row>
    <row r="12" spans="1:8" x14ac:dyDescent="0.2">
      <c r="A12" s="2">
        <f t="shared" si="0"/>
        <v>5</v>
      </c>
      <c r="B12" s="175" t="s">
        <v>481</v>
      </c>
      <c r="C12" s="163">
        <f>SUM(C10:C11)</f>
        <v>3512646323</v>
      </c>
      <c r="D12" s="13" t="str">
        <f>"L "&amp;A10&amp;" + L "&amp;A11&amp;""</f>
        <v>L 3 + L 4</v>
      </c>
      <c r="E12" s="1078">
        <f>SUM(E10:E11)</f>
        <v>1855670966</v>
      </c>
      <c r="F12" s="167">
        <f>E12/C12</f>
        <v>0.52828289425254504</v>
      </c>
      <c r="G12" s="12"/>
    </row>
    <row r="13" spans="1:8" x14ac:dyDescent="0.2">
      <c r="A13" s="2">
        <f t="shared" si="0"/>
        <v>6</v>
      </c>
      <c r="B13" s="186"/>
      <c r="C13" s="187"/>
      <c r="D13" s="187"/>
      <c r="E13" s="1079"/>
      <c r="F13" s="167"/>
      <c r="G13" s="12"/>
    </row>
    <row r="14" spans="1:8" x14ac:dyDescent="0.2">
      <c r="A14" s="2">
        <f t="shared" si="0"/>
        <v>7</v>
      </c>
      <c r="B14" s="174" t="s">
        <v>482</v>
      </c>
      <c r="C14" s="188"/>
      <c r="D14" s="188"/>
      <c r="E14" s="1080"/>
      <c r="F14" s="189"/>
      <c r="G14" s="12"/>
    </row>
    <row r="15" spans="1:8" x14ac:dyDescent="0.2">
      <c r="A15" s="2">
        <f t="shared" si="0"/>
        <v>8</v>
      </c>
      <c r="B15" s="173">
        <v>350</v>
      </c>
      <c r="C15" s="162">
        <v>235893513</v>
      </c>
      <c r="D15" s="165" t="s">
        <v>499</v>
      </c>
      <c r="E15" s="1032">
        <v>153978278</v>
      </c>
      <c r="F15" s="167">
        <f>E15/C15</f>
        <v>0.65274485949937933</v>
      </c>
      <c r="G15" s="12"/>
    </row>
    <row r="16" spans="1:8" x14ac:dyDescent="0.2">
      <c r="A16" s="2">
        <f t="shared" si="0"/>
        <v>9</v>
      </c>
      <c r="B16" s="173"/>
      <c r="C16" s="163"/>
      <c r="D16" s="163"/>
      <c r="E16" s="1078"/>
      <c r="F16" s="167"/>
      <c r="G16" s="12"/>
    </row>
    <row r="17" spans="1:7" x14ac:dyDescent="0.2">
      <c r="A17" s="2">
        <f t="shared" si="0"/>
        <v>10</v>
      </c>
      <c r="B17" s="174" t="s">
        <v>483</v>
      </c>
      <c r="C17" s="163">
        <f>C12+C15</f>
        <v>3748539836</v>
      </c>
      <c r="D17" s="13" t="str">
        <f>"L "&amp;A12&amp;" + L "&amp;A15&amp;""</f>
        <v>L 5 + L 8</v>
      </c>
      <c r="E17" s="1078">
        <f>E12+E15</f>
        <v>2009649244</v>
      </c>
      <c r="F17" s="167">
        <f>E17/C17</f>
        <v>0.5361152160368825</v>
      </c>
      <c r="G17" s="12"/>
    </row>
    <row r="18" spans="1:7" x14ac:dyDescent="0.2">
      <c r="A18" s="2">
        <f t="shared" si="0"/>
        <v>11</v>
      </c>
      <c r="B18" s="186"/>
      <c r="C18" s="187"/>
      <c r="D18" s="187"/>
      <c r="E18" s="1079"/>
      <c r="F18" s="167"/>
      <c r="G18" s="12"/>
    </row>
    <row r="19" spans="1:7" x14ac:dyDescent="0.2">
      <c r="A19" s="2">
        <f t="shared" si="0"/>
        <v>12</v>
      </c>
      <c r="B19" s="174" t="s">
        <v>484</v>
      </c>
      <c r="C19" s="187"/>
      <c r="D19" s="187"/>
      <c r="E19" s="1079"/>
      <c r="F19" s="167"/>
      <c r="G19" s="12"/>
    </row>
    <row r="20" spans="1:7" x14ac:dyDescent="0.2">
      <c r="A20" s="2">
        <f t="shared" si="0"/>
        <v>13</v>
      </c>
      <c r="B20" s="173">
        <v>354</v>
      </c>
      <c r="C20" s="190">
        <v>675240065</v>
      </c>
      <c r="D20" s="165" t="s">
        <v>500</v>
      </c>
      <c r="E20" s="1081">
        <v>625307190</v>
      </c>
      <c r="F20" s="191">
        <f>E20/C20</f>
        <v>0.92605167023079416</v>
      </c>
      <c r="G20" s="12"/>
    </row>
    <row r="21" spans="1:7" x14ac:dyDescent="0.2">
      <c r="A21" s="2">
        <f t="shared" si="0"/>
        <v>14</v>
      </c>
      <c r="B21" s="173">
        <v>355</v>
      </c>
      <c r="C21" s="190">
        <v>517953902</v>
      </c>
      <c r="D21" s="165" t="s">
        <v>501</v>
      </c>
      <c r="E21" s="1081">
        <v>113770199</v>
      </c>
      <c r="F21" s="191">
        <f t="shared" ref="F21:F26" si="1">E21/C21</f>
        <v>0.21965313623605059</v>
      </c>
      <c r="G21" s="12"/>
    </row>
    <row r="22" spans="1:7" x14ac:dyDescent="0.2">
      <c r="A22" s="2">
        <f t="shared" si="0"/>
        <v>15</v>
      </c>
      <c r="B22" s="173">
        <v>356</v>
      </c>
      <c r="C22" s="190">
        <v>614853418</v>
      </c>
      <c r="D22" s="165" t="s">
        <v>502</v>
      </c>
      <c r="E22" s="1081">
        <v>422173397</v>
      </c>
      <c r="F22" s="191">
        <f t="shared" si="1"/>
        <v>0.68662446144196276</v>
      </c>
      <c r="G22" s="12"/>
    </row>
    <row r="23" spans="1:7" x14ac:dyDescent="0.2">
      <c r="A23" s="2">
        <f t="shared" si="0"/>
        <v>16</v>
      </c>
      <c r="B23" s="173">
        <v>357</v>
      </c>
      <c r="C23" s="190">
        <v>42767669</v>
      </c>
      <c r="D23" s="165" t="s">
        <v>503</v>
      </c>
      <c r="E23" s="1081">
        <v>284096</v>
      </c>
      <c r="F23" s="191">
        <f t="shared" si="1"/>
        <v>6.6427749429130685E-3</v>
      </c>
      <c r="G23" s="12"/>
    </row>
    <row r="24" spans="1:7" x14ac:dyDescent="0.2">
      <c r="A24" s="2">
        <f t="shared" si="0"/>
        <v>17</v>
      </c>
      <c r="B24" s="173">
        <v>358</v>
      </c>
      <c r="C24" s="190">
        <v>175961590</v>
      </c>
      <c r="D24" s="165" t="s">
        <v>504</v>
      </c>
      <c r="E24" s="1081">
        <v>2302928</v>
      </c>
      <c r="F24" s="191">
        <f t="shared" si="1"/>
        <v>1.3087674418036346E-2</v>
      </c>
      <c r="G24" s="12"/>
    </row>
    <row r="25" spans="1:7" x14ac:dyDescent="0.2">
      <c r="A25" s="2">
        <f t="shared" si="0"/>
        <v>18</v>
      </c>
      <c r="B25" s="173">
        <v>359</v>
      </c>
      <c r="C25" s="192">
        <v>31912655</v>
      </c>
      <c r="D25" s="165" t="s">
        <v>505</v>
      </c>
      <c r="E25" s="192">
        <v>28619068</v>
      </c>
      <c r="F25" s="193">
        <f t="shared" si="1"/>
        <v>0.89679370143286419</v>
      </c>
      <c r="G25" s="12"/>
    </row>
    <row r="26" spans="1:7" x14ac:dyDescent="0.2">
      <c r="A26" s="2">
        <f t="shared" si="0"/>
        <v>19</v>
      </c>
      <c r="B26" s="175" t="s">
        <v>485</v>
      </c>
      <c r="C26" s="163">
        <f>SUM(C20:C25)</f>
        <v>2058689299</v>
      </c>
      <c r="D26" s="166" t="str">
        <f>"Sum L"&amp;A20&amp;" to L"&amp;A25&amp;""</f>
        <v>Sum L13 to L18</v>
      </c>
      <c r="E26" s="1078">
        <f>SUM(E20:E25)</f>
        <v>1192456878</v>
      </c>
      <c r="F26" s="167">
        <f t="shared" si="1"/>
        <v>0.57923110523731347</v>
      </c>
      <c r="G26" s="12"/>
    </row>
    <row r="27" spans="1:7" x14ac:dyDescent="0.2">
      <c r="A27" s="2">
        <f t="shared" si="0"/>
        <v>20</v>
      </c>
      <c r="B27" s="194"/>
      <c r="C27" s="163"/>
      <c r="D27" s="163"/>
      <c r="E27" s="163"/>
      <c r="F27" s="167"/>
      <c r="G27" s="12"/>
    </row>
    <row r="28" spans="1:7" x14ac:dyDescent="0.2">
      <c r="A28" s="2">
        <f t="shared" si="0"/>
        <v>21</v>
      </c>
      <c r="B28" s="195" t="s">
        <v>495</v>
      </c>
      <c r="C28" s="169">
        <f>C17+C26</f>
        <v>5807229135</v>
      </c>
      <c r="D28" s="13" t="str">
        <f>"L "&amp;A17&amp;" + L "&amp;A26&amp;""</f>
        <v>L 10 + L 19</v>
      </c>
      <c r="E28" s="169">
        <f>E17+E26</f>
        <v>3202106122</v>
      </c>
      <c r="F28" s="170">
        <f>E28/C28</f>
        <v>0.55139999603270351</v>
      </c>
      <c r="G28" s="12" t="s">
        <v>407</v>
      </c>
    </row>
    <row r="29" spans="1:7" x14ac:dyDescent="0.2">
      <c r="A29" s="2"/>
      <c r="B29" s="138"/>
      <c r="C29" s="134"/>
      <c r="D29" s="134"/>
      <c r="E29" s="134"/>
      <c r="F29" s="137"/>
    </row>
    <row r="30" spans="1:7" x14ac:dyDescent="0.2">
      <c r="A30" s="2"/>
      <c r="B30" s="135"/>
      <c r="C30" s="136"/>
      <c r="D30" s="136"/>
      <c r="E30" s="857"/>
      <c r="F30" s="136"/>
    </row>
    <row r="31" spans="1:7" x14ac:dyDescent="0.2">
      <c r="A31" s="178" t="s">
        <v>494</v>
      </c>
      <c r="C31" s="136"/>
      <c r="D31" s="136"/>
      <c r="E31" s="136"/>
      <c r="F31" s="136"/>
    </row>
    <row r="32" spans="1:7" x14ac:dyDescent="0.2">
      <c r="A32" s="2"/>
      <c r="B32" s="141"/>
      <c r="C32" s="136"/>
      <c r="D32" s="136"/>
      <c r="E32" s="136"/>
      <c r="F32" s="136"/>
    </row>
    <row r="33" spans="1:9" x14ac:dyDescent="0.2">
      <c r="A33" s="53" t="s">
        <v>372</v>
      </c>
      <c r="B33" s="178"/>
      <c r="C33" s="179" t="s">
        <v>226</v>
      </c>
      <c r="D33" s="179"/>
      <c r="E33" s="179" t="s">
        <v>348</v>
      </c>
      <c r="F33" s="179" t="s">
        <v>492</v>
      </c>
    </row>
    <row r="34" spans="1:9" x14ac:dyDescent="0.2">
      <c r="A34" s="2">
        <f>A28+1</f>
        <v>22</v>
      </c>
      <c r="B34" s="171" t="s">
        <v>113</v>
      </c>
      <c r="C34" s="171" t="s">
        <v>427</v>
      </c>
      <c r="D34" s="171" t="s">
        <v>496</v>
      </c>
      <c r="E34" s="171" t="s">
        <v>1281</v>
      </c>
      <c r="F34" s="171" t="s">
        <v>493</v>
      </c>
    </row>
    <row r="35" spans="1:9" x14ac:dyDescent="0.2">
      <c r="A35" s="2">
        <f t="shared" ref="A35:A42" si="2">A34+1</f>
        <v>23</v>
      </c>
      <c r="B35" s="172" t="s">
        <v>487</v>
      </c>
      <c r="C35" s="134"/>
      <c r="D35" s="134"/>
      <c r="E35" s="134"/>
      <c r="F35" s="137"/>
    </row>
    <row r="36" spans="1:9" x14ac:dyDescent="0.2">
      <c r="A36" s="2">
        <f t="shared" si="2"/>
        <v>24</v>
      </c>
      <c r="B36" s="173">
        <v>360</v>
      </c>
      <c r="C36" s="162">
        <v>101703036</v>
      </c>
      <c r="D36" s="165" t="s">
        <v>506</v>
      </c>
      <c r="E36" s="162">
        <v>25780</v>
      </c>
      <c r="F36" s="167">
        <f>E36/C36</f>
        <v>2.5348309169452918E-4</v>
      </c>
    </row>
    <row r="37" spans="1:9" x14ac:dyDescent="0.2">
      <c r="A37" s="2">
        <f t="shared" si="2"/>
        <v>25</v>
      </c>
      <c r="B37" s="174" t="s">
        <v>488</v>
      </c>
      <c r="C37" s="163"/>
      <c r="D37" s="163"/>
      <c r="E37" s="163"/>
      <c r="F37" s="167"/>
    </row>
    <row r="38" spans="1:9" x14ac:dyDescent="0.2">
      <c r="A38" s="2">
        <f t="shared" si="2"/>
        <v>26</v>
      </c>
      <c r="B38" s="173">
        <v>361</v>
      </c>
      <c r="C38" s="162">
        <v>399411400</v>
      </c>
      <c r="D38" s="165" t="s">
        <v>507</v>
      </c>
      <c r="E38" s="162">
        <v>1107531</v>
      </c>
      <c r="F38" s="167">
        <f>E38/C38</f>
        <v>2.772907833877551E-3</v>
      </c>
    </row>
    <row r="39" spans="1:9" x14ac:dyDescent="0.2">
      <c r="A39" s="2">
        <f t="shared" si="2"/>
        <v>27</v>
      </c>
      <c r="B39" s="173">
        <v>362</v>
      </c>
      <c r="C39" s="164">
        <v>1457055947</v>
      </c>
      <c r="D39" s="165" t="s">
        <v>508</v>
      </c>
      <c r="E39" s="164">
        <v>16087946</v>
      </c>
      <c r="F39" s="168">
        <f>E39/C39</f>
        <v>1.1041405810891625E-2</v>
      </c>
    </row>
    <row r="40" spans="1:9" x14ac:dyDescent="0.2">
      <c r="A40" s="2">
        <f t="shared" si="2"/>
        <v>28</v>
      </c>
      <c r="B40" s="175" t="s">
        <v>489</v>
      </c>
      <c r="C40" s="163">
        <f>SUM(C38:C39)</f>
        <v>1856467347</v>
      </c>
      <c r="D40" s="13" t="str">
        <f>"L "&amp;A38&amp;" + L "&amp;A39&amp;""</f>
        <v>L 26 + L 27</v>
      </c>
      <c r="E40" s="163">
        <f>SUM(E38:E39)</f>
        <v>17195477</v>
      </c>
      <c r="F40" s="167">
        <f>E40/C40</f>
        <v>9.2624720966880542E-3</v>
      </c>
    </row>
    <row r="41" spans="1:9" x14ac:dyDescent="0.2">
      <c r="A41" s="2">
        <f t="shared" si="2"/>
        <v>29</v>
      </c>
      <c r="B41" s="176"/>
      <c r="C41" s="146"/>
      <c r="D41" s="163"/>
      <c r="E41" s="163"/>
      <c r="F41" s="167"/>
    </row>
    <row r="42" spans="1:9" x14ac:dyDescent="0.2">
      <c r="A42" s="2">
        <f t="shared" si="2"/>
        <v>30</v>
      </c>
      <c r="B42" s="177" t="s">
        <v>1526</v>
      </c>
      <c r="C42" s="169">
        <f>C36+C40</f>
        <v>1958170383</v>
      </c>
      <c r="D42" s="13" t="str">
        <f>"L "&amp;A36&amp;" + L "&amp;A40&amp;""</f>
        <v>L 24 + L 28</v>
      </c>
      <c r="E42" s="169">
        <f>E36+E40</f>
        <v>17221257</v>
      </c>
      <c r="F42" s="170">
        <f>E42/C42</f>
        <v>8.7945651458665747E-3</v>
      </c>
      <c r="G42" s="12" t="s">
        <v>408</v>
      </c>
      <c r="H42" s="12"/>
    </row>
    <row r="43" spans="1:9" x14ac:dyDescent="0.2">
      <c r="A43" s="2"/>
      <c r="B43" s="142"/>
      <c r="C43" s="143"/>
      <c r="D43" s="143"/>
      <c r="E43" s="143"/>
      <c r="F43" s="144"/>
      <c r="H43" s="147"/>
      <c r="I43" s="12"/>
    </row>
    <row r="44" spans="1:9" x14ac:dyDescent="0.2">
      <c r="A44" s="63"/>
      <c r="E44" s="139"/>
    </row>
    <row r="45" spans="1:9" x14ac:dyDescent="0.2">
      <c r="A45" s="87" t="s">
        <v>267</v>
      </c>
    </row>
    <row r="46" spans="1:9" x14ac:dyDescent="0.2">
      <c r="A46" s="13" t="s">
        <v>509</v>
      </c>
      <c r="E46" s="139"/>
    </row>
    <row r="47" spans="1:9" x14ac:dyDescent="0.2">
      <c r="A47" s="13" t="s">
        <v>514</v>
      </c>
    </row>
    <row r="48" spans="1:9" x14ac:dyDescent="0.2">
      <c r="A48" s="13" t="s">
        <v>511</v>
      </c>
      <c r="C48" s="139"/>
      <c r="D48" s="139"/>
    </row>
    <row r="49" spans="1:4" x14ac:dyDescent="0.2">
      <c r="A49" s="13" t="s">
        <v>513</v>
      </c>
      <c r="C49" s="140"/>
      <c r="D49" s="140"/>
    </row>
    <row r="50" spans="1:4" x14ac:dyDescent="0.2">
      <c r="A50" s="63"/>
      <c r="C50" s="139"/>
      <c r="D50" s="139"/>
    </row>
    <row r="51" spans="1:4" x14ac:dyDescent="0.2">
      <c r="A51" s="87" t="s">
        <v>433</v>
      </c>
    </row>
    <row r="52" spans="1:4" x14ac:dyDescent="0.2">
      <c r="A52" s="13" t="s">
        <v>512</v>
      </c>
    </row>
    <row r="53" spans="1:4" x14ac:dyDescent="0.2">
      <c r="A53" s="13" t="s">
        <v>1785</v>
      </c>
    </row>
    <row r="54" spans="1:4" x14ac:dyDescent="0.2">
      <c r="A54" s="653" t="s">
        <v>3122</v>
      </c>
    </row>
  </sheetData>
  <pageMargins left="0.7" right="0.7" top="0.75" bottom="0.75" header="0.3" footer="0.3"/>
  <pageSetup scale="90" orientation="portrait" cellComments="asDisplayed" r:id="rId1"/>
  <headerFooter>
    <oddHeader>&amp;CSchedule 7
Transmission Plant Study Summary
&amp;"Arial,Bold"Exhibit G-1</oddHeader>
    <oddFooter>&amp;R7-PlantStudy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9"/>
  <sheetViews>
    <sheetView zoomScale="90" zoomScaleNormal="9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4" customWidth="1"/>
    <col min="16" max="23" width="9.140625" style="14"/>
  </cols>
  <sheetData>
    <row r="1" spans="1:18" x14ac:dyDescent="0.2">
      <c r="A1" s="1" t="s">
        <v>192</v>
      </c>
      <c r="B1" s="1"/>
      <c r="C1" s="244"/>
      <c r="D1" s="244"/>
      <c r="E1" s="244"/>
      <c r="F1" s="244"/>
      <c r="G1" s="244"/>
      <c r="H1" s="244"/>
      <c r="I1" s="244"/>
      <c r="J1" s="755" t="s">
        <v>510</v>
      </c>
      <c r="K1" s="196"/>
      <c r="L1" s="244"/>
      <c r="M1" s="244"/>
      <c r="N1" s="244"/>
      <c r="O1" s="254"/>
      <c r="P1" s="254"/>
      <c r="Q1" s="254"/>
      <c r="R1" s="254"/>
    </row>
    <row r="2" spans="1:18" x14ac:dyDescent="0.2">
      <c r="A2" s="244"/>
      <c r="B2" s="244"/>
      <c r="C2" s="244"/>
      <c r="D2" s="244"/>
      <c r="E2" s="244"/>
      <c r="F2" s="244"/>
      <c r="G2" s="244"/>
      <c r="H2" s="244"/>
      <c r="I2" s="244"/>
      <c r="L2" s="244"/>
      <c r="M2" s="244"/>
      <c r="N2" s="244"/>
      <c r="O2" s="254"/>
      <c r="P2" s="254"/>
      <c r="Q2" s="254"/>
      <c r="R2" s="254"/>
    </row>
    <row r="3" spans="1:18" x14ac:dyDescent="0.2">
      <c r="A3" s="244"/>
      <c r="B3" s="1" t="s">
        <v>370</v>
      </c>
      <c r="C3" s="244"/>
      <c r="D3" s="244"/>
      <c r="E3" s="244"/>
      <c r="F3" s="244"/>
      <c r="G3" s="1055" t="s">
        <v>2524</v>
      </c>
      <c r="H3" s="469">
        <v>2010</v>
      </c>
      <c r="I3" s="244"/>
      <c r="J3" s="244"/>
      <c r="K3" s="244"/>
      <c r="L3" s="244"/>
      <c r="M3" s="244"/>
      <c r="N3" s="244"/>
      <c r="O3" s="254"/>
      <c r="P3" s="254"/>
      <c r="Q3" s="254"/>
      <c r="R3" s="254"/>
    </row>
    <row r="4" spans="1:18" x14ac:dyDescent="0.2">
      <c r="A4" s="244"/>
      <c r="B4" s="244"/>
      <c r="C4" s="244"/>
      <c r="D4" s="244"/>
      <c r="E4" s="244"/>
      <c r="F4" s="244"/>
      <c r="G4" s="244"/>
      <c r="H4" s="244"/>
      <c r="I4" s="244"/>
      <c r="J4" s="244"/>
      <c r="K4" s="244"/>
      <c r="L4" s="244"/>
      <c r="M4" s="244"/>
      <c r="N4" s="244"/>
      <c r="O4" s="254"/>
      <c r="P4" s="254"/>
      <c r="Q4" s="254"/>
      <c r="R4" s="254"/>
    </row>
    <row r="5" spans="1:18" x14ac:dyDescent="0.2">
      <c r="A5" s="244"/>
      <c r="B5" s="244"/>
      <c r="C5" s="649" t="s">
        <v>2034</v>
      </c>
      <c r="D5" s="244"/>
      <c r="E5" s="244"/>
      <c r="F5" s="244"/>
      <c r="G5" s="244"/>
      <c r="H5" s="244"/>
      <c r="I5" s="244"/>
      <c r="J5" s="649"/>
      <c r="K5" s="244"/>
      <c r="L5" s="244"/>
      <c r="M5" s="244"/>
      <c r="N5" s="244"/>
      <c r="O5" s="254"/>
      <c r="P5" s="254"/>
      <c r="Q5" s="254"/>
      <c r="R5" s="254"/>
    </row>
    <row r="6" spans="1:18" x14ac:dyDescent="0.2">
      <c r="A6" s="244"/>
      <c r="B6" s="244"/>
      <c r="C6" s="244"/>
      <c r="D6" s="244"/>
      <c r="E6" s="244"/>
      <c r="F6" s="244"/>
      <c r="G6" s="244"/>
      <c r="H6" s="244"/>
      <c r="I6" s="244"/>
      <c r="J6" s="244"/>
      <c r="K6" s="244"/>
      <c r="L6" s="244"/>
      <c r="M6" s="244"/>
      <c r="N6" s="244"/>
      <c r="O6" s="254"/>
      <c r="P6" s="254"/>
      <c r="Q6" s="254"/>
      <c r="R6" s="254"/>
    </row>
    <row r="7" spans="1:18" x14ac:dyDescent="0.2">
      <c r="A7" s="244"/>
      <c r="B7" s="244"/>
      <c r="C7" s="88" t="s">
        <v>406</v>
      </c>
      <c r="D7" s="88" t="s">
        <v>390</v>
      </c>
      <c r="E7" s="88" t="s">
        <v>391</v>
      </c>
      <c r="F7" s="88" t="s">
        <v>392</v>
      </c>
      <c r="G7" s="88" t="s">
        <v>393</v>
      </c>
      <c r="H7" s="88" t="s">
        <v>394</v>
      </c>
      <c r="I7" s="88" t="s">
        <v>395</v>
      </c>
      <c r="J7" s="88" t="s">
        <v>610</v>
      </c>
      <c r="K7" s="88" t="s">
        <v>1059</v>
      </c>
      <c r="L7" s="88" t="s">
        <v>1076</v>
      </c>
      <c r="M7" s="88" t="s">
        <v>1079</v>
      </c>
      <c r="N7" s="88" t="s">
        <v>1097</v>
      </c>
      <c r="O7" s="254"/>
      <c r="P7" s="254"/>
      <c r="Q7" s="254"/>
      <c r="R7" s="254"/>
    </row>
    <row r="8" spans="1:18" x14ac:dyDescent="0.2">
      <c r="A8" s="244"/>
      <c r="B8" s="244"/>
      <c r="C8" s="266"/>
      <c r="D8" s="244"/>
      <c r="E8" s="244"/>
      <c r="F8" s="244"/>
      <c r="G8" s="244"/>
      <c r="H8" s="244"/>
      <c r="I8" s="244"/>
      <c r="J8" s="244"/>
      <c r="K8" s="244"/>
      <c r="L8" s="244"/>
      <c r="M8" s="244"/>
      <c r="N8" s="618" t="s">
        <v>2412</v>
      </c>
      <c r="O8" s="254"/>
      <c r="P8" s="254"/>
      <c r="Q8" s="254"/>
      <c r="R8" s="254"/>
    </row>
    <row r="9" spans="1:18" x14ac:dyDescent="0.2">
      <c r="A9" s="244"/>
      <c r="B9" s="244"/>
      <c r="C9" s="610"/>
      <c r="D9" s="756" t="s">
        <v>13</v>
      </c>
      <c r="E9" s="244"/>
      <c r="F9" s="244"/>
      <c r="G9" s="244"/>
      <c r="H9" s="244"/>
      <c r="I9" s="244"/>
      <c r="J9" s="244"/>
      <c r="K9" s="244"/>
      <c r="L9" s="244"/>
      <c r="M9" s="244"/>
      <c r="N9" s="244"/>
      <c r="O9" s="254"/>
      <c r="P9" s="254"/>
      <c r="Q9" s="254"/>
      <c r="R9" s="254"/>
    </row>
    <row r="10" spans="1:18" x14ac:dyDescent="0.2">
      <c r="A10" s="244"/>
      <c r="B10" s="244"/>
      <c r="C10" s="117"/>
      <c r="D10" s="756" t="s">
        <v>1077</v>
      </c>
      <c r="E10" s="244"/>
      <c r="F10" s="244"/>
      <c r="G10" s="244"/>
      <c r="H10" s="244"/>
      <c r="I10" s="244"/>
      <c r="J10" s="244"/>
      <c r="K10" s="244"/>
      <c r="L10" s="244"/>
      <c r="M10" s="244"/>
      <c r="N10" s="244"/>
      <c r="O10" s="254"/>
      <c r="P10" s="254"/>
      <c r="Q10" s="254"/>
      <c r="R10" s="254"/>
    </row>
    <row r="11" spans="1:18" ht="12.75" customHeight="1" x14ac:dyDescent="0.2">
      <c r="A11" s="53" t="s">
        <v>372</v>
      </c>
      <c r="B11" s="53"/>
      <c r="C11" s="131" t="s">
        <v>2580</v>
      </c>
      <c r="D11" s="88">
        <v>350.1</v>
      </c>
      <c r="E11" s="88">
        <v>350.2</v>
      </c>
      <c r="F11" s="88">
        <v>352</v>
      </c>
      <c r="G11" s="88">
        <v>353</v>
      </c>
      <c r="H11" s="88">
        <v>354</v>
      </c>
      <c r="I11" s="88">
        <v>355</v>
      </c>
      <c r="J11" s="88">
        <v>356</v>
      </c>
      <c r="K11" s="88">
        <v>357</v>
      </c>
      <c r="L11" s="88">
        <v>358</v>
      </c>
      <c r="M11" s="88">
        <v>359</v>
      </c>
      <c r="N11" s="3" t="s">
        <v>226</v>
      </c>
      <c r="O11" s="254"/>
      <c r="P11" s="254"/>
      <c r="Q11" s="254"/>
      <c r="R11" s="254"/>
    </row>
    <row r="12" spans="1:18" ht="12.75" customHeight="1" x14ac:dyDescent="0.2">
      <c r="A12" s="736">
        <v>1</v>
      </c>
      <c r="B12" s="736"/>
      <c r="C12" s="861" t="s">
        <v>2581</v>
      </c>
      <c r="D12" s="249">
        <v>0</v>
      </c>
      <c r="E12" s="738">
        <v>4233790.3091925811</v>
      </c>
      <c r="F12" s="738">
        <v>34444585.86109104</v>
      </c>
      <c r="G12" s="738">
        <v>220864640.48269522</v>
      </c>
      <c r="H12" s="738">
        <v>336125226</v>
      </c>
      <c r="I12" s="738">
        <v>29790650</v>
      </c>
      <c r="J12" s="738">
        <v>317987473</v>
      </c>
      <c r="K12" s="738">
        <v>157607</v>
      </c>
      <c r="L12" s="738">
        <v>947473</v>
      </c>
      <c r="M12" s="738">
        <v>10551518</v>
      </c>
      <c r="N12" s="246">
        <f>SUM(D12:M12)</f>
        <v>955102963.6529789</v>
      </c>
      <c r="O12" s="254"/>
      <c r="P12" s="254"/>
      <c r="Q12" s="254"/>
      <c r="R12" s="254"/>
    </row>
    <row r="13" spans="1:18" ht="12.75" customHeight="1" x14ac:dyDescent="0.2">
      <c r="A13" s="736">
        <f>A12+1</f>
        <v>2</v>
      </c>
      <c r="B13" s="736"/>
      <c r="C13" s="862" t="s">
        <v>2582</v>
      </c>
      <c r="D13" s="248">
        <v>0</v>
      </c>
      <c r="E13" s="248">
        <f t="shared" ref="E13:E23" si="0">E144+E91+E12</f>
        <v>4321554.5319967205</v>
      </c>
      <c r="F13" s="248">
        <f t="shared" ref="F13:F23" si="1">F144+F91+F12</f>
        <v>34850840.859651983</v>
      </c>
      <c r="G13" s="248">
        <f t="shared" ref="G13:G23" si="2">G144+G91+G12</f>
        <v>222491917.42010435</v>
      </c>
      <c r="H13" s="248">
        <f t="shared" ref="H13:H23" si="3">H144+H91+H12</f>
        <v>336933537.88356805</v>
      </c>
      <c r="I13" s="248">
        <f t="shared" ref="I13:I23" si="4">I144+I91+I12</f>
        <v>30171434.00122216</v>
      </c>
      <c r="J13" s="248">
        <f t="shared" ref="J13:J23" si="5">J144+J91+J12</f>
        <v>318359184.48162746</v>
      </c>
      <c r="K13" s="248">
        <f t="shared" ref="K13:K23" si="6">K144+K91+K12</f>
        <v>157377.32570088349</v>
      </c>
      <c r="L13" s="248">
        <f t="shared" ref="L13:L23" si="7">L144+L91+L12</f>
        <v>952276.43107135105</v>
      </c>
      <c r="M13" s="248">
        <f t="shared" ref="M13:M23" si="8">M144+M91+M12</f>
        <v>10585640.279400332</v>
      </c>
      <c r="N13" s="246">
        <f t="shared" ref="N13:N24" si="9">SUM(D13:M13)</f>
        <v>958823763.21434331</v>
      </c>
      <c r="O13" s="254"/>
      <c r="P13" s="254"/>
      <c r="Q13" s="254"/>
      <c r="R13" s="254"/>
    </row>
    <row r="14" spans="1:18" ht="12.75" customHeight="1" x14ac:dyDescent="0.2">
      <c r="A14" s="736">
        <f t="shared" ref="A14:A25" si="10">A13+1</f>
        <v>3</v>
      </c>
      <c r="B14" s="736"/>
      <c r="C14" s="861" t="s">
        <v>2583</v>
      </c>
      <c r="D14" s="248">
        <v>0</v>
      </c>
      <c r="E14" s="248">
        <f t="shared" si="0"/>
        <v>4409424.4978239639</v>
      </c>
      <c r="F14" s="248">
        <f t="shared" si="1"/>
        <v>35257993.086248517</v>
      </c>
      <c r="G14" s="248">
        <f t="shared" si="2"/>
        <v>208129894.9884122</v>
      </c>
      <c r="H14" s="248">
        <f t="shared" si="3"/>
        <v>337587133.96973783</v>
      </c>
      <c r="I14" s="248">
        <f t="shared" si="4"/>
        <v>30539803.565380909</v>
      </c>
      <c r="J14" s="248">
        <f t="shared" si="5"/>
        <v>318009020.02861607</v>
      </c>
      <c r="K14" s="248">
        <f t="shared" si="6"/>
        <v>158894.1563739432</v>
      </c>
      <c r="L14" s="248">
        <f t="shared" si="7"/>
        <v>957118.17342208896</v>
      </c>
      <c r="M14" s="248">
        <f t="shared" si="8"/>
        <v>10620184.879390961</v>
      </c>
      <c r="N14" s="246">
        <f t="shared" si="9"/>
        <v>945669467.34540653</v>
      </c>
      <c r="O14" s="254"/>
      <c r="P14" s="254"/>
      <c r="Q14" s="254"/>
      <c r="R14" s="254"/>
    </row>
    <row r="15" spans="1:18" ht="12.75" customHeight="1" x14ac:dyDescent="0.2">
      <c r="A15" s="736">
        <f t="shared" si="10"/>
        <v>4</v>
      </c>
      <c r="B15" s="736"/>
      <c r="C15" s="861" t="s">
        <v>2584</v>
      </c>
      <c r="D15" s="248">
        <v>0</v>
      </c>
      <c r="E15" s="248">
        <f t="shared" si="0"/>
        <v>4496796.0555290449</v>
      </c>
      <c r="F15" s="248">
        <f t="shared" si="1"/>
        <v>35658416.28125269</v>
      </c>
      <c r="G15" s="248">
        <f t="shared" si="2"/>
        <v>205757477.96662641</v>
      </c>
      <c r="H15" s="248">
        <f t="shared" si="3"/>
        <v>338439988.8438127</v>
      </c>
      <c r="I15" s="248">
        <f t="shared" si="4"/>
        <v>30912056.008003488</v>
      </c>
      <c r="J15" s="248">
        <f t="shared" si="5"/>
        <v>322876847.42583728</v>
      </c>
      <c r="K15" s="248">
        <f t="shared" si="6"/>
        <v>158657.77277610192</v>
      </c>
      <c r="L15" s="248">
        <f t="shared" si="7"/>
        <v>961903.74443078612</v>
      </c>
      <c r="M15" s="248">
        <f t="shared" si="8"/>
        <v>10654729.482026681</v>
      </c>
      <c r="N15" s="246">
        <f t="shared" si="9"/>
        <v>949916873.58029521</v>
      </c>
      <c r="O15" s="254"/>
      <c r="P15" s="254"/>
      <c r="Q15" s="254"/>
      <c r="R15" s="254"/>
    </row>
    <row r="16" spans="1:18" ht="12.75" customHeight="1" x14ac:dyDescent="0.2">
      <c r="A16" s="736">
        <f t="shared" si="10"/>
        <v>5</v>
      </c>
      <c r="B16" s="736"/>
      <c r="C16" s="862" t="s">
        <v>2585</v>
      </c>
      <c r="D16" s="248">
        <v>0</v>
      </c>
      <c r="E16" s="248">
        <f t="shared" si="0"/>
        <v>4583672.9156506145</v>
      </c>
      <c r="F16" s="248">
        <f t="shared" si="1"/>
        <v>36004247.421469077</v>
      </c>
      <c r="G16" s="248">
        <f t="shared" si="2"/>
        <v>171293969.76570112</v>
      </c>
      <c r="H16" s="248">
        <f t="shared" si="3"/>
        <v>339065231.30911124</v>
      </c>
      <c r="I16" s="248">
        <f t="shared" si="4"/>
        <v>31290472.218704779</v>
      </c>
      <c r="J16" s="248">
        <f t="shared" si="5"/>
        <v>322404165.70734841</v>
      </c>
      <c r="K16" s="248">
        <f t="shared" si="6"/>
        <v>158421.42693183792</v>
      </c>
      <c r="L16" s="248">
        <f t="shared" si="7"/>
        <v>966893.58430163946</v>
      </c>
      <c r="M16" s="248">
        <f t="shared" si="8"/>
        <v>10689436.198912591</v>
      </c>
      <c r="N16" s="246">
        <f t="shared" si="9"/>
        <v>916456510.54813135</v>
      </c>
      <c r="O16" s="254"/>
      <c r="P16" s="254"/>
      <c r="Q16" s="254"/>
      <c r="R16" s="254"/>
    </row>
    <row r="17" spans="1:18" ht="12.75" customHeight="1" x14ac:dyDescent="0.2">
      <c r="A17" s="736">
        <f t="shared" si="10"/>
        <v>6</v>
      </c>
      <c r="B17" s="736"/>
      <c r="C17" s="861" t="s">
        <v>2586</v>
      </c>
      <c r="D17" s="248">
        <v>0</v>
      </c>
      <c r="E17" s="248">
        <f t="shared" si="0"/>
        <v>4670220.6403473662</v>
      </c>
      <c r="F17" s="248">
        <f t="shared" si="1"/>
        <v>36473197.664007433</v>
      </c>
      <c r="G17" s="248">
        <f t="shared" si="2"/>
        <v>231884623.87317795</v>
      </c>
      <c r="H17" s="248">
        <f t="shared" si="3"/>
        <v>339688634.89829803</v>
      </c>
      <c r="I17" s="248">
        <f t="shared" si="4"/>
        <v>31690237.944952473</v>
      </c>
      <c r="J17" s="248">
        <f t="shared" si="5"/>
        <v>321963893.20209241</v>
      </c>
      <c r="K17" s="248">
        <f t="shared" si="6"/>
        <v>158185.06714348384</v>
      </c>
      <c r="L17" s="248">
        <f t="shared" si="7"/>
        <v>971676.09960914799</v>
      </c>
      <c r="M17" s="248">
        <f t="shared" si="8"/>
        <v>10724194.826523643</v>
      </c>
      <c r="N17" s="246">
        <f t="shared" si="9"/>
        <v>978224864.21615183</v>
      </c>
      <c r="O17" s="254"/>
      <c r="P17" s="254"/>
      <c r="Q17" s="254"/>
      <c r="R17" s="254"/>
    </row>
    <row r="18" spans="1:18" ht="12.75" customHeight="1" x14ac:dyDescent="0.2">
      <c r="A18" s="736">
        <f t="shared" si="10"/>
        <v>7</v>
      </c>
      <c r="B18" s="736"/>
      <c r="C18" s="861" t="s">
        <v>2587</v>
      </c>
      <c r="D18" s="248">
        <v>0</v>
      </c>
      <c r="E18" s="248">
        <f t="shared" si="0"/>
        <v>4756785.7449360555</v>
      </c>
      <c r="F18" s="248">
        <f t="shared" si="1"/>
        <v>36888589.531593435</v>
      </c>
      <c r="G18" s="248">
        <f t="shared" si="2"/>
        <v>216599303.14891723</v>
      </c>
      <c r="H18" s="248">
        <f t="shared" si="3"/>
        <v>340321423.60836905</v>
      </c>
      <c r="I18" s="248">
        <f t="shared" si="4"/>
        <v>32074241.333592348</v>
      </c>
      <c r="J18" s="248">
        <f t="shared" si="5"/>
        <v>321513961.01682192</v>
      </c>
      <c r="K18" s="248">
        <f t="shared" si="6"/>
        <v>157948.70724565172</v>
      </c>
      <c r="L18" s="248">
        <f t="shared" si="7"/>
        <v>976504.9601470771</v>
      </c>
      <c r="M18" s="248">
        <f t="shared" si="8"/>
        <v>10758987.243003974</v>
      </c>
      <c r="N18" s="246">
        <f t="shared" si="9"/>
        <v>964047745.29462659</v>
      </c>
      <c r="O18" s="254"/>
      <c r="P18" s="254"/>
      <c r="Q18" s="254"/>
      <c r="R18" s="254"/>
    </row>
    <row r="19" spans="1:18" ht="12.75" customHeight="1" x14ac:dyDescent="0.2">
      <c r="A19" s="736">
        <f t="shared" si="10"/>
        <v>8</v>
      </c>
      <c r="B19" s="736"/>
      <c r="C19" s="862" t="s">
        <v>2588</v>
      </c>
      <c r="D19" s="248">
        <v>0</v>
      </c>
      <c r="E19" s="248">
        <f t="shared" si="0"/>
        <v>4841752.0770709049</v>
      </c>
      <c r="F19" s="248">
        <f t="shared" si="1"/>
        <v>37268950.117930509</v>
      </c>
      <c r="G19" s="248">
        <f t="shared" si="2"/>
        <v>202981401.16983601</v>
      </c>
      <c r="H19" s="248">
        <f t="shared" si="3"/>
        <v>340943075.52698338</v>
      </c>
      <c r="I19" s="248">
        <f t="shared" si="4"/>
        <v>32455075.706541434</v>
      </c>
      <c r="J19" s="248">
        <f t="shared" si="5"/>
        <v>321197598.90839982</v>
      </c>
      <c r="K19" s="248">
        <f t="shared" si="6"/>
        <v>157712.3448898622</v>
      </c>
      <c r="L19" s="248">
        <f t="shared" si="7"/>
        <v>981364.05292059307</v>
      </c>
      <c r="M19" s="248">
        <f t="shared" si="8"/>
        <v>10793797.642936097</v>
      </c>
      <c r="N19" s="246">
        <f t="shared" si="9"/>
        <v>951620727.5475086</v>
      </c>
      <c r="O19" s="254"/>
      <c r="P19" s="254"/>
      <c r="Q19" s="254"/>
      <c r="R19" s="254"/>
    </row>
    <row r="20" spans="1:18" ht="12.75" customHeight="1" x14ac:dyDescent="0.2">
      <c r="A20" s="736">
        <f t="shared" si="10"/>
        <v>9</v>
      </c>
      <c r="B20" s="736"/>
      <c r="C20" s="861" t="s">
        <v>2589</v>
      </c>
      <c r="D20" s="248">
        <v>0</v>
      </c>
      <c r="E20" s="248">
        <f t="shared" si="0"/>
        <v>4924626.5424760524</v>
      </c>
      <c r="F20" s="248">
        <f t="shared" si="1"/>
        <v>37640404.156191185</v>
      </c>
      <c r="G20" s="248">
        <f t="shared" si="2"/>
        <v>198556492.67883205</v>
      </c>
      <c r="H20" s="248">
        <f t="shared" si="3"/>
        <v>341565439.67214626</v>
      </c>
      <c r="I20" s="248">
        <f t="shared" si="4"/>
        <v>32876263.097994655</v>
      </c>
      <c r="J20" s="248">
        <f t="shared" si="5"/>
        <v>320690454.55941641</v>
      </c>
      <c r="K20" s="248">
        <f t="shared" si="6"/>
        <v>157475.98047710318</v>
      </c>
      <c r="L20" s="248">
        <f t="shared" si="7"/>
        <v>986252.86616986315</v>
      </c>
      <c r="M20" s="248">
        <f t="shared" si="8"/>
        <v>10828621.729993068</v>
      </c>
      <c r="N20" s="246">
        <f t="shared" si="9"/>
        <v>948226031.28369665</v>
      </c>
      <c r="O20" s="254"/>
      <c r="P20" s="254"/>
      <c r="Q20" s="254"/>
      <c r="R20" s="254"/>
    </row>
    <row r="21" spans="1:18" ht="12.75" customHeight="1" x14ac:dyDescent="0.2">
      <c r="A21" s="736">
        <f t="shared" si="10"/>
        <v>10</v>
      </c>
      <c r="B21" s="736"/>
      <c r="C21" s="861" t="s">
        <v>2590</v>
      </c>
      <c r="D21" s="248">
        <v>0</v>
      </c>
      <c r="E21" s="248">
        <f t="shared" si="0"/>
        <v>5006994.4628178608</v>
      </c>
      <c r="F21" s="248">
        <f t="shared" si="1"/>
        <v>38027842.790311553</v>
      </c>
      <c r="G21" s="248">
        <f t="shared" si="2"/>
        <v>203643251.3732948</v>
      </c>
      <c r="H21" s="248">
        <f t="shared" si="3"/>
        <v>342179603.15261096</v>
      </c>
      <c r="I21" s="248">
        <f t="shared" si="4"/>
        <v>33234504.554036256</v>
      </c>
      <c r="J21" s="248">
        <f t="shared" si="5"/>
        <v>321368264.50289816</v>
      </c>
      <c r="K21" s="248">
        <f t="shared" si="6"/>
        <v>157234.38205771835</v>
      </c>
      <c r="L21" s="248">
        <f t="shared" si="7"/>
        <v>992337.04513423156</v>
      </c>
      <c r="M21" s="248">
        <f t="shared" si="8"/>
        <v>10863477.672116691</v>
      </c>
      <c r="N21" s="246">
        <f t="shared" si="9"/>
        <v>955473509.93527818</v>
      </c>
      <c r="O21" s="254"/>
      <c r="P21" s="254"/>
      <c r="Q21" s="254"/>
      <c r="R21" s="254"/>
    </row>
    <row r="22" spans="1:18" ht="12.75" customHeight="1" x14ac:dyDescent="0.2">
      <c r="A22" s="736">
        <f t="shared" si="10"/>
        <v>11</v>
      </c>
      <c r="B22" s="736"/>
      <c r="C22" s="862" t="s">
        <v>2591</v>
      </c>
      <c r="D22" s="248">
        <v>0</v>
      </c>
      <c r="E22" s="248">
        <f t="shared" si="0"/>
        <v>5086544.2446721792</v>
      </c>
      <c r="F22" s="248">
        <f t="shared" si="1"/>
        <v>38461466.428172499</v>
      </c>
      <c r="G22" s="248">
        <f t="shared" si="2"/>
        <v>205618390.53136</v>
      </c>
      <c r="H22" s="248">
        <f t="shared" si="3"/>
        <v>342836700.54123735</v>
      </c>
      <c r="I22" s="248">
        <f t="shared" si="4"/>
        <v>33507049.215734679</v>
      </c>
      <c r="J22" s="248">
        <f t="shared" si="5"/>
        <v>320998039.31970638</v>
      </c>
      <c r="K22" s="248">
        <f t="shared" si="6"/>
        <v>156983.56879277376</v>
      </c>
      <c r="L22" s="248">
        <f t="shared" si="7"/>
        <v>997114.25859138812</v>
      </c>
      <c r="M22" s="248">
        <f t="shared" si="8"/>
        <v>10879620.403751791</v>
      </c>
      <c r="N22" s="246">
        <f t="shared" si="9"/>
        <v>958541908.51201916</v>
      </c>
      <c r="O22" s="254"/>
      <c r="P22" s="254"/>
      <c r="Q22" s="254"/>
      <c r="R22" s="254"/>
    </row>
    <row r="23" spans="1:18" ht="12.75" customHeight="1" x14ac:dyDescent="0.2">
      <c r="A23" s="736">
        <f t="shared" si="10"/>
        <v>12</v>
      </c>
      <c r="B23" s="736"/>
      <c r="C23" s="862" t="s">
        <v>2592</v>
      </c>
      <c r="D23" s="248">
        <v>0</v>
      </c>
      <c r="E23" s="248">
        <f t="shared" si="0"/>
        <v>5163977.7490813043</v>
      </c>
      <c r="F23" s="248">
        <f t="shared" si="1"/>
        <v>38893085.048247114</v>
      </c>
      <c r="G23" s="248">
        <f t="shared" si="2"/>
        <v>217189721.08805808</v>
      </c>
      <c r="H23" s="248">
        <f t="shared" si="3"/>
        <v>343466375.00089771</v>
      </c>
      <c r="I23" s="248">
        <f t="shared" si="4"/>
        <v>33897398.793971777</v>
      </c>
      <c r="J23" s="248">
        <f t="shared" si="5"/>
        <v>320705765.07430893</v>
      </c>
      <c r="K23" s="248">
        <f t="shared" si="6"/>
        <v>156725.97205212197</v>
      </c>
      <c r="L23" s="248">
        <f t="shared" si="7"/>
        <v>1004131.7418724402</v>
      </c>
      <c r="M23" s="248">
        <f t="shared" si="8"/>
        <v>10914677.911485519</v>
      </c>
      <c r="N23" s="246">
        <f t="shared" si="9"/>
        <v>971391858.37997508</v>
      </c>
      <c r="O23" s="254"/>
      <c r="P23" s="254"/>
      <c r="Q23" s="254"/>
      <c r="R23" s="254"/>
    </row>
    <row r="24" spans="1:18" x14ac:dyDescent="0.2">
      <c r="A24" s="736">
        <f t="shared" si="10"/>
        <v>13</v>
      </c>
      <c r="B24" s="736"/>
      <c r="C24" s="861" t="s">
        <v>2593</v>
      </c>
      <c r="D24" s="473">
        <v>0</v>
      </c>
      <c r="E24" s="123">
        <v>5240632</v>
      </c>
      <c r="F24" s="123">
        <v>39543072</v>
      </c>
      <c r="G24" s="123">
        <v>240114876</v>
      </c>
      <c r="H24" s="123">
        <v>344249544</v>
      </c>
      <c r="I24" s="123">
        <v>34281900</v>
      </c>
      <c r="J24" s="123">
        <v>320132536</v>
      </c>
      <c r="K24" s="123">
        <v>156437</v>
      </c>
      <c r="L24" s="123">
        <v>1008746</v>
      </c>
      <c r="M24" s="123">
        <v>10949952</v>
      </c>
      <c r="N24" s="394">
        <f t="shared" si="9"/>
        <v>995677695</v>
      </c>
      <c r="O24" s="254"/>
      <c r="P24" s="254"/>
      <c r="Q24" s="254"/>
      <c r="R24" s="254"/>
    </row>
    <row r="25" spans="1:18" x14ac:dyDescent="0.2">
      <c r="A25" s="736">
        <f t="shared" si="10"/>
        <v>14</v>
      </c>
      <c r="B25" s="244"/>
      <c r="C25" s="740" t="s">
        <v>1461</v>
      </c>
      <c r="D25" s="246">
        <f t="shared" ref="D25:N25" si="11">AVERAGE(D12:D24)</f>
        <v>0</v>
      </c>
      <c r="E25" s="246">
        <f>AVERAGE(E12:E24)</f>
        <v>4748982.4439688195</v>
      </c>
      <c r="F25" s="246">
        <f t="shared" si="11"/>
        <v>36877899.326628238</v>
      </c>
      <c r="G25" s="246">
        <f t="shared" si="11"/>
        <v>211163535.4220781</v>
      </c>
      <c r="H25" s="246">
        <f t="shared" si="11"/>
        <v>340261685.72359788</v>
      </c>
      <c r="I25" s="246">
        <f t="shared" si="11"/>
        <v>32055468.187702689</v>
      </c>
      <c r="J25" s="246">
        <f t="shared" si="11"/>
        <v>320631323.32515949</v>
      </c>
      <c r="K25" s="246">
        <f t="shared" si="11"/>
        <v>157666.20803396014</v>
      </c>
      <c r="L25" s="246">
        <f t="shared" si="11"/>
        <v>977214.76597466203</v>
      </c>
      <c r="M25" s="246">
        <f t="shared" si="11"/>
        <v>10754987.559195489</v>
      </c>
      <c r="N25" s="246">
        <f t="shared" si="11"/>
        <v>957628762.96233928</v>
      </c>
      <c r="O25" s="254"/>
      <c r="P25" s="254"/>
      <c r="Q25" s="254"/>
      <c r="R25" s="254"/>
    </row>
    <row r="26" spans="1:18" x14ac:dyDescent="0.2">
      <c r="A26" s="244"/>
      <c r="B26" s="244"/>
      <c r="C26" s="244"/>
      <c r="D26" s="244"/>
      <c r="E26" s="244"/>
      <c r="F26" s="244"/>
      <c r="G26" s="244"/>
      <c r="H26" s="244"/>
      <c r="I26" s="244"/>
      <c r="J26" s="244"/>
      <c r="K26" s="244"/>
      <c r="L26" s="244"/>
      <c r="M26" s="244"/>
      <c r="N26" s="244"/>
      <c r="O26" s="254"/>
      <c r="P26" s="254"/>
      <c r="Q26" s="254"/>
      <c r="R26" s="254"/>
    </row>
    <row r="27" spans="1:18" x14ac:dyDescent="0.2">
      <c r="A27" s="244"/>
      <c r="B27" s="468" t="s">
        <v>2035</v>
      </c>
      <c r="C27" s="244"/>
      <c r="D27" s="244"/>
      <c r="E27" s="244"/>
      <c r="F27" s="244"/>
      <c r="G27" s="244"/>
      <c r="H27" s="244"/>
      <c r="I27" s="244"/>
      <c r="J27" s="244"/>
      <c r="K27" s="244"/>
      <c r="L27" s="244"/>
      <c r="M27" s="244"/>
      <c r="N27" s="244"/>
      <c r="O27" s="254"/>
      <c r="P27" s="254"/>
      <c r="Q27" s="254"/>
      <c r="R27" s="254"/>
    </row>
    <row r="28" spans="1:18" x14ac:dyDescent="0.2">
      <c r="A28" s="244"/>
      <c r="B28" s="468"/>
      <c r="C28" s="244"/>
      <c r="D28" s="244"/>
      <c r="E28" s="244"/>
      <c r="F28" s="244"/>
      <c r="G28" s="244"/>
      <c r="H28" s="244"/>
      <c r="I28" s="244"/>
      <c r="J28" s="244"/>
      <c r="K28" s="244"/>
      <c r="L28" s="244"/>
      <c r="M28" s="244"/>
      <c r="N28" s="244"/>
      <c r="O28" s="254"/>
      <c r="P28" s="254"/>
      <c r="Q28" s="254"/>
      <c r="R28" s="254"/>
    </row>
    <row r="29" spans="1:18" x14ac:dyDescent="0.2">
      <c r="A29" s="244"/>
      <c r="B29" s="244"/>
      <c r="C29" s="88" t="s">
        <v>406</v>
      </c>
      <c r="D29" s="88" t="s">
        <v>390</v>
      </c>
      <c r="E29" s="88" t="s">
        <v>391</v>
      </c>
      <c r="F29" s="88" t="s">
        <v>392</v>
      </c>
      <c r="G29" s="88" t="s">
        <v>393</v>
      </c>
      <c r="H29" s="244"/>
      <c r="I29" s="244"/>
      <c r="J29" s="244"/>
      <c r="K29" s="244"/>
      <c r="L29" s="244"/>
      <c r="M29" s="244"/>
      <c r="N29" s="244"/>
      <c r="O29" s="254"/>
      <c r="P29" s="254"/>
      <c r="Q29" s="254"/>
      <c r="R29" s="254"/>
    </row>
    <row r="30" spans="1:18" x14ac:dyDescent="0.2">
      <c r="A30" s="244"/>
      <c r="B30" s="244"/>
      <c r="C30" s="244"/>
      <c r="D30" s="756" t="s">
        <v>13</v>
      </c>
      <c r="E30" s="244"/>
      <c r="F30" s="244"/>
      <c r="G30" s="618" t="s">
        <v>2411</v>
      </c>
      <c r="H30" s="244"/>
      <c r="I30" s="244"/>
      <c r="J30" s="244"/>
      <c r="K30" s="244"/>
      <c r="L30" s="244"/>
      <c r="M30" s="244"/>
      <c r="N30" s="244"/>
      <c r="O30" s="758"/>
      <c r="P30" s="254"/>
      <c r="Q30" s="254"/>
      <c r="R30" s="254"/>
    </row>
    <row r="31" spans="1:18" x14ac:dyDescent="0.2">
      <c r="A31" s="244"/>
      <c r="B31" s="244"/>
      <c r="C31" s="244"/>
      <c r="D31" s="756" t="s">
        <v>1077</v>
      </c>
      <c r="E31" s="244"/>
      <c r="F31" s="244"/>
      <c r="G31" s="244"/>
      <c r="H31" s="244"/>
      <c r="I31" s="244"/>
      <c r="J31" s="244"/>
      <c r="K31" s="244"/>
      <c r="L31" s="244"/>
      <c r="M31" s="244"/>
      <c r="N31" s="244"/>
      <c r="O31" s="621"/>
      <c r="P31" s="254"/>
      <c r="Q31" s="254"/>
      <c r="R31" s="254"/>
    </row>
    <row r="32" spans="1:18" x14ac:dyDescent="0.2">
      <c r="A32" s="244"/>
      <c r="B32" s="244"/>
      <c r="C32" s="131" t="s">
        <v>2580</v>
      </c>
      <c r="D32" s="88">
        <v>360</v>
      </c>
      <c r="E32" s="88">
        <v>361</v>
      </c>
      <c r="F32" s="88">
        <v>362</v>
      </c>
      <c r="G32" s="3" t="s">
        <v>226</v>
      </c>
      <c r="H32" s="1085" t="s">
        <v>198</v>
      </c>
      <c r="I32" s="254"/>
      <c r="J32" s="254"/>
      <c r="K32" s="244"/>
      <c r="L32" s="244"/>
      <c r="M32" s="244"/>
      <c r="N32" s="244"/>
      <c r="O32" s="621"/>
      <c r="P32" s="254"/>
      <c r="Q32" s="254"/>
      <c r="R32" s="254"/>
    </row>
    <row r="33" spans="1:18" x14ac:dyDescent="0.2">
      <c r="A33" s="736">
        <f>A25+1</f>
        <v>15</v>
      </c>
      <c r="C33" s="861" t="s">
        <v>2581</v>
      </c>
      <c r="D33" s="249">
        <v>1119.9218416080378</v>
      </c>
      <c r="E33" s="249">
        <v>443350.00187908229</v>
      </c>
      <c r="F33" s="249">
        <v>3887415.0548254084</v>
      </c>
      <c r="G33" s="246">
        <f>SUM(D33:F33)</f>
        <v>4331884.9785460988</v>
      </c>
      <c r="H33" s="648" t="s">
        <v>2594</v>
      </c>
      <c r="I33" s="254"/>
      <c r="J33" s="254"/>
      <c r="K33" s="244"/>
      <c r="L33" s="244"/>
      <c r="M33" s="244"/>
      <c r="N33" s="244"/>
      <c r="O33" s="621"/>
      <c r="P33" s="254"/>
      <c r="Q33" s="254"/>
      <c r="R33" s="254"/>
    </row>
    <row r="34" spans="1:18" x14ac:dyDescent="0.2">
      <c r="A34" s="736">
        <v>16</v>
      </c>
      <c r="C34" s="861" t="s">
        <v>2593</v>
      </c>
      <c r="D34" s="473">
        <v>903.83157155782783</v>
      </c>
      <c r="E34" s="473">
        <v>477156.98887182772</v>
      </c>
      <c r="F34" s="473">
        <v>3793484.1805593148</v>
      </c>
      <c r="G34" s="394">
        <f>SUM(D34:F34)</f>
        <v>4271545.0010027001</v>
      </c>
      <c r="H34" s="648" t="s">
        <v>103</v>
      </c>
      <c r="I34" s="254"/>
      <c r="J34" s="254"/>
      <c r="K34" s="244"/>
      <c r="L34" s="244"/>
      <c r="O34" s="621"/>
      <c r="P34" s="254"/>
      <c r="Q34" s="254"/>
      <c r="R34" s="254"/>
    </row>
    <row r="35" spans="1:18" x14ac:dyDescent="0.2">
      <c r="A35" s="736">
        <f>A34+1</f>
        <v>17</v>
      </c>
      <c r="C35" s="245" t="s">
        <v>1665</v>
      </c>
      <c r="D35" s="246">
        <f>AVERAGE(D33:D34)</f>
        <v>1011.8767065829328</v>
      </c>
      <c r="E35" s="246">
        <f>AVERAGE(E33:E34)</f>
        <v>460253.49537545501</v>
      </c>
      <c r="F35" s="246">
        <f>AVERAGE(F33:F34)</f>
        <v>3840449.6176923616</v>
      </c>
      <c r="G35" s="246">
        <f>AVERAGE(G33:G34)</f>
        <v>4301714.9897743994</v>
      </c>
      <c r="H35" s="264" t="str">
        <f>"Average of Line "&amp;A33&amp;" and Line "&amp;A34&amp;""</f>
        <v>Average of Line 15 and Line 16</v>
      </c>
      <c r="I35" s="244"/>
      <c r="J35" s="244"/>
      <c r="K35" s="244"/>
      <c r="M35" s="737"/>
      <c r="N35" s="707"/>
      <c r="O35" s="621"/>
      <c r="P35" s="254"/>
      <c r="Q35" s="254"/>
      <c r="R35" s="254"/>
    </row>
    <row r="36" spans="1:18" x14ac:dyDescent="0.2">
      <c r="C36" s="245"/>
      <c r="I36" s="244"/>
      <c r="J36" s="244"/>
      <c r="K36" s="244"/>
      <c r="M36" s="748"/>
      <c r="N36" s="750"/>
      <c r="O36" s="621"/>
      <c r="P36" s="254"/>
      <c r="Q36" s="254"/>
      <c r="R36" s="254"/>
    </row>
    <row r="37" spans="1:18" x14ac:dyDescent="0.2">
      <c r="B37" s="468" t="s">
        <v>2031</v>
      </c>
      <c r="I37" s="244"/>
      <c r="J37" s="244"/>
      <c r="K37" s="244"/>
      <c r="L37" s="244"/>
      <c r="M37" s="737"/>
      <c r="N37" s="750"/>
      <c r="O37" s="621"/>
      <c r="P37" s="254"/>
      <c r="Q37" s="254"/>
      <c r="R37" s="254"/>
    </row>
    <row r="38" spans="1:18" ht="15" x14ac:dyDescent="0.25">
      <c r="B38" s="398"/>
      <c r="C38" s="385" t="s">
        <v>406</v>
      </c>
      <c r="D38" s="385" t="s">
        <v>390</v>
      </c>
      <c r="E38" s="385" t="s">
        <v>391</v>
      </c>
      <c r="F38" s="385" t="s">
        <v>392</v>
      </c>
      <c r="G38" s="385" t="s">
        <v>393</v>
      </c>
      <c r="J38" s="244"/>
      <c r="K38" s="247"/>
      <c r="L38" s="244"/>
      <c r="O38" s="254"/>
      <c r="P38" s="254"/>
      <c r="Q38" s="254"/>
      <c r="R38" s="254"/>
    </row>
    <row r="39" spans="1:18" ht="15" x14ac:dyDescent="0.25">
      <c r="B39" s="398"/>
      <c r="C39" s="385"/>
      <c r="D39" s="385"/>
      <c r="E39" s="784" t="s">
        <v>2636</v>
      </c>
      <c r="F39" s="385"/>
      <c r="G39" s="385"/>
      <c r="J39" s="244"/>
      <c r="K39" s="247"/>
      <c r="L39" s="244"/>
      <c r="O39" s="254"/>
      <c r="P39" s="254"/>
      <c r="Q39" s="254"/>
      <c r="R39" s="254"/>
    </row>
    <row r="40" spans="1:18" x14ac:dyDescent="0.2">
      <c r="C40" s="14"/>
      <c r="D40" s="14"/>
      <c r="E40" s="610" t="s">
        <v>226</v>
      </c>
      <c r="F40" s="14"/>
      <c r="G40" s="14"/>
      <c r="J40" s="244"/>
      <c r="K40" s="247"/>
      <c r="L40" s="244"/>
      <c r="O40" s="254"/>
      <c r="P40" s="254"/>
      <c r="Q40" s="254"/>
      <c r="R40" s="254"/>
    </row>
    <row r="41" spans="1:18" x14ac:dyDescent="0.2">
      <c r="B41" s="244"/>
      <c r="C41" s="14"/>
      <c r="D41" s="254"/>
      <c r="E41" s="610" t="s">
        <v>2635</v>
      </c>
      <c r="F41" s="117" t="s">
        <v>1503</v>
      </c>
      <c r="G41" s="117" t="s">
        <v>1504</v>
      </c>
      <c r="J41" s="244"/>
      <c r="K41" s="247"/>
      <c r="L41" s="244"/>
      <c r="O41" s="254"/>
      <c r="P41" s="254"/>
      <c r="Q41" s="254"/>
      <c r="R41" s="254"/>
    </row>
    <row r="42" spans="1:18" x14ac:dyDescent="0.2">
      <c r="B42" s="244"/>
      <c r="C42" s="14"/>
      <c r="D42" s="254"/>
      <c r="E42" s="610" t="s">
        <v>1666</v>
      </c>
      <c r="F42" s="610" t="s">
        <v>1666</v>
      </c>
      <c r="G42" s="610" t="s">
        <v>1666</v>
      </c>
      <c r="J42" s="244"/>
      <c r="K42" s="247"/>
      <c r="L42" s="244"/>
      <c r="Q42" s="254"/>
      <c r="R42" s="254"/>
    </row>
    <row r="43" spans="1:18" x14ac:dyDescent="0.2">
      <c r="B43" s="244"/>
      <c r="C43" s="131" t="s">
        <v>2580</v>
      </c>
      <c r="D43" s="254"/>
      <c r="E43" s="611" t="s">
        <v>1667</v>
      </c>
      <c r="F43" s="611" t="s">
        <v>1667</v>
      </c>
      <c r="G43" s="611" t="s">
        <v>1667</v>
      </c>
      <c r="H43" s="474" t="s">
        <v>209</v>
      </c>
      <c r="J43" s="244"/>
      <c r="K43" s="395"/>
      <c r="L43" s="244"/>
      <c r="O43" s="254"/>
      <c r="P43" s="254"/>
      <c r="Q43" s="254"/>
      <c r="R43" s="254"/>
    </row>
    <row r="44" spans="1:18" x14ac:dyDescent="0.2">
      <c r="A44" s="736">
        <f>A35+1</f>
        <v>18</v>
      </c>
      <c r="B44" s="244"/>
      <c r="C44" s="861" t="s">
        <v>2581</v>
      </c>
      <c r="D44" s="741" t="s">
        <v>1663</v>
      </c>
      <c r="E44" s="248">
        <f>SUM(F44:G44)</f>
        <v>1155847228</v>
      </c>
      <c r="F44" s="249">
        <v>723964733</v>
      </c>
      <c r="G44" s="867">
        <v>431882495</v>
      </c>
      <c r="H44" s="621" t="s">
        <v>2637</v>
      </c>
      <c r="I44" s="14"/>
      <c r="J44" s="254"/>
      <c r="L44" s="244"/>
      <c r="O44" s="254"/>
      <c r="P44" s="254"/>
      <c r="Q44" s="254"/>
      <c r="R44" s="254"/>
    </row>
    <row r="45" spans="1:18" x14ac:dyDescent="0.2">
      <c r="A45" s="736">
        <f>A44+1</f>
        <v>19</v>
      </c>
      <c r="B45" s="244"/>
      <c r="C45" s="861" t="s">
        <v>2593</v>
      </c>
      <c r="D45" s="245" t="s">
        <v>1664</v>
      </c>
      <c r="E45" s="617">
        <f>SUM(F45:G45)</f>
        <v>1268265504</v>
      </c>
      <c r="F45" s="249">
        <v>732673416</v>
      </c>
      <c r="G45" s="867">
        <v>535592088</v>
      </c>
      <c r="H45" s="621" t="s">
        <v>2638</v>
      </c>
      <c r="I45" s="14"/>
      <c r="J45" s="254"/>
      <c r="K45" s="757"/>
      <c r="L45" s="244"/>
      <c r="O45" s="254"/>
      <c r="P45" s="254"/>
      <c r="Q45" s="254"/>
      <c r="R45" s="254"/>
    </row>
    <row r="46" spans="1:18" x14ac:dyDescent="0.2">
      <c r="A46" s="736">
        <f>A45+1</f>
        <v>20</v>
      </c>
      <c r="B46" s="244"/>
      <c r="D46" s="245" t="s">
        <v>1665</v>
      </c>
      <c r="E46" s="246">
        <f>AVERAGE(E44:E45)</f>
        <v>1212056366</v>
      </c>
      <c r="H46" s="264" t="str">
        <f>"Average of Line "&amp;A44&amp;" and Line "&amp;A45&amp;""</f>
        <v>Average of Line 18 and Line 19</v>
      </c>
      <c r="J46" s="244"/>
      <c r="K46" s="757"/>
      <c r="L46" s="244"/>
      <c r="O46" s="254"/>
      <c r="P46" s="254"/>
      <c r="Q46" s="254"/>
      <c r="R46" s="254"/>
    </row>
    <row r="47" spans="1:18" x14ac:dyDescent="0.2">
      <c r="I47" s="244"/>
      <c r="J47" s="244"/>
      <c r="K47" s="244"/>
      <c r="L47" s="244"/>
      <c r="O47" s="254"/>
      <c r="P47" s="254"/>
      <c r="Q47" s="254"/>
      <c r="R47" s="254"/>
    </row>
    <row r="48" spans="1:18" x14ac:dyDescent="0.2">
      <c r="B48" s="1" t="s">
        <v>1668</v>
      </c>
      <c r="C48" s="22"/>
      <c r="D48" s="745"/>
      <c r="E48" s="244"/>
      <c r="F48" s="244"/>
      <c r="G48" s="244"/>
      <c r="H48" s="244"/>
      <c r="I48" s="244"/>
      <c r="J48" s="244"/>
      <c r="K48" s="244"/>
      <c r="L48" s="244"/>
      <c r="M48" s="244"/>
      <c r="N48" s="244"/>
      <c r="O48" s="254"/>
      <c r="P48" s="254"/>
      <c r="Q48" s="254"/>
      <c r="R48" s="254"/>
    </row>
    <row r="49" spans="1:18" x14ac:dyDescent="0.2">
      <c r="B49" s="1"/>
      <c r="C49" s="22"/>
      <c r="D49" s="745"/>
      <c r="E49" s="244"/>
      <c r="F49" s="244"/>
      <c r="G49" s="244"/>
      <c r="H49" s="244"/>
      <c r="I49" s="244"/>
      <c r="J49" s="244"/>
      <c r="K49" s="244"/>
      <c r="L49" s="244"/>
      <c r="M49" s="244"/>
      <c r="N49" s="244"/>
      <c r="O49" s="254"/>
      <c r="P49" s="254"/>
      <c r="Q49" s="254"/>
      <c r="R49" s="254"/>
    </row>
    <row r="50" spans="1:18" x14ac:dyDescent="0.2">
      <c r="B50" s="244"/>
      <c r="C50" s="1"/>
      <c r="D50" s="22"/>
      <c r="E50" s="745"/>
      <c r="F50" s="395" t="s">
        <v>205</v>
      </c>
      <c r="G50" s="474" t="s">
        <v>209</v>
      </c>
      <c r="H50" s="244"/>
      <c r="I50" s="244"/>
      <c r="J50" s="244"/>
      <c r="K50" s="244"/>
      <c r="L50" s="244"/>
      <c r="M50" s="244"/>
      <c r="N50" s="244"/>
      <c r="O50" s="254"/>
      <c r="P50" s="254"/>
      <c r="Q50" s="254"/>
      <c r="R50" s="254"/>
    </row>
    <row r="51" spans="1:18" x14ac:dyDescent="0.2">
      <c r="A51" s="736">
        <f>A46+1</f>
        <v>21</v>
      </c>
      <c r="B51" s="244"/>
      <c r="C51" s="22"/>
      <c r="D51" s="22"/>
      <c r="E51" s="741" t="s">
        <v>1669</v>
      </c>
      <c r="F51" s="742">
        <f>E46</f>
        <v>1212056366</v>
      </c>
      <c r="G51" s="264" t="str">
        <f>"Line "&amp;A46&amp;""</f>
        <v>Line 20</v>
      </c>
      <c r="H51" s="244"/>
      <c r="I51" s="244"/>
      <c r="J51" s="244"/>
      <c r="K51" s="244"/>
      <c r="L51" s="244"/>
      <c r="M51" s="244"/>
      <c r="N51" s="244"/>
      <c r="O51" s="254"/>
      <c r="P51" s="254"/>
      <c r="Q51" s="254"/>
      <c r="R51" s="254"/>
    </row>
    <row r="52" spans="1:18" x14ac:dyDescent="0.2">
      <c r="A52" s="736">
        <f>A51+1</f>
        <v>22</v>
      </c>
      <c r="B52" s="244"/>
      <c r="C52" s="22"/>
      <c r="D52" s="22"/>
      <c r="E52" s="753" t="s">
        <v>276</v>
      </c>
      <c r="F52" s="757">
        <f>'27-Allocators'!G15</f>
        <v>4.0090597826729017E-2</v>
      </c>
      <c r="G52" s="621" t="str">
        <f>"27-Allocators, Line "&amp;'27-Allocators'!A15&amp;""</f>
        <v>27-Allocators, Line 9</v>
      </c>
      <c r="H52" s="244"/>
      <c r="I52" s="244"/>
      <c r="J52" s="244"/>
      <c r="K52" s="244"/>
      <c r="L52" s="244"/>
      <c r="M52" s="244"/>
      <c r="N52" s="244"/>
      <c r="O52" s="254"/>
      <c r="P52" s="254"/>
      <c r="Q52" s="254"/>
      <c r="R52" s="254"/>
    </row>
    <row r="53" spans="1:18" x14ac:dyDescent="0.2">
      <c r="A53" s="736">
        <f>A52+1</f>
        <v>23</v>
      </c>
      <c r="B53" s="244"/>
      <c r="C53" s="22"/>
      <c r="D53" s="22"/>
      <c r="E53" s="753" t="s">
        <v>1670</v>
      </c>
      <c r="F53" s="742">
        <f>F51*F52</f>
        <v>48592064.312632672</v>
      </c>
      <c r="G53" s="264" t="str">
        <f>"Line "&amp;A51&amp;" * Line "&amp;A52&amp;""</f>
        <v>Line 21 * Line 22</v>
      </c>
      <c r="H53" s="244"/>
      <c r="I53" s="244"/>
      <c r="J53" s="244"/>
      <c r="K53" s="244"/>
      <c r="L53" s="244"/>
      <c r="M53" s="244"/>
      <c r="O53" s="254"/>
      <c r="P53" s="254"/>
      <c r="Q53" s="254"/>
      <c r="R53" s="254"/>
    </row>
    <row r="54" spans="1:18" x14ac:dyDescent="0.2">
      <c r="B54" s="22"/>
      <c r="C54" s="22"/>
      <c r="D54" s="753"/>
      <c r="E54" s="742"/>
      <c r="F54" s="244"/>
      <c r="G54" s="244"/>
      <c r="H54" s="244"/>
      <c r="I54" s="244"/>
      <c r="J54" s="244"/>
      <c r="K54" s="244"/>
      <c r="L54" s="244"/>
      <c r="M54" s="244"/>
      <c r="O54" s="254"/>
      <c r="P54" s="254"/>
      <c r="Q54" s="254"/>
      <c r="R54" s="254"/>
    </row>
    <row r="55" spans="1:18" x14ac:dyDescent="0.2">
      <c r="B55" s="1" t="s">
        <v>3192</v>
      </c>
      <c r="C55" s="22"/>
      <c r="D55" s="745"/>
      <c r="E55" s="244"/>
      <c r="F55" s="244"/>
      <c r="G55" s="244"/>
      <c r="H55" s="244"/>
      <c r="I55" s="244"/>
      <c r="J55" s="244"/>
      <c r="K55" s="244"/>
      <c r="L55" s="244"/>
      <c r="M55" s="244"/>
      <c r="O55" s="254"/>
      <c r="P55" s="254"/>
      <c r="Q55" s="254"/>
      <c r="R55" s="254"/>
    </row>
    <row r="56" spans="1:18" x14ac:dyDescent="0.2">
      <c r="B56" s="244"/>
      <c r="C56" s="244"/>
      <c r="D56" s="244"/>
      <c r="E56" s="244"/>
      <c r="F56" s="244"/>
      <c r="G56" s="244"/>
      <c r="H56" s="244"/>
      <c r="I56" s="244"/>
      <c r="J56" s="244"/>
      <c r="K56" s="244"/>
      <c r="L56" s="244"/>
      <c r="M56" s="244"/>
      <c r="O56" s="759"/>
      <c r="P56" s="78"/>
      <c r="Q56" s="254"/>
      <c r="R56" s="254"/>
    </row>
    <row r="57" spans="1:18" x14ac:dyDescent="0.2">
      <c r="B57" s="244"/>
      <c r="C57" s="244"/>
      <c r="D57" s="244"/>
      <c r="E57" s="244"/>
      <c r="F57" s="395" t="s">
        <v>205</v>
      </c>
      <c r="G57" s="474" t="s">
        <v>209</v>
      </c>
      <c r="H57" s="244"/>
      <c r="I57" s="244"/>
      <c r="J57" s="244"/>
      <c r="K57" s="244"/>
      <c r="L57" s="244"/>
      <c r="M57" s="244"/>
      <c r="O57" s="506"/>
      <c r="P57" s="506"/>
      <c r="Q57" s="254"/>
      <c r="R57" s="254"/>
    </row>
    <row r="58" spans="1:18" x14ac:dyDescent="0.2">
      <c r="A58" s="736">
        <f>A53+1</f>
        <v>24</v>
      </c>
      <c r="B58" s="22"/>
      <c r="C58" s="22"/>
      <c r="E58" s="741" t="s">
        <v>1671</v>
      </c>
      <c r="F58" s="742">
        <f>E45</f>
        <v>1268265504</v>
      </c>
      <c r="G58" s="264" t="str">
        <f>"Line "&amp;A45&amp;""</f>
        <v>Line 19</v>
      </c>
      <c r="H58" s="244"/>
      <c r="I58" s="244"/>
      <c r="J58" s="244"/>
      <c r="K58" s="244"/>
      <c r="L58" s="244"/>
      <c r="M58" s="244"/>
      <c r="O58" s="42"/>
      <c r="P58" s="636"/>
      <c r="Q58" s="254"/>
      <c r="R58" s="254"/>
    </row>
    <row r="59" spans="1:18" x14ac:dyDescent="0.2">
      <c r="A59" s="736">
        <f>A58+1</f>
        <v>25</v>
      </c>
      <c r="B59" s="22"/>
      <c r="C59" s="22"/>
      <c r="E59" s="753" t="s">
        <v>276</v>
      </c>
      <c r="F59" s="757">
        <f>'27-Allocators'!G15</f>
        <v>4.0090597826729017E-2</v>
      </c>
      <c r="G59" s="621" t="str">
        <f>"27-Allocators, Line "&amp;'27-Allocators'!A15&amp;""</f>
        <v>27-Allocators, Line 9</v>
      </c>
      <c r="H59" s="244"/>
      <c r="I59" s="244"/>
      <c r="J59" s="244"/>
      <c r="K59" s="244"/>
      <c r="L59" s="244"/>
      <c r="M59" s="244"/>
      <c r="O59" s="42"/>
      <c r="P59" s="636"/>
      <c r="Q59" s="254"/>
      <c r="R59" s="254"/>
    </row>
    <row r="60" spans="1:18" x14ac:dyDescent="0.2">
      <c r="A60" s="736">
        <f>A59+1</f>
        <v>26</v>
      </c>
      <c r="B60" s="22"/>
      <c r="C60" s="22"/>
      <c r="E60" s="753" t="s">
        <v>1672</v>
      </c>
      <c r="F60" s="742">
        <f>F58*F59</f>
        <v>50845522.258377783</v>
      </c>
      <c r="G60" s="264" t="str">
        <f>"Line "&amp;A58&amp;" * Line "&amp;A59&amp;""</f>
        <v>Line 24 * Line 25</v>
      </c>
      <c r="H60" s="244"/>
      <c r="I60" s="244"/>
      <c r="J60" s="244"/>
      <c r="K60" s="244"/>
      <c r="L60" s="244"/>
      <c r="M60" s="244"/>
      <c r="Q60" s="254"/>
      <c r="R60" s="254"/>
    </row>
    <row r="61" spans="1:18" x14ac:dyDescent="0.2">
      <c r="B61" s="244"/>
      <c r="C61" s="244"/>
      <c r="D61" s="244"/>
      <c r="E61" s="244"/>
      <c r="F61" s="244"/>
      <c r="G61" s="244"/>
      <c r="H61" s="244"/>
      <c r="I61" s="244"/>
      <c r="J61" s="244"/>
      <c r="K61" s="244"/>
      <c r="L61" s="244"/>
      <c r="M61" s="244"/>
      <c r="Q61" s="254"/>
      <c r="R61" s="254"/>
    </row>
    <row r="62" spans="1:18" x14ac:dyDescent="0.2">
      <c r="Q62" s="254"/>
      <c r="R62" s="254"/>
    </row>
    <row r="63" spans="1:18" x14ac:dyDescent="0.2">
      <c r="B63" s="1" t="s">
        <v>2032</v>
      </c>
      <c r="Q63" s="254"/>
      <c r="R63" s="254"/>
    </row>
    <row r="64" spans="1:18" x14ac:dyDescent="0.2">
      <c r="Q64" s="254"/>
      <c r="R64" s="254"/>
    </row>
    <row r="65" spans="1:18" x14ac:dyDescent="0.2">
      <c r="C65" s="1" t="s">
        <v>2026</v>
      </c>
      <c r="D65" s="649"/>
      <c r="E65" s="649"/>
      <c r="F65" s="649"/>
      <c r="G65" s="649"/>
      <c r="H65" s="649"/>
      <c r="I65" s="649"/>
      <c r="J65" s="649"/>
      <c r="K65" s="649"/>
      <c r="L65" s="649"/>
      <c r="M65" s="649"/>
      <c r="Q65" s="254"/>
      <c r="R65" s="254"/>
    </row>
    <row r="66" spans="1:18" x14ac:dyDescent="0.2">
      <c r="A66" s="649"/>
      <c r="D66" s="649"/>
      <c r="E66" s="649"/>
      <c r="F66" s="649"/>
      <c r="G66" s="649"/>
      <c r="H66" s="649"/>
      <c r="I66" s="649"/>
      <c r="J66" s="649"/>
      <c r="K66" s="649"/>
      <c r="L66" s="649"/>
      <c r="M66" s="649"/>
      <c r="Q66" s="254"/>
      <c r="R66" s="254"/>
    </row>
    <row r="67" spans="1:18" x14ac:dyDescent="0.2">
      <c r="A67" s="468"/>
      <c r="C67" s="88" t="s">
        <v>406</v>
      </c>
      <c r="D67" s="88" t="s">
        <v>390</v>
      </c>
      <c r="E67" s="88" t="s">
        <v>391</v>
      </c>
      <c r="F67" s="88" t="s">
        <v>392</v>
      </c>
      <c r="G67" s="88" t="s">
        <v>393</v>
      </c>
      <c r="H67" s="88" t="s">
        <v>394</v>
      </c>
      <c r="I67" s="88" t="s">
        <v>395</v>
      </c>
      <c r="J67" s="88" t="s">
        <v>610</v>
      </c>
      <c r="K67" s="88" t="s">
        <v>1059</v>
      </c>
      <c r="L67" s="88" t="s">
        <v>1076</v>
      </c>
      <c r="M67" s="88" t="s">
        <v>1079</v>
      </c>
      <c r="N67" s="88" t="s">
        <v>1097</v>
      </c>
      <c r="Q67" s="254"/>
      <c r="R67" s="254"/>
    </row>
    <row r="68" spans="1:18" x14ac:dyDescent="0.2">
      <c r="A68" s="244"/>
      <c r="C68" s="266"/>
      <c r="D68" s="244"/>
      <c r="E68" s="244"/>
      <c r="F68" s="244"/>
      <c r="G68" s="244"/>
      <c r="H68" s="244"/>
      <c r="I68" s="244"/>
      <c r="J68" s="244"/>
      <c r="K68" s="244"/>
      <c r="L68" s="244"/>
      <c r="N68" s="266" t="s">
        <v>1525</v>
      </c>
      <c r="O68" s="254"/>
      <c r="P68" s="254"/>
      <c r="Q68" s="254"/>
      <c r="R68" s="254"/>
    </row>
    <row r="69" spans="1:18" x14ac:dyDescent="0.2">
      <c r="A69" s="244"/>
      <c r="C69" s="117"/>
      <c r="D69" s="88"/>
      <c r="E69" s="88"/>
      <c r="F69" s="244"/>
      <c r="G69" s="244"/>
      <c r="H69" s="244"/>
      <c r="I69" s="244"/>
      <c r="J69" s="244"/>
      <c r="K69" s="244"/>
      <c r="L69" s="244"/>
      <c r="M69" s="244"/>
      <c r="O69" s="254"/>
      <c r="P69" s="254"/>
      <c r="Q69" s="254"/>
      <c r="R69" s="254"/>
    </row>
    <row r="70" spans="1:18" x14ac:dyDescent="0.2">
      <c r="A70" s="53"/>
      <c r="C70" s="131" t="s">
        <v>2580</v>
      </c>
      <c r="D70" s="88">
        <v>350.1</v>
      </c>
      <c r="E70" s="88">
        <v>350.2</v>
      </c>
      <c r="F70" s="88">
        <v>352</v>
      </c>
      <c r="G70" s="88">
        <v>353</v>
      </c>
      <c r="H70" s="88">
        <v>354</v>
      </c>
      <c r="I70" s="88">
        <v>355</v>
      </c>
      <c r="J70" s="88">
        <v>356</v>
      </c>
      <c r="K70" s="88">
        <v>357</v>
      </c>
      <c r="L70" s="88">
        <v>358</v>
      </c>
      <c r="M70" s="88">
        <v>359</v>
      </c>
      <c r="N70" s="3" t="s">
        <v>226</v>
      </c>
      <c r="O70" s="254"/>
      <c r="P70" s="254"/>
      <c r="Q70" s="254"/>
      <c r="R70" s="254"/>
    </row>
    <row r="71" spans="1:18" x14ac:dyDescent="0.2">
      <c r="A71" s="736">
        <f>A60+1</f>
        <v>27</v>
      </c>
      <c r="C71" s="862" t="s">
        <v>2582</v>
      </c>
      <c r="D71" s="738">
        <v>0</v>
      </c>
      <c r="E71" s="833">
        <v>146025.10583333278</v>
      </c>
      <c r="F71" s="833">
        <v>548029.19351922977</v>
      </c>
      <c r="G71" s="833">
        <v>2884922.8659050977</v>
      </c>
      <c r="H71" s="833">
        <v>1285132.8920555636</v>
      </c>
      <c r="I71" s="833">
        <v>1227330.636044685</v>
      </c>
      <c r="J71" s="833">
        <v>1287148.7053696832</v>
      </c>
      <c r="K71" s="833">
        <v>54187.732530230212</v>
      </c>
      <c r="L71" s="833">
        <v>532778.38393266639</v>
      </c>
      <c r="M71" s="833">
        <v>38762.839752794709</v>
      </c>
      <c r="N71" s="246">
        <f t="shared" ref="N71:N82" si="12">SUM(D71:M71)</f>
        <v>8004318.3549432848</v>
      </c>
      <c r="O71" s="254"/>
      <c r="P71" s="254"/>
      <c r="Q71" s="254"/>
      <c r="R71" s="254"/>
    </row>
    <row r="72" spans="1:18" x14ac:dyDescent="0.2">
      <c r="A72" s="736">
        <f t="shared" ref="A72:A83" si="13">A71+1</f>
        <v>28</v>
      </c>
      <c r="C72" s="861" t="s">
        <v>2583</v>
      </c>
      <c r="D72" s="738">
        <v>0</v>
      </c>
      <c r="E72" s="833">
        <v>145980.14583333282</v>
      </c>
      <c r="F72" s="833">
        <v>546537.89351921785</v>
      </c>
      <c r="G72" s="833">
        <v>-695125.08409483067</v>
      </c>
      <c r="H72" s="833">
        <v>1327068.1220557019</v>
      </c>
      <c r="I72" s="833">
        <v>1035032.2760446408</v>
      </c>
      <c r="J72" s="833">
        <v>1581036.3053697667</v>
      </c>
      <c r="K72" s="833">
        <v>-98259.807469772626</v>
      </c>
      <c r="L72" s="833">
        <v>525551.77393265208</v>
      </c>
      <c r="M72" s="833">
        <v>39193.939752796199</v>
      </c>
      <c r="N72" s="246">
        <f t="shared" si="12"/>
        <v>4407015.5649435055</v>
      </c>
      <c r="P72" s="254"/>
      <c r="Q72" s="254"/>
      <c r="R72" s="254"/>
    </row>
    <row r="73" spans="1:18" x14ac:dyDescent="0.2">
      <c r="A73" s="736">
        <f t="shared" si="13"/>
        <v>29</v>
      </c>
      <c r="C73" s="861" t="s">
        <v>2584</v>
      </c>
      <c r="D73" s="738">
        <v>0</v>
      </c>
      <c r="E73" s="833">
        <v>145767.52583333364</v>
      </c>
      <c r="F73" s="833">
        <v>521051.83351926017</v>
      </c>
      <c r="G73" s="833">
        <v>1995946.8859051384</v>
      </c>
      <c r="H73" s="833">
        <v>1301777.5920555517</v>
      </c>
      <c r="I73" s="833">
        <v>1059452.0660446922</v>
      </c>
      <c r="J73" s="833">
        <v>-447870.33463021909</v>
      </c>
      <c r="K73" s="833">
        <v>54841.702530225295</v>
      </c>
      <c r="L73" s="833">
        <v>536851.26393266907</v>
      </c>
      <c r="M73" s="833">
        <v>39193.939752794337</v>
      </c>
      <c r="N73" s="246">
        <f t="shared" si="12"/>
        <v>5207012.474943446</v>
      </c>
      <c r="P73" s="254"/>
      <c r="Q73" s="254"/>
      <c r="R73" s="254"/>
    </row>
    <row r="74" spans="1:18" x14ac:dyDescent="0.2">
      <c r="A74" s="736">
        <f t="shared" si="13"/>
        <v>30</v>
      </c>
      <c r="C74" s="862" t="s">
        <v>2585</v>
      </c>
      <c r="D74" s="738">
        <v>0</v>
      </c>
      <c r="E74" s="833">
        <v>145916.94583333263</v>
      </c>
      <c r="F74" s="833">
        <v>357354.48351920652</v>
      </c>
      <c r="G74" s="833">
        <v>-5188917.2340949858</v>
      </c>
      <c r="H74" s="833">
        <v>1331509.1820556447</v>
      </c>
      <c r="I74" s="833">
        <v>1080322.136044685</v>
      </c>
      <c r="J74" s="833">
        <v>1635218.5053697547</v>
      </c>
      <c r="K74" s="833">
        <v>54838.022530227456</v>
      </c>
      <c r="L74" s="833">
        <v>496088.94393265387</v>
      </c>
      <c r="M74" s="833">
        <v>39359.419752796646</v>
      </c>
      <c r="N74" s="246">
        <f t="shared" si="12"/>
        <v>-48309.595056683989</v>
      </c>
      <c r="P74" s="254"/>
      <c r="Q74" s="254"/>
      <c r="R74" s="254"/>
    </row>
    <row r="75" spans="1:18" x14ac:dyDescent="0.2">
      <c r="A75" s="736">
        <f t="shared" si="13"/>
        <v>31</v>
      </c>
      <c r="C75" s="861" t="s">
        <v>2586</v>
      </c>
      <c r="D75" s="738">
        <v>0</v>
      </c>
      <c r="E75" s="833">
        <v>145974.46583333312</v>
      </c>
      <c r="F75" s="833">
        <v>714591.26351922262</v>
      </c>
      <c r="G75" s="833">
        <v>16108074.305905037</v>
      </c>
      <c r="H75" s="833">
        <v>1332243.1020556018</v>
      </c>
      <c r="I75" s="833">
        <v>1299918.9960446397</v>
      </c>
      <c r="J75" s="833">
        <v>1625067.2153697333</v>
      </c>
      <c r="K75" s="833">
        <v>54839.382530228722</v>
      </c>
      <c r="L75" s="833">
        <v>537349.50393265625</v>
      </c>
      <c r="M75" s="833">
        <v>39412.399752797093</v>
      </c>
      <c r="N75" s="246">
        <f t="shared" si="12"/>
        <v>21857470.634943247</v>
      </c>
    </row>
    <row r="76" spans="1:18" x14ac:dyDescent="0.2">
      <c r="A76" s="736">
        <f t="shared" si="13"/>
        <v>32</v>
      </c>
      <c r="C76" s="861" t="s">
        <v>2587</v>
      </c>
      <c r="D76" s="738">
        <v>0</v>
      </c>
      <c r="E76" s="833">
        <v>145991.9158333333</v>
      </c>
      <c r="F76" s="833">
        <v>556923.9635192256</v>
      </c>
      <c r="G76" s="833">
        <v>-871136.27409488789</v>
      </c>
      <c r="H76" s="833">
        <v>1331798.5220556185</v>
      </c>
      <c r="I76" s="833">
        <v>1128875.5860446731</v>
      </c>
      <c r="J76" s="833">
        <v>1625709.9953698835</v>
      </c>
      <c r="K76" s="833">
        <v>54839.392530226636</v>
      </c>
      <c r="L76" s="833">
        <v>529668.94393265387</v>
      </c>
      <c r="M76" s="833">
        <v>39446.879752795678</v>
      </c>
      <c r="N76" s="246">
        <f t="shared" si="12"/>
        <v>4542118.9249435216</v>
      </c>
    </row>
    <row r="77" spans="1:18" x14ac:dyDescent="0.2">
      <c r="A77" s="736">
        <f t="shared" si="13"/>
        <v>33</v>
      </c>
      <c r="C77" s="862" t="s">
        <v>2588</v>
      </c>
      <c r="D77" s="738">
        <v>0</v>
      </c>
      <c r="E77" s="833">
        <v>146775.08583333323</v>
      </c>
      <c r="F77" s="833">
        <v>451313.65351922321</v>
      </c>
      <c r="G77" s="833">
        <v>-472289.63409496174</v>
      </c>
      <c r="H77" s="833">
        <v>1333205.9820555374</v>
      </c>
      <c r="I77" s="833">
        <v>1076967.2060447077</v>
      </c>
      <c r="J77" s="833">
        <v>1574877.9853698334</v>
      </c>
      <c r="K77" s="833">
        <v>54839.63253022686</v>
      </c>
      <c r="L77" s="833">
        <v>523632.59393265983</v>
      </c>
      <c r="M77" s="833">
        <v>39465.249752794858</v>
      </c>
      <c r="N77" s="246">
        <f t="shared" si="12"/>
        <v>4728787.7549433541</v>
      </c>
    </row>
    <row r="78" spans="1:18" x14ac:dyDescent="0.2">
      <c r="A78" s="736">
        <f t="shared" si="13"/>
        <v>34</v>
      </c>
      <c r="C78" s="861" t="s">
        <v>2589</v>
      </c>
      <c r="D78" s="738">
        <v>0</v>
      </c>
      <c r="E78" s="833">
        <v>147127.19583333263</v>
      </c>
      <c r="F78" s="833">
        <v>421133.52351922798</v>
      </c>
      <c r="G78" s="833">
        <v>1595236.3759049692</v>
      </c>
      <c r="H78" s="833">
        <v>1333312.7520556375</v>
      </c>
      <c r="I78" s="833">
        <v>1470853.2460446397</v>
      </c>
      <c r="J78" s="833">
        <v>1660667.5953696689</v>
      </c>
      <c r="K78" s="833">
        <v>54839.83253022984</v>
      </c>
      <c r="L78" s="833">
        <v>516676.99393266579</v>
      </c>
      <c r="M78" s="833">
        <v>39494.949752794113</v>
      </c>
      <c r="N78" s="246">
        <f t="shared" si="12"/>
        <v>7239342.4649431668</v>
      </c>
    </row>
    <row r="79" spans="1:18" x14ac:dyDescent="0.2">
      <c r="A79" s="736">
        <f t="shared" si="13"/>
        <v>35</v>
      </c>
      <c r="C79" s="861" t="s">
        <v>2590</v>
      </c>
      <c r="D79" s="738">
        <v>0</v>
      </c>
      <c r="E79" s="833">
        <v>147165.25583333315</v>
      </c>
      <c r="F79" s="833">
        <v>459306.6835192393</v>
      </c>
      <c r="G79" s="833">
        <v>3729261.6859052097</v>
      </c>
      <c r="H79" s="833">
        <v>1335815.6520556733</v>
      </c>
      <c r="I79" s="833">
        <v>779899.14604470518</v>
      </c>
      <c r="J79" s="833">
        <v>1196618.3853698692</v>
      </c>
      <c r="K79" s="833">
        <v>55350.002530227903</v>
      </c>
      <c r="L79" s="833">
        <v>276908.02393265208</v>
      </c>
      <c r="M79" s="833">
        <v>39527.459752795752</v>
      </c>
      <c r="N79" s="246">
        <f t="shared" si="12"/>
        <v>8019852.2949437071</v>
      </c>
    </row>
    <row r="80" spans="1:18" x14ac:dyDescent="0.2">
      <c r="A80" s="736">
        <f t="shared" si="13"/>
        <v>36</v>
      </c>
      <c r="C80" s="862" t="s">
        <v>2591</v>
      </c>
      <c r="D80" s="738">
        <v>0</v>
      </c>
      <c r="E80" s="833">
        <v>145822.29583333412</v>
      </c>
      <c r="F80" s="833">
        <v>592674.40351920831</v>
      </c>
      <c r="G80" s="833">
        <v>3040940.0559051549</v>
      </c>
      <c r="H80" s="833">
        <v>1341142.0920554921</v>
      </c>
      <c r="I80" s="833">
        <v>-207603.99395536989</v>
      </c>
      <c r="J80" s="833">
        <v>1604782.5653696975</v>
      </c>
      <c r="K80" s="833">
        <v>56248.192530225519</v>
      </c>
      <c r="L80" s="833">
        <v>538391.31393265864</v>
      </c>
      <c r="M80" s="833">
        <v>19658.439752798062</v>
      </c>
      <c r="N80" s="246">
        <f t="shared" si="12"/>
        <v>7132055.3649432007</v>
      </c>
    </row>
    <row r="81" spans="1:15" x14ac:dyDescent="0.2">
      <c r="A81" s="736">
        <f t="shared" si="13"/>
        <v>37</v>
      </c>
      <c r="C81" s="862" t="s">
        <v>2592</v>
      </c>
      <c r="D81" s="738">
        <v>0</v>
      </c>
      <c r="E81" s="833">
        <v>146052.76583333386</v>
      </c>
      <c r="F81" s="833">
        <v>574998.79351923871</v>
      </c>
      <c r="G81" s="833">
        <v>5197758.0659050858</v>
      </c>
      <c r="H81" s="833">
        <v>1348900.9220556542</v>
      </c>
      <c r="I81" s="833">
        <v>1045448.7760446706</v>
      </c>
      <c r="J81" s="833">
        <v>1580428.7853698453</v>
      </c>
      <c r="K81" s="833">
        <v>56952.612530229169</v>
      </c>
      <c r="L81" s="833">
        <v>90805.323932664018</v>
      </c>
      <c r="M81" s="833">
        <v>39733.209752797615</v>
      </c>
      <c r="N81" s="246">
        <f t="shared" si="12"/>
        <v>10081079.25494352</v>
      </c>
    </row>
    <row r="82" spans="1:15" x14ac:dyDescent="0.2">
      <c r="A82" s="736">
        <f t="shared" si="13"/>
        <v>38</v>
      </c>
      <c r="C82" s="861" t="s">
        <v>2593</v>
      </c>
      <c r="D82" s="123">
        <v>0</v>
      </c>
      <c r="E82" s="833">
        <v>146137.52583333178</v>
      </c>
      <c r="F82" s="833">
        <v>1216490.8035192292</v>
      </c>
      <c r="G82" s="833">
        <v>7759379.7359050428</v>
      </c>
      <c r="H82" s="833">
        <v>1335239.1220555827</v>
      </c>
      <c r="I82" s="833">
        <v>888816.3360447028</v>
      </c>
      <c r="J82" s="833">
        <v>1699351.9353697619</v>
      </c>
      <c r="K82" s="833">
        <v>59698.152530228275</v>
      </c>
      <c r="L82" s="833">
        <v>569150.90393264731</v>
      </c>
      <c r="M82" s="833">
        <v>39954.289752792101</v>
      </c>
      <c r="N82" s="394">
        <f t="shared" si="12"/>
        <v>13714218.804943319</v>
      </c>
      <c r="O82" s="254"/>
    </row>
    <row r="83" spans="1:15" x14ac:dyDescent="0.2">
      <c r="A83" s="736">
        <f t="shared" si="13"/>
        <v>39</v>
      </c>
      <c r="C83" s="740" t="s">
        <v>5</v>
      </c>
      <c r="D83" s="246">
        <f>SUM(D71:D82)</f>
        <v>0</v>
      </c>
      <c r="E83" s="246">
        <f t="shared" ref="E83:M83" si="14">SUM(E71:E82)</f>
        <v>1754736.229999997</v>
      </c>
      <c r="F83" s="246">
        <f t="shared" si="14"/>
        <v>6960406.4922307311</v>
      </c>
      <c r="G83" s="246">
        <f t="shared" si="14"/>
        <v>35084051.750861071</v>
      </c>
      <c r="H83" s="246">
        <f t="shared" si="14"/>
        <v>15937145.934667259</v>
      </c>
      <c r="I83" s="246">
        <f t="shared" si="14"/>
        <v>11885312.412536072</v>
      </c>
      <c r="J83" s="246">
        <f t="shared" si="14"/>
        <v>16623037.644437278</v>
      </c>
      <c r="K83" s="246">
        <f t="shared" si="14"/>
        <v>513214.85036273318</v>
      </c>
      <c r="L83" s="246">
        <f t="shared" si="14"/>
        <v>5673853.9671919011</v>
      </c>
      <c r="M83" s="246">
        <f t="shared" si="14"/>
        <v>453203.01703354716</v>
      </c>
      <c r="N83" s="246">
        <f>SUM(N71:N82)</f>
        <v>94884962.299320593</v>
      </c>
      <c r="O83" s="254"/>
    </row>
    <row r="85" spans="1:15" x14ac:dyDescent="0.2">
      <c r="C85" s="1" t="s">
        <v>2037</v>
      </c>
      <c r="D85" s="649"/>
      <c r="E85" s="649"/>
      <c r="F85" s="649"/>
      <c r="G85" s="649"/>
      <c r="H85" s="649"/>
      <c r="I85" s="649"/>
      <c r="J85" s="649"/>
      <c r="K85" s="649"/>
      <c r="L85" s="649"/>
    </row>
    <row r="86" spans="1:15" x14ac:dyDescent="0.2">
      <c r="A86" s="649"/>
      <c r="C86" s="649"/>
      <c r="D86" s="649"/>
      <c r="E86" s="649"/>
      <c r="F86" s="649"/>
      <c r="G86" s="649"/>
      <c r="H86" s="649"/>
      <c r="I86" s="649"/>
      <c r="J86" s="649"/>
      <c r="K86" s="649"/>
      <c r="L86" s="649"/>
    </row>
    <row r="87" spans="1:15" x14ac:dyDescent="0.2">
      <c r="A87" s="468"/>
      <c r="C87" s="88" t="s">
        <v>406</v>
      </c>
      <c r="D87" s="88" t="s">
        <v>390</v>
      </c>
      <c r="E87" s="88" t="s">
        <v>391</v>
      </c>
      <c r="F87" s="88" t="s">
        <v>392</v>
      </c>
      <c r="G87" s="88" t="s">
        <v>393</v>
      </c>
      <c r="H87" s="88" t="s">
        <v>394</v>
      </c>
      <c r="I87" s="88" t="s">
        <v>395</v>
      </c>
      <c r="J87" s="88" t="s">
        <v>610</v>
      </c>
      <c r="K87" s="88" t="s">
        <v>1059</v>
      </c>
      <c r="L87" s="88" t="s">
        <v>1076</v>
      </c>
      <c r="M87" s="88" t="s">
        <v>1079</v>
      </c>
      <c r="N87" s="88" t="s">
        <v>1097</v>
      </c>
    </row>
    <row r="88" spans="1:15" x14ac:dyDescent="0.2">
      <c r="A88" s="244"/>
      <c r="C88" s="266"/>
      <c r="D88" s="244"/>
      <c r="E88" s="244"/>
      <c r="F88" s="244"/>
      <c r="G88" s="244"/>
      <c r="H88" s="244"/>
      <c r="I88" s="244"/>
      <c r="J88" s="244"/>
      <c r="K88" s="244"/>
      <c r="L88" s="244"/>
      <c r="N88" s="266" t="s">
        <v>1525</v>
      </c>
    </row>
    <row r="89" spans="1:15" x14ac:dyDescent="0.2">
      <c r="A89" s="244"/>
      <c r="C89" s="117"/>
      <c r="D89" s="88"/>
      <c r="E89" s="88"/>
      <c r="F89" s="244"/>
      <c r="G89" s="244"/>
      <c r="H89" s="244"/>
      <c r="I89" s="244"/>
      <c r="J89" s="244"/>
      <c r="K89" s="244"/>
      <c r="L89" s="244"/>
      <c r="M89" s="244"/>
    </row>
    <row r="90" spans="1:15" x14ac:dyDescent="0.2">
      <c r="A90" s="53"/>
      <c r="C90" s="131" t="s">
        <v>2580</v>
      </c>
      <c r="D90" s="88">
        <v>350.1</v>
      </c>
      <c r="E90" s="88">
        <v>350.2</v>
      </c>
      <c r="F90" s="88">
        <v>352</v>
      </c>
      <c r="G90" s="88">
        <v>353</v>
      </c>
      <c r="H90" s="88">
        <v>354</v>
      </c>
      <c r="I90" s="88">
        <v>355</v>
      </c>
      <c r="J90" s="88">
        <v>356</v>
      </c>
      <c r="K90" s="88">
        <v>357</v>
      </c>
      <c r="L90" s="88">
        <v>358</v>
      </c>
      <c r="M90" s="88">
        <v>359</v>
      </c>
      <c r="N90" s="3" t="s">
        <v>226</v>
      </c>
    </row>
    <row r="91" spans="1:15" x14ac:dyDescent="0.2">
      <c r="A91" s="736">
        <f>A83+1</f>
        <v>40</v>
      </c>
      <c r="C91" s="862" t="s">
        <v>2582</v>
      </c>
      <c r="D91" s="709">
        <f>'17-Depreciation'!C49</f>
        <v>0</v>
      </c>
      <c r="E91" s="709">
        <f>'17-Depreciation'!D49</f>
        <v>111746.42143549262</v>
      </c>
      <c r="F91" s="709">
        <f>'17-Depreciation'!E49</f>
        <v>333431.81604886142</v>
      </c>
      <c r="G91" s="709">
        <f>'17-Depreciation'!F49</f>
        <v>3247996.5965608456</v>
      </c>
      <c r="H91" s="709">
        <f>'17-Depreciation'!G49</f>
        <v>1233859.078</v>
      </c>
      <c r="I91" s="709">
        <f>'17-Depreciation'!H49</f>
        <v>297199.1659416667</v>
      </c>
      <c r="J91" s="709">
        <f>'17-Depreciation'!I49</f>
        <v>1030572.1656666667</v>
      </c>
      <c r="K91" s="709">
        <f>'17-Depreciation'!J49</f>
        <v>386.42175000000003</v>
      </c>
      <c r="L91" s="709">
        <f>'17-Depreciation'!K49</f>
        <v>7435.9340999999995</v>
      </c>
      <c r="M91" s="709">
        <f>'17-Depreciation'!L49</f>
        <v>36016.541599999997</v>
      </c>
      <c r="N91" s="246">
        <f t="shared" ref="N91:N102" si="15">SUM(D91:M91)</f>
        <v>6298644.1411035331</v>
      </c>
    </row>
    <row r="92" spans="1:15" x14ac:dyDescent="0.2">
      <c r="A92" s="736">
        <f t="shared" ref="A92:A103" si="16">A91+1</f>
        <v>41</v>
      </c>
      <c r="C92" s="861" t="s">
        <v>2583</v>
      </c>
      <c r="D92" s="709">
        <f>'17-Depreciation'!C50</f>
        <v>0</v>
      </c>
      <c r="E92" s="709">
        <f>'17-Depreciation'!D50</f>
        <v>111790.129871297</v>
      </c>
      <c r="F92" s="709">
        <f>'17-Depreciation'!E50</f>
        <v>335555.92612122733</v>
      </c>
      <c r="G92" s="709">
        <f>'17-Depreciation'!F50</f>
        <v>3250414.1921428903</v>
      </c>
      <c r="H92" s="709">
        <f>'17-Depreciation'!G50</f>
        <v>1254647.9070799169</v>
      </c>
      <c r="I92" s="709">
        <f>'17-Depreciation'!H50</f>
        <v>302545.79182479827</v>
      </c>
      <c r="J92" s="709">
        <f>'17-Depreciation'!I50</f>
        <v>1039764.0092403718</v>
      </c>
      <c r="K92" s="709">
        <f>'17-Depreciation'!J50</f>
        <v>387.1922699159681</v>
      </c>
      <c r="L92" s="709">
        <f>'17-Depreciation'!K50</f>
        <v>7438.0222078760416</v>
      </c>
      <c r="M92" s="709">
        <f>'17-Depreciation'!L50</f>
        <v>36442.445917838057</v>
      </c>
      <c r="N92" s="246">
        <f t="shared" si="15"/>
        <v>6338985.6166761313</v>
      </c>
    </row>
    <row r="93" spans="1:15" x14ac:dyDescent="0.2">
      <c r="A93" s="736">
        <f t="shared" si="16"/>
        <v>42</v>
      </c>
      <c r="C93" s="861" t="s">
        <v>2584</v>
      </c>
      <c r="D93" s="709">
        <f>'17-Depreciation'!C51</f>
        <v>0</v>
      </c>
      <c r="E93" s="709">
        <f>'17-Depreciation'!D51</f>
        <v>111409.36204491889</v>
      </c>
      <c r="F93" s="709">
        <f>'17-Depreciation'!E51</f>
        <v>338461.55691232986</v>
      </c>
      <c r="G93" s="709">
        <f>'17-Depreciation'!F51</f>
        <v>3257063.5045738183</v>
      </c>
      <c r="H93" s="709">
        <f>'17-Depreciation'!G51</f>
        <v>1253503.7543736252</v>
      </c>
      <c r="I93" s="709">
        <f>'17-Depreciation'!H51</f>
        <v>304400.93277563941</v>
      </c>
      <c r="J93" s="709">
        <f>'17-Depreciation'!I51</f>
        <v>1042000.6196774612</v>
      </c>
      <c r="K93" s="709">
        <f>'17-Depreciation'!J51</f>
        <v>387.19244580988931</v>
      </c>
      <c r="L93" s="709">
        <f>'17-Depreciation'!K51</f>
        <v>7438.4706215893648</v>
      </c>
      <c r="M93" s="709">
        <f>'17-Depreciation'!L51</f>
        <v>36442.447483210446</v>
      </c>
      <c r="N93" s="246">
        <f t="shared" si="15"/>
        <v>6351107.8409084026</v>
      </c>
    </row>
    <row r="94" spans="1:15" x14ac:dyDescent="0.2">
      <c r="A94" s="736">
        <f t="shared" si="16"/>
        <v>43</v>
      </c>
      <c r="C94" s="862" t="s">
        <v>2585</v>
      </c>
      <c r="D94" s="709">
        <f>'17-Depreciation'!C52</f>
        <v>0</v>
      </c>
      <c r="E94" s="709">
        <f>'17-Depreciation'!D52</f>
        <v>111179.80558228539</v>
      </c>
      <c r="F94" s="709">
        <f>'17-Depreciation'!E52</f>
        <v>339912.10443743435</v>
      </c>
      <c r="G94" s="709">
        <f>'17-Depreciation'!F52</f>
        <v>3262455.855037706</v>
      </c>
      <c r="H94" s="709">
        <f>'17-Depreciation'!G52</f>
        <v>1255562.469003917</v>
      </c>
      <c r="I94" s="709">
        <f>'17-Depreciation'!H52</f>
        <v>309112.65583626024</v>
      </c>
      <c r="J94" s="709">
        <f>'17-Depreciation'!I52</f>
        <v>1044421.3087406353</v>
      </c>
      <c r="K94" s="709">
        <f>'17-Depreciation'!J52</f>
        <v>387.18810819941535</v>
      </c>
      <c r="L94" s="709">
        <f>'17-Depreciation'!K52</f>
        <v>7438.4785265379987</v>
      </c>
      <c r="M94" s="709">
        <f>'17-Depreciation'!L52</f>
        <v>36605.935621930599</v>
      </c>
      <c r="N94" s="246">
        <f t="shared" si="15"/>
        <v>6367075.8008949058</v>
      </c>
    </row>
    <row r="95" spans="1:15" x14ac:dyDescent="0.2">
      <c r="A95" s="736">
        <f t="shared" si="16"/>
        <v>44</v>
      </c>
      <c r="C95" s="861" t="s">
        <v>2586</v>
      </c>
      <c r="D95" s="709">
        <f>'17-Depreciation'!C53</f>
        <v>0</v>
      </c>
      <c r="E95" s="709">
        <f>'17-Depreciation'!D53</f>
        <v>111009.8309308327</v>
      </c>
      <c r="F95" s="709">
        <f>'17-Depreciation'!E53</f>
        <v>342775.22945783526</v>
      </c>
      <c r="G95" s="709">
        <f>'17-Depreciation'!F53</f>
        <v>3266259.4263680149</v>
      </c>
      <c r="H95" s="709">
        <f>'17-Depreciation'!G53</f>
        <v>1256019.7294878578</v>
      </c>
      <c r="I95" s="709">
        <f>'17-Depreciation'!H53</f>
        <v>310887.97316448978</v>
      </c>
      <c r="J95" s="709">
        <f>'17-Depreciation'!I53</f>
        <v>1046198.7740547871</v>
      </c>
      <c r="K95" s="709">
        <f>'17-Depreciation'!J53</f>
        <v>387.18971945410937</v>
      </c>
      <c r="L95" s="709">
        <f>'17-Depreciation'!K53</f>
        <v>7437.9143996742505</v>
      </c>
      <c r="M95" s="709">
        <f>'17-Depreciation'!L53</f>
        <v>36658.282821720895</v>
      </c>
      <c r="N95" s="246">
        <f t="shared" si="15"/>
        <v>6377634.3504046667</v>
      </c>
    </row>
    <row r="96" spans="1:15" x14ac:dyDescent="0.2">
      <c r="A96" s="736">
        <f t="shared" si="16"/>
        <v>45</v>
      </c>
      <c r="C96" s="861" t="s">
        <v>2587</v>
      </c>
      <c r="D96" s="709">
        <f>'17-Depreciation'!C54</f>
        <v>0</v>
      </c>
      <c r="E96" s="709">
        <f>'17-Depreciation'!D54</f>
        <v>111027.23968167858</v>
      </c>
      <c r="F96" s="709">
        <f>'17-Depreciation'!E54</f>
        <v>342693.04071913817</v>
      </c>
      <c r="G96" s="709">
        <f>'17-Depreciation'!F54</f>
        <v>3290139.6495193709</v>
      </c>
      <c r="H96" s="709">
        <f>'17-Depreciation'!G54</f>
        <v>1256632.1630136853</v>
      </c>
      <c r="I96" s="709">
        <f>'17-Depreciation'!H54</f>
        <v>310457.50544331298</v>
      </c>
      <c r="J96" s="709">
        <f>'17-Depreciation'!I54</f>
        <v>1043954.0053815461</v>
      </c>
      <c r="K96" s="709">
        <f>'17-Depreciation'!J54</f>
        <v>387.18972443223925</v>
      </c>
      <c r="L96" s="709">
        <f>'17-Depreciation'!K54</f>
        <v>7445.7329891794952</v>
      </c>
      <c r="M96" s="709">
        <f>'17-Depreciation'!L54</f>
        <v>36692.353808394771</v>
      </c>
      <c r="N96" s="246">
        <f t="shared" si="15"/>
        <v>6399428.8802807387</v>
      </c>
    </row>
    <row r="97" spans="1:14" x14ac:dyDescent="0.2">
      <c r="A97" s="736">
        <f t="shared" si="16"/>
        <v>46</v>
      </c>
      <c r="C97" s="862" t="s">
        <v>2588</v>
      </c>
      <c r="D97" s="709">
        <f>'17-Depreciation'!C55</f>
        <v>0</v>
      </c>
      <c r="E97" s="709">
        <f>'17-Depreciation'!D55</f>
        <v>110408.95729400949</v>
      </c>
      <c r="F97" s="709">
        <f>'17-Depreciation'!E55</f>
        <v>343915.10933953203</v>
      </c>
      <c r="G97" s="709">
        <f>'17-Depreciation'!F55</f>
        <v>3322758.2467949204</v>
      </c>
      <c r="H97" s="709">
        <f>'17-Depreciation'!G55</f>
        <v>1256690.7067427093</v>
      </c>
      <c r="I97" s="709">
        <f>'17-Depreciation'!H55</f>
        <v>312100.83153014461</v>
      </c>
      <c r="J97" s="709">
        <f>'17-Depreciation'!I55</f>
        <v>1044805.7680428107</v>
      </c>
      <c r="K97" s="709">
        <f>'17-Depreciation'!J55</f>
        <v>387.19001150439379</v>
      </c>
      <c r="L97" s="709">
        <f>'17-Depreciation'!K55</f>
        <v>7445.7170169259125</v>
      </c>
      <c r="M97" s="709">
        <f>'17-Depreciation'!L55</f>
        <v>36710.495047953737</v>
      </c>
      <c r="N97" s="246">
        <f t="shared" si="15"/>
        <v>6435223.0218205098</v>
      </c>
    </row>
    <row r="98" spans="1:14" x14ac:dyDescent="0.2">
      <c r="A98" s="736">
        <f t="shared" si="16"/>
        <v>47</v>
      </c>
      <c r="C98" s="861" t="s">
        <v>2589</v>
      </c>
      <c r="D98" s="709">
        <f>'17-Depreciation'!C56</f>
        <v>0</v>
      </c>
      <c r="E98" s="709">
        <f>'17-Depreciation'!D56</f>
        <v>109323.11608837514</v>
      </c>
      <c r="F98" s="709">
        <f>'17-Depreciation'!E56</f>
        <v>345935.86675454007</v>
      </c>
      <c r="G98" s="709">
        <f>'17-Depreciation'!F56</f>
        <v>3333210.7981103025</v>
      </c>
      <c r="H98" s="709">
        <f>'17-Depreciation'!G56</f>
        <v>1256862.5830739734</v>
      </c>
      <c r="I98" s="709">
        <f>'17-Depreciation'!H56</f>
        <v>317547.32728360262</v>
      </c>
      <c r="J98" s="709">
        <f>'17-Depreciation'!I56</f>
        <v>1053078.4860528701</v>
      </c>
      <c r="K98" s="709">
        <f>'17-Depreciation'!J56</f>
        <v>387.1902421577434</v>
      </c>
      <c r="L98" s="709">
        <f>'17-Depreciation'!K56</f>
        <v>7440.608421321881</v>
      </c>
      <c r="M98" s="709">
        <f>'17-Depreciation'!L56</f>
        <v>36730.718578279106</v>
      </c>
      <c r="N98" s="246">
        <f t="shared" si="15"/>
        <v>6460516.6946054213</v>
      </c>
    </row>
    <row r="99" spans="1:14" x14ac:dyDescent="0.2">
      <c r="A99" s="736">
        <f t="shared" si="16"/>
        <v>48</v>
      </c>
      <c r="C99" s="861" t="s">
        <v>2590</v>
      </c>
      <c r="D99" s="709">
        <f>'17-Depreciation'!C57</f>
        <v>0</v>
      </c>
      <c r="E99" s="709">
        <f>'17-Depreciation'!D57</f>
        <v>109040.7493437568</v>
      </c>
      <c r="F99" s="709">
        <f>'17-Depreciation'!E57</f>
        <v>350523.17091000424</v>
      </c>
      <c r="G99" s="709">
        <f>'17-Depreciation'!F57</f>
        <v>3337361.6351171215</v>
      </c>
      <c r="H99" s="709">
        <f>'17-Depreciation'!G57</f>
        <v>1258214.5006795663</v>
      </c>
      <c r="I99" s="709">
        <f>'17-Depreciation'!H57</f>
        <v>316608.55938369612</v>
      </c>
      <c r="J99" s="709">
        <f>'17-Depreciation'!I57</f>
        <v>1051208.0051318707</v>
      </c>
      <c r="K99" s="709">
        <f>'17-Depreciation'!J57</f>
        <v>387.79147081197829</v>
      </c>
      <c r="L99" s="709">
        <f>'17-Depreciation'!K57</f>
        <v>7434.516870069484</v>
      </c>
      <c r="M99" s="709">
        <f>'17-Depreciation'!L57</f>
        <v>36762.84098667388</v>
      </c>
      <c r="N99" s="246">
        <f t="shared" si="15"/>
        <v>6467541.7698935699</v>
      </c>
    </row>
    <row r="100" spans="1:14" x14ac:dyDescent="0.2">
      <c r="A100" s="736">
        <f t="shared" si="16"/>
        <v>49</v>
      </c>
      <c r="C100" s="862" t="s">
        <v>2591</v>
      </c>
      <c r="D100" s="709">
        <f>'17-Depreciation'!C58</f>
        <v>0</v>
      </c>
      <c r="E100" s="709">
        <f>'17-Depreciation'!D58</f>
        <v>106829.84544771576</v>
      </c>
      <c r="F100" s="709">
        <f>'17-Depreciation'!E58</f>
        <v>351926.23912328808</v>
      </c>
      <c r="G100" s="709">
        <f>'17-Depreciation'!F58</f>
        <v>3348629.4455394675</v>
      </c>
      <c r="H100" s="709">
        <f>'17-Depreciation'!G58</f>
        <v>1267584.97039978</v>
      </c>
      <c r="I100" s="709">
        <f>'17-Depreciation'!H58</f>
        <v>319952.73662555014</v>
      </c>
      <c r="J100" s="709">
        <f>'17-Depreciation'!I58</f>
        <v>1051232.1515673902</v>
      </c>
      <c r="K100" s="709">
        <f>'17-Depreciation'!J58</f>
        <v>388.8499655833802</v>
      </c>
      <c r="L100" s="709">
        <f>'17-Depreciation'!K58</f>
        <v>7437.8334885021568</v>
      </c>
      <c r="M100" s="709">
        <f>'17-Depreciation'!L58</f>
        <v>17577.832676051712</v>
      </c>
      <c r="N100" s="246">
        <f t="shared" si="15"/>
        <v>6471559.9048333298</v>
      </c>
    </row>
    <row r="101" spans="1:14" x14ac:dyDescent="0.2">
      <c r="A101" s="736">
        <f t="shared" si="16"/>
        <v>50</v>
      </c>
      <c r="C101" s="862" t="s">
        <v>2592</v>
      </c>
      <c r="D101" s="709">
        <f>'17-Depreciation'!C59</f>
        <v>0</v>
      </c>
      <c r="E101" s="709">
        <f>'17-Depreciation'!D59</f>
        <v>105679.57058336293</v>
      </c>
      <c r="F101" s="709">
        <f>'17-Depreciation'!E59</f>
        <v>357970.51688881265</v>
      </c>
      <c r="G101" s="709">
        <f>'17-Depreciation'!F59</f>
        <v>3357751.5192258549</v>
      </c>
      <c r="H101" s="709">
        <f>'17-Depreciation'!G59</f>
        <v>1271560.6135535762</v>
      </c>
      <c r="I101" s="709">
        <f>'17-Depreciation'!H59</f>
        <v>325667.54385324457</v>
      </c>
      <c r="J101" s="709">
        <f>'17-Depreciation'!I59</f>
        <v>1055552.0914099771</v>
      </c>
      <c r="K101" s="709">
        <f>'17-Depreciation'!J59</f>
        <v>390.11850258744909</v>
      </c>
      <c r="L101" s="709">
        <f>'17-Depreciation'!K59</f>
        <v>7435.2526147751569</v>
      </c>
      <c r="M101" s="709">
        <f>'17-Depreciation'!L59</f>
        <v>36966.114651626864</v>
      </c>
      <c r="N101" s="246">
        <f t="shared" si="15"/>
        <v>6518973.3412838168</v>
      </c>
    </row>
    <row r="102" spans="1:14" x14ac:dyDescent="0.2">
      <c r="A102" s="736">
        <f t="shared" si="16"/>
        <v>51</v>
      </c>
      <c r="C102" s="861" t="s">
        <v>2593</v>
      </c>
      <c r="D102" s="118">
        <f>'17-Depreciation'!C60</f>
        <v>0</v>
      </c>
      <c r="E102" s="118">
        <f>'17-Depreciation'!D60</f>
        <v>105255.97499014063</v>
      </c>
      <c r="F102" s="118">
        <f>'17-Depreciation'!E60</f>
        <v>358998.7828332053</v>
      </c>
      <c r="G102" s="118">
        <f>'17-Depreciation'!F60</f>
        <v>3381124.7384630614</v>
      </c>
      <c r="H102" s="118">
        <f>'17-Depreciation'!G60</f>
        <v>1275873.5732939516</v>
      </c>
      <c r="I102" s="118">
        <f>'17-Depreciation'!H60</f>
        <v>334707.02418645582</v>
      </c>
      <c r="J102" s="118">
        <f>'17-Depreciation'!I60</f>
        <v>1062398.4048212443</v>
      </c>
      <c r="K102" s="118">
        <f>'17-Depreciation'!J60</f>
        <v>390.18251635916158</v>
      </c>
      <c r="L102" s="118">
        <f>'17-Depreciation'!K60</f>
        <v>7429.0591362275291</v>
      </c>
      <c r="M102" s="118">
        <f>'17-Depreciation'!L60</f>
        <v>37184.531999580591</v>
      </c>
      <c r="N102" s="394">
        <f t="shared" si="15"/>
        <v>6563362.2722402252</v>
      </c>
    </row>
    <row r="103" spans="1:14" x14ac:dyDescent="0.2">
      <c r="A103" s="736">
        <f t="shared" si="16"/>
        <v>52</v>
      </c>
      <c r="C103" s="740" t="s">
        <v>5</v>
      </c>
      <c r="D103" s="246">
        <f>SUM(D91:D102)</f>
        <v>0</v>
      </c>
      <c r="E103" s="246">
        <f t="shared" ref="E103:M103" si="17">SUM(E91:E102)</f>
        <v>1314701.0032938658</v>
      </c>
      <c r="F103" s="246">
        <f t="shared" si="17"/>
        <v>4142099.3595462088</v>
      </c>
      <c r="G103" s="246">
        <f t="shared" si="17"/>
        <v>39655165.607453376</v>
      </c>
      <c r="H103" s="246">
        <f t="shared" si="17"/>
        <v>15097012.048702559</v>
      </c>
      <c r="I103" s="246">
        <f t="shared" si="17"/>
        <v>3761188.0478488612</v>
      </c>
      <c r="J103" s="246">
        <f t="shared" si="17"/>
        <v>12565185.789787633</v>
      </c>
      <c r="K103" s="246">
        <f t="shared" si="17"/>
        <v>4653.6967268157277</v>
      </c>
      <c r="L103" s="246">
        <f t="shared" si="17"/>
        <v>89257.540392679279</v>
      </c>
      <c r="M103" s="246">
        <f t="shared" si="17"/>
        <v>420790.54119326069</v>
      </c>
      <c r="N103" s="246">
        <f>SUM(N91:N102)</f>
        <v>77050053.634945244</v>
      </c>
    </row>
    <row r="105" spans="1:14" x14ac:dyDescent="0.2">
      <c r="C105" s="1" t="s">
        <v>2038</v>
      </c>
      <c r="D105" s="649"/>
      <c r="E105" s="649"/>
      <c r="F105" s="649"/>
      <c r="G105" s="649"/>
      <c r="H105" s="649"/>
      <c r="I105" s="649"/>
      <c r="J105" s="649"/>
      <c r="K105" s="649"/>
      <c r="L105" s="649"/>
    </row>
    <row r="106" spans="1:14" x14ac:dyDescent="0.2">
      <c r="C106" s="649"/>
      <c r="D106" s="649"/>
      <c r="E106" s="649"/>
      <c r="F106" s="649"/>
      <c r="G106" s="649"/>
      <c r="H106" s="649"/>
      <c r="I106" s="649"/>
      <c r="J106" s="649"/>
      <c r="K106" s="649"/>
      <c r="L106" s="649"/>
    </row>
    <row r="107" spans="1:14" x14ac:dyDescent="0.2">
      <c r="C107" s="88" t="s">
        <v>406</v>
      </c>
      <c r="D107" s="88" t="s">
        <v>390</v>
      </c>
      <c r="E107" s="88" t="s">
        <v>391</v>
      </c>
      <c r="F107" s="88" t="s">
        <v>392</v>
      </c>
      <c r="G107" s="88" t="s">
        <v>393</v>
      </c>
      <c r="H107" s="88" t="s">
        <v>394</v>
      </c>
      <c r="I107" s="88" t="s">
        <v>395</v>
      </c>
      <c r="J107" s="88" t="s">
        <v>610</v>
      </c>
      <c r="K107" s="88" t="s">
        <v>1059</v>
      </c>
      <c r="L107" s="88" t="s">
        <v>1076</v>
      </c>
      <c r="M107" s="88" t="s">
        <v>1079</v>
      </c>
      <c r="N107" s="88" t="s">
        <v>1097</v>
      </c>
    </row>
    <row r="108" spans="1:14" x14ac:dyDescent="0.2">
      <c r="C108" s="266"/>
      <c r="D108" s="244"/>
      <c r="E108" s="244"/>
      <c r="F108" s="244"/>
      <c r="G108" s="244"/>
      <c r="H108" s="244"/>
      <c r="I108" s="244"/>
      <c r="J108" s="244"/>
      <c r="K108" s="244"/>
      <c r="L108" s="244"/>
      <c r="N108" s="266" t="s">
        <v>1525</v>
      </c>
    </row>
    <row r="109" spans="1:14" x14ac:dyDescent="0.2">
      <c r="C109" s="117"/>
      <c r="D109" s="88"/>
      <c r="E109" s="88"/>
      <c r="F109" s="244"/>
      <c r="G109" s="244"/>
      <c r="H109" s="244"/>
      <c r="I109" s="244"/>
      <c r="J109" s="244"/>
      <c r="K109" s="244"/>
      <c r="L109" s="244"/>
      <c r="M109" s="244"/>
    </row>
    <row r="110" spans="1:14" x14ac:dyDescent="0.2">
      <c r="C110" s="131" t="s">
        <v>2580</v>
      </c>
      <c r="D110" s="88">
        <v>350.1</v>
      </c>
      <c r="E110" s="88">
        <v>350.2</v>
      </c>
      <c r="F110" s="88">
        <v>352</v>
      </c>
      <c r="G110" s="88">
        <v>353</v>
      </c>
      <c r="H110" s="88">
        <v>354</v>
      </c>
      <c r="I110" s="88">
        <v>355</v>
      </c>
      <c r="J110" s="88">
        <v>356</v>
      </c>
      <c r="K110" s="88">
        <v>357</v>
      </c>
      <c r="L110" s="88">
        <v>358</v>
      </c>
      <c r="M110" s="88">
        <v>359</v>
      </c>
      <c r="N110" s="3" t="s">
        <v>226</v>
      </c>
    </row>
    <row r="111" spans="1:14" x14ac:dyDescent="0.2">
      <c r="A111" s="736">
        <f>A103+1</f>
        <v>53</v>
      </c>
      <c r="C111" s="862" t="s">
        <v>2582</v>
      </c>
      <c r="D111" s="709">
        <f t="shared" ref="D111:M111" si="18">D71-D91</f>
        <v>0</v>
      </c>
      <c r="E111" s="709">
        <f t="shared" si="18"/>
        <v>34278.684397840159</v>
      </c>
      <c r="F111" s="709">
        <f t="shared" si="18"/>
        <v>214597.37747036834</v>
      </c>
      <c r="G111" s="709">
        <f t="shared" si="18"/>
        <v>-363073.73065574793</v>
      </c>
      <c r="H111" s="709">
        <f t="shared" si="18"/>
        <v>51273.814055563649</v>
      </c>
      <c r="I111" s="709">
        <f t="shared" si="18"/>
        <v>930131.47010301834</v>
      </c>
      <c r="J111" s="709">
        <f t="shared" si="18"/>
        <v>256576.53970301652</v>
      </c>
      <c r="K111" s="709">
        <f t="shared" si="18"/>
        <v>53801.310780230211</v>
      </c>
      <c r="L111" s="709">
        <f t="shared" si="18"/>
        <v>525342.44983266643</v>
      </c>
      <c r="M111" s="709">
        <f t="shared" si="18"/>
        <v>2746.2981527947122</v>
      </c>
      <c r="N111" s="246">
        <f t="shared" ref="N111:N122" si="19">SUM(D111:M111)</f>
        <v>1705674.2138397503</v>
      </c>
    </row>
    <row r="112" spans="1:14" x14ac:dyDescent="0.2">
      <c r="A112" s="736">
        <f t="shared" ref="A112:A123" si="20">A111+1</f>
        <v>54</v>
      </c>
      <c r="C112" s="861" t="s">
        <v>2583</v>
      </c>
      <c r="D112" s="709">
        <f t="shared" ref="D112:M112" si="21">D72-D92</f>
        <v>0</v>
      </c>
      <c r="E112" s="709">
        <f t="shared" si="21"/>
        <v>34190.015962035817</v>
      </c>
      <c r="F112" s="709">
        <f t="shared" si="21"/>
        <v>210981.96739799052</v>
      </c>
      <c r="G112" s="709">
        <f t="shared" si="21"/>
        <v>-3945539.2762377211</v>
      </c>
      <c r="H112" s="709">
        <f t="shared" si="21"/>
        <v>72420.214975784998</v>
      </c>
      <c r="I112" s="709">
        <f t="shared" si="21"/>
        <v>732486.48421984259</v>
      </c>
      <c r="J112" s="709">
        <f t="shared" si="21"/>
        <v>541272.2961293949</v>
      </c>
      <c r="K112" s="709">
        <f t="shared" si="21"/>
        <v>-98646.999739688588</v>
      </c>
      <c r="L112" s="709">
        <f t="shared" si="21"/>
        <v>518113.75172477606</v>
      </c>
      <c r="M112" s="709">
        <f t="shared" si="21"/>
        <v>2751.4938349581425</v>
      </c>
      <c r="N112" s="246">
        <f t="shared" si="19"/>
        <v>-1931970.0517326267</v>
      </c>
    </row>
    <row r="113" spans="1:14" x14ac:dyDescent="0.2">
      <c r="A113" s="736">
        <f t="shared" si="20"/>
        <v>55</v>
      </c>
      <c r="C113" s="861" t="s">
        <v>2584</v>
      </c>
      <c r="D113" s="709">
        <f t="shared" ref="D113:M113" si="22">D73-D93</f>
        <v>0</v>
      </c>
      <c r="E113" s="709">
        <f t="shared" si="22"/>
        <v>34358.163788414749</v>
      </c>
      <c r="F113" s="709">
        <f t="shared" si="22"/>
        <v>182590.2766069303</v>
      </c>
      <c r="G113" s="709">
        <f t="shared" si="22"/>
        <v>-1261116.6186686798</v>
      </c>
      <c r="H113" s="709">
        <f t="shared" si="22"/>
        <v>48273.837681926554</v>
      </c>
      <c r="I113" s="709">
        <f t="shared" si="22"/>
        <v>755051.13326905272</v>
      </c>
      <c r="J113" s="709">
        <f t="shared" si="22"/>
        <v>-1489870.9543076803</v>
      </c>
      <c r="K113" s="709">
        <f t="shared" si="22"/>
        <v>54454.510084415408</v>
      </c>
      <c r="L113" s="709">
        <f t="shared" si="22"/>
        <v>529412.79331107973</v>
      </c>
      <c r="M113" s="709">
        <f t="shared" si="22"/>
        <v>2751.4922695838904</v>
      </c>
      <c r="N113" s="246">
        <f t="shared" si="19"/>
        <v>-1144095.3659649568</v>
      </c>
    </row>
    <row r="114" spans="1:14" x14ac:dyDescent="0.2">
      <c r="A114" s="736">
        <f t="shared" si="20"/>
        <v>56</v>
      </c>
      <c r="C114" s="862" t="s">
        <v>2585</v>
      </c>
      <c r="D114" s="709">
        <f t="shared" ref="D114:M114" si="23">D74-D94</f>
        <v>0</v>
      </c>
      <c r="E114" s="709">
        <f t="shared" si="23"/>
        <v>34737.14025104724</v>
      </c>
      <c r="F114" s="709">
        <f t="shared" si="23"/>
        <v>17442.379081772175</v>
      </c>
      <c r="G114" s="709">
        <f t="shared" si="23"/>
        <v>-8451373.0891326927</v>
      </c>
      <c r="H114" s="709">
        <f t="shared" si="23"/>
        <v>75946.71305172774</v>
      </c>
      <c r="I114" s="709">
        <f t="shared" si="23"/>
        <v>771209.48020842485</v>
      </c>
      <c r="J114" s="709">
        <f t="shared" si="23"/>
        <v>590797.19662911945</v>
      </c>
      <c r="K114" s="709">
        <f t="shared" si="23"/>
        <v>54450.834422028041</v>
      </c>
      <c r="L114" s="709">
        <f t="shared" si="23"/>
        <v>488650.46540611587</v>
      </c>
      <c r="M114" s="709">
        <f t="shared" si="23"/>
        <v>2753.4841308660471</v>
      </c>
      <c r="N114" s="246">
        <f t="shared" si="19"/>
        <v>-6415385.3959515924</v>
      </c>
    </row>
    <row r="115" spans="1:14" x14ac:dyDescent="0.2">
      <c r="A115" s="736">
        <f t="shared" si="20"/>
        <v>57</v>
      </c>
      <c r="C115" s="861" t="s">
        <v>2586</v>
      </c>
      <c r="D115" s="709">
        <f t="shared" ref="D115:M115" si="24">D75-D95</f>
        <v>0</v>
      </c>
      <c r="E115" s="709">
        <f t="shared" si="24"/>
        <v>34964.634902500417</v>
      </c>
      <c r="F115" s="709">
        <f t="shared" si="24"/>
        <v>371816.03406138736</v>
      </c>
      <c r="G115" s="709">
        <f t="shared" si="24"/>
        <v>12841814.879537022</v>
      </c>
      <c r="H115" s="709">
        <f t="shared" si="24"/>
        <v>76223.372567743994</v>
      </c>
      <c r="I115" s="709">
        <f t="shared" si="24"/>
        <v>989031.02288015001</v>
      </c>
      <c r="J115" s="709">
        <f t="shared" si="24"/>
        <v>578868.44131494616</v>
      </c>
      <c r="K115" s="709">
        <f t="shared" si="24"/>
        <v>54452.192810774613</v>
      </c>
      <c r="L115" s="709">
        <f t="shared" si="24"/>
        <v>529911.58953298198</v>
      </c>
      <c r="M115" s="709">
        <f t="shared" si="24"/>
        <v>2754.1169310761979</v>
      </c>
      <c r="N115" s="246">
        <f t="shared" si="19"/>
        <v>15479836.284538584</v>
      </c>
    </row>
    <row r="116" spans="1:14" x14ac:dyDescent="0.2">
      <c r="A116" s="736">
        <f t="shared" si="20"/>
        <v>58</v>
      </c>
      <c r="C116" s="861" t="s">
        <v>2587</v>
      </c>
      <c r="D116" s="709">
        <f t="shared" ref="D116:M116" si="25">D76-D96</f>
        <v>0</v>
      </c>
      <c r="E116" s="709">
        <f t="shared" si="25"/>
        <v>34964.676151654727</v>
      </c>
      <c r="F116" s="709">
        <f t="shared" si="25"/>
        <v>214230.92280008743</v>
      </c>
      <c r="G116" s="709">
        <f t="shared" si="25"/>
        <v>-4161275.9236142589</v>
      </c>
      <c r="H116" s="709">
        <f t="shared" si="25"/>
        <v>75166.359041933203</v>
      </c>
      <c r="I116" s="709">
        <f t="shared" si="25"/>
        <v>818418.08060136018</v>
      </c>
      <c r="J116" s="709">
        <f t="shared" si="25"/>
        <v>581755.98998833739</v>
      </c>
      <c r="K116" s="709">
        <f t="shared" si="25"/>
        <v>54452.202805794397</v>
      </c>
      <c r="L116" s="709">
        <f t="shared" si="25"/>
        <v>522223.21094347438</v>
      </c>
      <c r="M116" s="709">
        <f t="shared" si="25"/>
        <v>2754.5259444009062</v>
      </c>
      <c r="N116" s="246">
        <f t="shared" si="19"/>
        <v>-1857309.9553372168</v>
      </c>
    </row>
    <row r="117" spans="1:14" x14ac:dyDescent="0.2">
      <c r="A117" s="736">
        <f t="shared" si="20"/>
        <v>59</v>
      </c>
      <c r="C117" s="862" t="s">
        <v>2588</v>
      </c>
      <c r="D117" s="709">
        <f t="shared" ref="D117:M117" si="26">D77-D97</f>
        <v>0</v>
      </c>
      <c r="E117" s="709">
        <f t="shared" si="26"/>
        <v>36366.128539323734</v>
      </c>
      <c r="F117" s="709">
        <f t="shared" si="26"/>
        <v>107398.54417969118</v>
      </c>
      <c r="G117" s="709">
        <f t="shared" si="26"/>
        <v>-3795047.8808898823</v>
      </c>
      <c r="H117" s="709">
        <f t="shared" si="26"/>
        <v>76515.275312828133</v>
      </c>
      <c r="I117" s="709">
        <f t="shared" si="26"/>
        <v>764866.37451456301</v>
      </c>
      <c r="J117" s="709">
        <f t="shared" si="26"/>
        <v>530072.21732702269</v>
      </c>
      <c r="K117" s="709">
        <f t="shared" si="26"/>
        <v>54452.442518722462</v>
      </c>
      <c r="L117" s="709">
        <f t="shared" si="26"/>
        <v>516186.87691573391</v>
      </c>
      <c r="M117" s="709">
        <f t="shared" si="26"/>
        <v>2754.7547048411216</v>
      </c>
      <c r="N117" s="246">
        <f t="shared" si="19"/>
        <v>-1706435.2668771564</v>
      </c>
    </row>
    <row r="118" spans="1:14" x14ac:dyDescent="0.2">
      <c r="A118" s="736">
        <f t="shared" si="20"/>
        <v>60</v>
      </c>
      <c r="C118" s="861" t="s">
        <v>2589</v>
      </c>
      <c r="D118" s="709">
        <f t="shared" ref="D118:M118" si="27">D78-D98</f>
        <v>0</v>
      </c>
      <c r="E118" s="709">
        <f t="shared" si="27"/>
        <v>37804.079744957489</v>
      </c>
      <c r="F118" s="709">
        <f t="shared" si="27"/>
        <v>75197.656764687912</v>
      </c>
      <c r="G118" s="709">
        <f t="shared" si="27"/>
        <v>-1737974.4222053334</v>
      </c>
      <c r="H118" s="709">
        <f t="shared" si="27"/>
        <v>76450.168981664116</v>
      </c>
      <c r="I118" s="709">
        <f t="shared" si="27"/>
        <v>1153305.9187610371</v>
      </c>
      <c r="J118" s="709">
        <f t="shared" si="27"/>
        <v>607589.10931679886</v>
      </c>
      <c r="K118" s="709">
        <f t="shared" si="27"/>
        <v>54452.642288072093</v>
      </c>
      <c r="L118" s="709">
        <f t="shared" si="27"/>
        <v>509236.38551134389</v>
      </c>
      <c r="M118" s="709">
        <f t="shared" si="27"/>
        <v>2764.2311745150073</v>
      </c>
      <c r="N118" s="246">
        <f t="shared" si="19"/>
        <v>778825.77033774299</v>
      </c>
    </row>
    <row r="119" spans="1:14" x14ac:dyDescent="0.2">
      <c r="A119" s="736">
        <f t="shared" si="20"/>
        <v>61</v>
      </c>
      <c r="C119" s="861" t="s">
        <v>2590</v>
      </c>
      <c r="D119" s="709">
        <f t="shared" ref="D119:M119" si="28">D79-D99</f>
        <v>0</v>
      </c>
      <c r="E119" s="709">
        <f t="shared" si="28"/>
        <v>38124.50648957635</v>
      </c>
      <c r="F119" s="709">
        <f t="shared" si="28"/>
        <v>108783.51260923507</v>
      </c>
      <c r="G119" s="709">
        <f t="shared" si="28"/>
        <v>391900.05078808824</v>
      </c>
      <c r="H119" s="709">
        <f t="shared" si="28"/>
        <v>77601.151376107009</v>
      </c>
      <c r="I119" s="709">
        <f t="shared" si="28"/>
        <v>463290.58666100906</v>
      </c>
      <c r="J119" s="709">
        <f t="shared" si="28"/>
        <v>145410.38023799844</v>
      </c>
      <c r="K119" s="709">
        <f t="shared" si="28"/>
        <v>54962.211059415924</v>
      </c>
      <c r="L119" s="709">
        <f t="shared" si="28"/>
        <v>269473.50706258259</v>
      </c>
      <c r="M119" s="709">
        <f t="shared" si="28"/>
        <v>2764.6187661218719</v>
      </c>
      <c r="N119" s="246">
        <f t="shared" si="19"/>
        <v>1552310.5250501344</v>
      </c>
    </row>
    <row r="120" spans="1:14" x14ac:dyDescent="0.2">
      <c r="A120" s="736">
        <f t="shared" si="20"/>
        <v>62</v>
      </c>
      <c r="C120" s="862" t="s">
        <v>2591</v>
      </c>
      <c r="D120" s="709">
        <f t="shared" ref="D120:M120" si="29">D80-D100</f>
        <v>0</v>
      </c>
      <c r="E120" s="709">
        <f t="shared" si="29"/>
        <v>38992.450385618358</v>
      </c>
      <c r="F120" s="709">
        <f t="shared" si="29"/>
        <v>240748.16439592023</v>
      </c>
      <c r="G120" s="709">
        <f t="shared" si="29"/>
        <v>-307689.3896343126</v>
      </c>
      <c r="H120" s="709">
        <f t="shared" si="29"/>
        <v>73557.121655712137</v>
      </c>
      <c r="I120" s="709">
        <f t="shared" si="29"/>
        <v>-527556.73058092</v>
      </c>
      <c r="J120" s="709">
        <f t="shared" si="29"/>
        <v>553550.41380230733</v>
      </c>
      <c r="K120" s="709">
        <f t="shared" si="29"/>
        <v>55859.342564642138</v>
      </c>
      <c r="L120" s="709">
        <f t="shared" si="29"/>
        <v>530953.48044415645</v>
      </c>
      <c r="M120" s="709">
        <f t="shared" si="29"/>
        <v>2080.6070767463498</v>
      </c>
      <c r="N120" s="246">
        <f t="shared" si="19"/>
        <v>660495.4601098703</v>
      </c>
    </row>
    <row r="121" spans="1:14" x14ac:dyDescent="0.2">
      <c r="A121" s="736">
        <f t="shared" si="20"/>
        <v>63</v>
      </c>
      <c r="C121" s="862" t="s">
        <v>2592</v>
      </c>
      <c r="D121" s="709">
        <f t="shared" ref="D121:M121" si="30">D81-D101</f>
        <v>0</v>
      </c>
      <c r="E121" s="709">
        <f t="shared" si="30"/>
        <v>40373.19524997093</v>
      </c>
      <c r="F121" s="709">
        <f t="shared" si="30"/>
        <v>217028.27663042606</v>
      </c>
      <c r="G121" s="709">
        <f t="shared" si="30"/>
        <v>1840006.5466792309</v>
      </c>
      <c r="H121" s="709">
        <f t="shared" si="30"/>
        <v>77340.308502078056</v>
      </c>
      <c r="I121" s="709">
        <f t="shared" si="30"/>
        <v>719781.23219142598</v>
      </c>
      <c r="J121" s="709">
        <f t="shared" si="30"/>
        <v>524876.69395986828</v>
      </c>
      <c r="K121" s="709">
        <f t="shared" si="30"/>
        <v>56562.494027641718</v>
      </c>
      <c r="L121" s="709">
        <f t="shared" si="30"/>
        <v>83370.071317888855</v>
      </c>
      <c r="M121" s="709">
        <f t="shared" si="30"/>
        <v>2767.0951011707511</v>
      </c>
      <c r="N121" s="246">
        <f t="shared" si="19"/>
        <v>3562105.9136597016</v>
      </c>
    </row>
    <row r="122" spans="1:14" x14ac:dyDescent="0.2">
      <c r="A122" s="736">
        <f t="shared" si="20"/>
        <v>64</v>
      </c>
      <c r="C122" s="861" t="s">
        <v>2593</v>
      </c>
      <c r="D122" s="118">
        <f t="shared" ref="D122:M122" si="31">D82-D102</f>
        <v>0</v>
      </c>
      <c r="E122" s="118">
        <f t="shared" si="31"/>
        <v>40881.550843191144</v>
      </c>
      <c r="F122" s="118">
        <f t="shared" si="31"/>
        <v>857492.02068602387</v>
      </c>
      <c r="G122" s="118">
        <f t="shared" si="31"/>
        <v>4378254.997441981</v>
      </c>
      <c r="H122" s="118">
        <f t="shared" si="31"/>
        <v>59365.548761631129</v>
      </c>
      <c r="I122" s="118">
        <f t="shared" si="31"/>
        <v>554109.31185824703</v>
      </c>
      <c r="J122" s="118">
        <f t="shared" si="31"/>
        <v>636953.53054851759</v>
      </c>
      <c r="K122" s="118">
        <f t="shared" si="31"/>
        <v>59307.970013869111</v>
      </c>
      <c r="L122" s="118">
        <f t="shared" si="31"/>
        <v>561721.84479641984</v>
      </c>
      <c r="M122" s="118">
        <f t="shared" si="31"/>
        <v>2769.7577532115101</v>
      </c>
      <c r="N122" s="394">
        <f t="shared" si="19"/>
        <v>7150856.5327030923</v>
      </c>
    </row>
    <row r="123" spans="1:14" x14ac:dyDescent="0.2">
      <c r="A123" s="736">
        <f t="shared" si="20"/>
        <v>65</v>
      </c>
      <c r="C123" s="740" t="s">
        <v>5</v>
      </c>
      <c r="D123" s="246">
        <f>SUM(D111:D122)</f>
        <v>0</v>
      </c>
      <c r="E123" s="246">
        <f t="shared" ref="E123:M123" si="32">SUM(E111:E122)</f>
        <v>440035.22670613125</v>
      </c>
      <c r="F123" s="246">
        <f t="shared" si="32"/>
        <v>2818307.1326845204</v>
      </c>
      <c r="G123" s="246">
        <f t="shared" si="32"/>
        <v>-4571113.8565923087</v>
      </c>
      <c r="H123" s="246">
        <f t="shared" si="32"/>
        <v>840133.88596470072</v>
      </c>
      <c r="I123" s="246">
        <f t="shared" si="32"/>
        <v>8124124.3646872099</v>
      </c>
      <c r="J123" s="246">
        <f t="shared" si="32"/>
        <v>4057851.8546496471</v>
      </c>
      <c r="K123" s="246">
        <f t="shared" si="32"/>
        <v>508561.15363591752</v>
      </c>
      <c r="L123" s="246">
        <f t="shared" si="32"/>
        <v>5584596.42679922</v>
      </c>
      <c r="M123" s="246">
        <f t="shared" si="32"/>
        <v>32412.475840286508</v>
      </c>
      <c r="N123" s="246">
        <f>SUM(N111:N122)</f>
        <v>17834908.664375328</v>
      </c>
    </row>
    <row r="125" spans="1:14" x14ac:dyDescent="0.2">
      <c r="C125" s="1" t="s">
        <v>2033</v>
      </c>
    </row>
    <row r="127" spans="1:14" x14ac:dyDescent="0.2">
      <c r="C127" s="653" t="s">
        <v>2039</v>
      </c>
    </row>
    <row r="128" spans="1:14" x14ac:dyDescent="0.2">
      <c r="C128" s="16"/>
      <c r="D128" s="88">
        <v>350.1</v>
      </c>
      <c r="E128" s="88">
        <v>350.2</v>
      </c>
      <c r="F128" s="88">
        <v>352</v>
      </c>
      <c r="G128" s="88">
        <v>353</v>
      </c>
      <c r="H128" s="88">
        <v>354</v>
      </c>
      <c r="I128" s="88">
        <v>355</v>
      </c>
      <c r="J128" s="88">
        <v>356</v>
      </c>
      <c r="K128" s="88">
        <v>357</v>
      </c>
      <c r="L128" s="88">
        <v>358</v>
      </c>
      <c r="M128" s="88">
        <v>359</v>
      </c>
      <c r="N128" s="3" t="s">
        <v>226</v>
      </c>
    </row>
    <row r="129" spans="1:14" x14ac:dyDescent="0.2">
      <c r="A129" s="736">
        <f>A123+1</f>
        <v>66</v>
      </c>
      <c r="C129" s="16"/>
      <c r="D129" s="7">
        <f t="shared" ref="D129:M129" si="33">D24-D12</f>
        <v>0</v>
      </c>
      <c r="E129" s="7">
        <f t="shared" si="33"/>
        <v>1006841.6908074189</v>
      </c>
      <c r="F129" s="7">
        <f t="shared" si="33"/>
        <v>5098486.1389089599</v>
      </c>
      <c r="G129" s="7">
        <f t="shared" si="33"/>
        <v>19250235.517304778</v>
      </c>
      <c r="H129" s="7">
        <f t="shared" si="33"/>
        <v>8124318</v>
      </c>
      <c r="I129" s="7">
        <f t="shared" si="33"/>
        <v>4491250</v>
      </c>
      <c r="J129" s="7">
        <f t="shared" si="33"/>
        <v>2145063</v>
      </c>
      <c r="K129" s="7">
        <f t="shared" si="33"/>
        <v>-1170</v>
      </c>
      <c r="L129" s="7">
        <f t="shared" si="33"/>
        <v>61273</v>
      </c>
      <c r="M129" s="7">
        <f t="shared" si="33"/>
        <v>398434</v>
      </c>
      <c r="N129" s="7">
        <f>SUM(D129:M129)</f>
        <v>40574731.347021155</v>
      </c>
    </row>
    <row r="130" spans="1:14" x14ac:dyDescent="0.2">
      <c r="C130" s="16"/>
    </row>
    <row r="131" spans="1:14" x14ac:dyDescent="0.2">
      <c r="C131" s="653" t="s">
        <v>2040</v>
      </c>
    </row>
    <row r="132" spans="1:14" x14ac:dyDescent="0.2">
      <c r="C132" s="16"/>
      <c r="D132" s="88">
        <v>350.1</v>
      </c>
      <c r="E132" s="88">
        <v>350.2</v>
      </c>
      <c r="F132" s="88">
        <v>352</v>
      </c>
      <c r="G132" s="88">
        <v>353</v>
      </c>
      <c r="H132" s="88">
        <v>354</v>
      </c>
      <c r="I132" s="88">
        <v>355</v>
      </c>
      <c r="J132" s="88">
        <v>356</v>
      </c>
      <c r="K132" s="88">
        <v>357</v>
      </c>
      <c r="L132" s="88">
        <v>358</v>
      </c>
      <c r="M132" s="88">
        <v>359</v>
      </c>
      <c r="N132" s="3" t="s">
        <v>226</v>
      </c>
    </row>
    <row r="133" spans="1:14" x14ac:dyDescent="0.2">
      <c r="A133" s="736">
        <f>A129+1</f>
        <v>67</v>
      </c>
      <c r="C133" s="16"/>
      <c r="D133" s="7">
        <f t="shared" ref="D133:M133" si="34">D103</f>
        <v>0</v>
      </c>
      <c r="E133" s="7">
        <f t="shared" si="34"/>
        <v>1314701.0032938658</v>
      </c>
      <c r="F133" s="7">
        <f t="shared" si="34"/>
        <v>4142099.3595462088</v>
      </c>
      <c r="G133" s="7">
        <f t="shared" si="34"/>
        <v>39655165.607453376</v>
      </c>
      <c r="H133" s="7">
        <f t="shared" si="34"/>
        <v>15097012.048702559</v>
      </c>
      <c r="I133" s="7">
        <f t="shared" si="34"/>
        <v>3761188.0478488612</v>
      </c>
      <c r="J133" s="7">
        <f t="shared" si="34"/>
        <v>12565185.789787633</v>
      </c>
      <c r="K133" s="7">
        <f t="shared" si="34"/>
        <v>4653.6967268157277</v>
      </c>
      <c r="L133" s="7">
        <f t="shared" si="34"/>
        <v>89257.540392679279</v>
      </c>
      <c r="M133" s="7">
        <f t="shared" si="34"/>
        <v>420790.54119326069</v>
      </c>
      <c r="N133" s="7">
        <f>SUM(D133:M133)</f>
        <v>77050053.634945258</v>
      </c>
    </row>
    <row r="134" spans="1:14" x14ac:dyDescent="0.2">
      <c r="C134" s="653" t="s">
        <v>2041</v>
      </c>
    </row>
    <row r="135" spans="1:14" x14ac:dyDescent="0.2">
      <c r="D135" s="88">
        <v>350.1</v>
      </c>
      <c r="E135" s="88">
        <v>350.2</v>
      </c>
      <c r="F135" s="88">
        <v>352</v>
      </c>
      <c r="G135" s="88">
        <v>353</v>
      </c>
      <c r="H135" s="88">
        <v>354</v>
      </c>
      <c r="I135" s="88">
        <v>355</v>
      </c>
      <c r="J135" s="88">
        <v>356</v>
      </c>
      <c r="K135" s="88">
        <v>357</v>
      </c>
      <c r="L135" s="88">
        <v>358</v>
      </c>
      <c r="M135" s="88">
        <v>359</v>
      </c>
      <c r="N135" s="3" t="s">
        <v>226</v>
      </c>
    </row>
    <row r="136" spans="1:14" x14ac:dyDescent="0.2">
      <c r="A136" s="736">
        <f>A133+1</f>
        <v>68</v>
      </c>
      <c r="D136" s="7">
        <f t="shared" ref="D136:M136" si="35">D129-D133</f>
        <v>0</v>
      </c>
      <c r="E136" s="7">
        <f t="shared" si="35"/>
        <v>-307859.31248644693</v>
      </c>
      <c r="F136" s="7">
        <f t="shared" si="35"/>
        <v>956386.77936275117</v>
      </c>
      <c r="G136" s="7">
        <f t="shared" si="35"/>
        <v>-20404930.090148598</v>
      </c>
      <c r="H136" s="7">
        <f t="shared" si="35"/>
        <v>-6972694.0487025585</v>
      </c>
      <c r="I136" s="7">
        <f t="shared" si="35"/>
        <v>730061.9521511388</v>
      </c>
      <c r="J136" s="7">
        <f t="shared" si="35"/>
        <v>-10420122.789787633</v>
      </c>
      <c r="K136" s="7">
        <f t="shared" si="35"/>
        <v>-5823.6967268157277</v>
      </c>
      <c r="L136" s="7">
        <f t="shared" si="35"/>
        <v>-27984.540392679279</v>
      </c>
      <c r="M136" s="7">
        <f t="shared" si="35"/>
        <v>-22356.541193260695</v>
      </c>
      <c r="N136" s="7">
        <f>SUM(D136:M136)</f>
        <v>-36475322.287924103</v>
      </c>
    </row>
    <row r="138" spans="1:14" x14ac:dyDescent="0.2">
      <c r="C138" s="1" t="s">
        <v>2042</v>
      </c>
      <c r="D138" s="649"/>
      <c r="E138" s="649"/>
      <c r="F138" s="649"/>
      <c r="G138" s="649"/>
      <c r="H138" s="649"/>
      <c r="I138" s="649"/>
      <c r="J138" s="649"/>
      <c r="K138" s="649"/>
      <c r="L138" s="649"/>
    </row>
    <row r="139" spans="1:14" x14ac:dyDescent="0.2">
      <c r="C139" s="649"/>
      <c r="D139" s="649"/>
      <c r="E139" s="649"/>
      <c r="F139" s="649"/>
      <c r="G139" s="649"/>
      <c r="H139" s="649"/>
      <c r="I139" s="649"/>
      <c r="J139" s="649"/>
      <c r="K139" s="649"/>
      <c r="L139" s="649"/>
    </row>
    <row r="140" spans="1:14" x14ac:dyDescent="0.2">
      <c r="C140" s="88" t="s">
        <v>406</v>
      </c>
      <c r="D140" s="88" t="s">
        <v>390</v>
      </c>
      <c r="E140" s="88" t="s">
        <v>391</v>
      </c>
      <c r="F140" s="88" t="s">
        <v>392</v>
      </c>
      <c r="G140" s="88" t="s">
        <v>393</v>
      </c>
      <c r="H140" s="88" t="s">
        <v>394</v>
      </c>
      <c r="I140" s="88" t="s">
        <v>395</v>
      </c>
      <c r="J140" s="88" t="s">
        <v>610</v>
      </c>
      <c r="K140" s="88" t="s">
        <v>1059</v>
      </c>
      <c r="L140" s="88" t="s">
        <v>1076</v>
      </c>
      <c r="M140" s="88" t="s">
        <v>1079</v>
      </c>
      <c r="N140" s="88" t="s">
        <v>1097</v>
      </c>
    </row>
    <row r="141" spans="1:14" x14ac:dyDescent="0.2">
      <c r="C141" s="266"/>
      <c r="D141" s="244"/>
      <c r="E141" s="244"/>
      <c r="F141" s="244"/>
      <c r="G141" s="244"/>
      <c r="H141" s="244"/>
      <c r="I141" s="244"/>
      <c r="J141" s="244"/>
      <c r="K141" s="244"/>
      <c r="L141" s="244"/>
      <c r="N141" s="266" t="s">
        <v>1525</v>
      </c>
    </row>
    <row r="142" spans="1:14" x14ac:dyDescent="0.2">
      <c r="C142" s="117"/>
      <c r="D142" s="88"/>
      <c r="E142" s="88"/>
      <c r="F142" s="244"/>
      <c r="G142" s="244"/>
      <c r="H142" s="244"/>
      <c r="I142" s="244"/>
      <c r="J142" s="244"/>
      <c r="K142" s="244"/>
      <c r="L142" s="244"/>
      <c r="M142" s="244"/>
    </row>
    <row r="143" spans="1:14" x14ac:dyDescent="0.2">
      <c r="C143" s="131" t="s">
        <v>2580</v>
      </c>
      <c r="D143" s="88">
        <v>350.1</v>
      </c>
      <c r="E143" s="88">
        <v>350.2</v>
      </c>
      <c r="F143" s="88">
        <v>352</v>
      </c>
      <c r="G143" s="88">
        <v>353</v>
      </c>
      <c r="H143" s="88">
        <v>354</v>
      </c>
      <c r="I143" s="88">
        <v>355</v>
      </c>
      <c r="J143" s="88">
        <v>356</v>
      </c>
      <c r="K143" s="88">
        <v>357</v>
      </c>
      <c r="L143" s="88">
        <v>358</v>
      </c>
      <c r="M143" s="88">
        <v>359</v>
      </c>
      <c r="N143" s="3" t="s">
        <v>226</v>
      </c>
    </row>
    <row r="144" spans="1:14" x14ac:dyDescent="0.2">
      <c r="A144" s="736">
        <f>A136+1</f>
        <v>69</v>
      </c>
      <c r="C144" s="862" t="s">
        <v>2582</v>
      </c>
      <c r="D144" s="248">
        <v>0</v>
      </c>
      <c r="E144" s="248">
        <f t="shared" ref="E144:M144" si="36">E111*(E$136/E$123)</f>
        <v>-23982.198631353182</v>
      </c>
      <c r="F144" s="248">
        <f t="shared" si="36"/>
        <v>72823.182512078754</v>
      </c>
      <c r="G144" s="248">
        <f t="shared" si="36"/>
        <v>-1620719.6591517171</v>
      </c>
      <c r="H144" s="248">
        <f t="shared" si="36"/>
        <v>-425547.19443197391</v>
      </c>
      <c r="I144" s="248">
        <f t="shared" si="36"/>
        <v>83584.835280492727</v>
      </c>
      <c r="J144" s="248">
        <f t="shared" si="36"/>
        <v>-658860.68403921253</v>
      </c>
      <c r="K144" s="248">
        <f t="shared" si="36"/>
        <v>-616.09604911650831</v>
      </c>
      <c r="L144" s="248">
        <f t="shared" si="36"/>
        <v>-2632.5030286490023</v>
      </c>
      <c r="M144" s="248">
        <f t="shared" si="36"/>
        <v>-1894.2621996687317</v>
      </c>
      <c r="N144" s="246">
        <f t="shared" ref="N144:N155" si="37">SUM(D144:M144)</f>
        <v>-2577844.5797391189</v>
      </c>
    </row>
    <row r="145" spans="1:14" x14ac:dyDescent="0.2">
      <c r="A145" s="736">
        <f t="shared" ref="A145:A156" si="38">A144+1</f>
        <v>70</v>
      </c>
      <c r="C145" s="861" t="s">
        <v>2583</v>
      </c>
      <c r="D145" s="248">
        <v>0</v>
      </c>
      <c r="E145" s="248">
        <f t="shared" ref="E145:M145" si="39">E112*(E$136/E$123)</f>
        <v>-23920.164044053643</v>
      </c>
      <c r="F145" s="248">
        <f t="shared" si="39"/>
        <v>71596.300475306736</v>
      </c>
      <c r="G145" s="248">
        <f t="shared" si="39"/>
        <v>-17612436.623835035</v>
      </c>
      <c r="H145" s="248">
        <f t="shared" si="39"/>
        <v>-601051.82091016462</v>
      </c>
      <c r="I145" s="248">
        <f t="shared" si="39"/>
        <v>65823.772333949441</v>
      </c>
      <c r="J145" s="248">
        <f t="shared" si="39"/>
        <v>-1389928.4622517482</v>
      </c>
      <c r="K145" s="248">
        <f t="shared" si="39"/>
        <v>1129.6384031437406</v>
      </c>
      <c r="L145" s="248">
        <f t="shared" si="39"/>
        <v>-2596.2798571381672</v>
      </c>
      <c r="M145" s="248">
        <f t="shared" si="39"/>
        <v>-1897.8459272088983</v>
      </c>
      <c r="N145" s="246">
        <f t="shared" si="37"/>
        <v>-19493281.485612944</v>
      </c>
    </row>
    <row r="146" spans="1:14" x14ac:dyDescent="0.2">
      <c r="A146" s="736">
        <f t="shared" si="38"/>
        <v>71</v>
      </c>
      <c r="C146" s="861" t="s">
        <v>2584</v>
      </c>
      <c r="D146" s="248">
        <v>0</v>
      </c>
      <c r="E146" s="248">
        <f t="shared" ref="E146:M146" si="40">E113*(E$136/E$123)</f>
        <v>-24037.804339837687</v>
      </c>
      <c r="F146" s="248">
        <f t="shared" si="40"/>
        <v>61961.638091842273</v>
      </c>
      <c r="G146" s="248">
        <f t="shared" si="40"/>
        <v>-5629480.5263596149</v>
      </c>
      <c r="H146" s="248">
        <f t="shared" si="40"/>
        <v>-400648.88029875903</v>
      </c>
      <c r="I146" s="248">
        <f t="shared" si="40"/>
        <v>67851.509846939371</v>
      </c>
      <c r="J146" s="248">
        <f t="shared" si="40"/>
        <v>3825826.7775437301</v>
      </c>
      <c r="K146" s="248">
        <f t="shared" si="40"/>
        <v>-623.57604365117743</v>
      </c>
      <c r="L146" s="248">
        <f t="shared" si="40"/>
        <v>-2652.8996128922472</v>
      </c>
      <c r="M146" s="248">
        <f t="shared" si="40"/>
        <v>-1897.84484749027</v>
      </c>
      <c r="N146" s="246">
        <f t="shared" si="37"/>
        <v>-2103701.606019733</v>
      </c>
    </row>
    <row r="147" spans="1:14" x14ac:dyDescent="0.2">
      <c r="A147" s="736">
        <f t="shared" si="38"/>
        <v>72</v>
      </c>
      <c r="C147" s="862" t="s">
        <v>2585</v>
      </c>
      <c r="D147" s="248">
        <v>0</v>
      </c>
      <c r="E147" s="248">
        <f t="shared" ref="E147:M147" si="41">E114*(E$136/E$123)</f>
        <v>-24302.945460715495</v>
      </c>
      <c r="F147" s="248">
        <f t="shared" si="41"/>
        <v>5919.0357789537784</v>
      </c>
      <c r="G147" s="248">
        <f t="shared" si="41"/>
        <v>-37725964.055962987</v>
      </c>
      <c r="H147" s="248">
        <f t="shared" si="41"/>
        <v>-630320.00370540086</v>
      </c>
      <c r="I147" s="248">
        <f t="shared" si="41"/>
        <v>69303.554865030077</v>
      </c>
      <c r="J147" s="248">
        <f t="shared" si="41"/>
        <v>-1517103.0272294783</v>
      </c>
      <c r="K147" s="248">
        <f t="shared" si="41"/>
        <v>-623.5339524633996</v>
      </c>
      <c r="L147" s="248">
        <f t="shared" si="41"/>
        <v>-2448.6386556846564</v>
      </c>
      <c r="M147" s="248">
        <f t="shared" si="41"/>
        <v>-1899.2187360208848</v>
      </c>
      <c r="N147" s="246">
        <f t="shared" si="37"/>
        <v>-39827438.83305876</v>
      </c>
    </row>
    <row r="148" spans="1:14" x14ac:dyDescent="0.2">
      <c r="A148" s="736">
        <f t="shared" si="38"/>
        <v>73</v>
      </c>
      <c r="C148" s="861" t="s">
        <v>2586</v>
      </c>
      <c r="D148" s="248">
        <v>0</v>
      </c>
      <c r="E148" s="248">
        <f t="shared" ref="E148:M148" si="42">E115*(E$136/E$123)</f>
        <v>-24462.106234081242</v>
      </c>
      <c r="F148" s="248">
        <f t="shared" si="42"/>
        <v>126175.0130805232</v>
      </c>
      <c r="G148" s="248">
        <f t="shared" si="42"/>
        <v>57324394.681108817</v>
      </c>
      <c r="H148" s="248">
        <f t="shared" si="42"/>
        <v>-632616.14030109171</v>
      </c>
      <c r="I148" s="248">
        <f t="shared" si="42"/>
        <v>88877.75308320504</v>
      </c>
      <c r="J148" s="248">
        <f t="shared" si="42"/>
        <v>-1486471.2793107883</v>
      </c>
      <c r="K148" s="248">
        <f t="shared" si="42"/>
        <v>-623.54950780820047</v>
      </c>
      <c r="L148" s="248">
        <f t="shared" si="42"/>
        <v>-2655.3990921657278</v>
      </c>
      <c r="M148" s="248">
        <f t="shared" si="42"/>
        <v>-1899.6552106683339</v>
      </c>
      <c r="N148" s="246">
        <f t="shared" si="37"/>
        <v>55390719.317615941</v>
      </c>
    </row>
    <row r="149" spans="1:14" x14ac:dyDescent="0.2">
      <c r="A149" s="736">
        <f t="shared" si="38"/>
        <v>74</v>
      </c>
      <c r="C149" s="861" t="s">
        <v>2587</v>
      </c>
      <c r="D149" s="248">
        <v>0</v>
      </c>
      <c r="E149" s="248">
        <f t="shared" ref="E149:M149" si="43">E116*(E$136/E$123)</f>
        <v>-24462.135092989611</v>
      </c>
      <c r="F149" s="248">
        <f t="shared" si="43"/>
        <v>72698.826866866104</v>
      </c>
      <c r="G149" s="248">
        <f t="shared" si="43"/>
        <v>-18575460.373780083</v>
      </c>
      <c r="H149" s="248">
        <f t="shared" si="43"/>
        <v>-623843.45294262853</v>
      </c>
      <c r="I149" s="248">
        <f t="shared" si="43"/>
        <v>73545.88319656052</v>
      </c>
      <c r="J149" s="248">
        <f t="shared" si="43"/>
        <v>-1493886.1906520557</v>
      </c>
      <c r="K149" s="248">
        <f t="shared" si="43"/>
        <v>-623.54962226437476</v>
      </c>
      <c r="L149" s="248">
        <f t="shared" si="43"/>
        <v>-2616.8724512504054</v>
      </c>
      <c r="M149" s="248">
        <f t="shared" si="43"/>
        <v>-1899.9373280631139</v>
      </c>
      <c r="N149" s="246">
        <f t="shared" si="37"/>
        <v>-20576547.801805906</v>
      </c>
    </row>
    <row r="150" spans="1:14" x14ac:dyDescent="0.2">
      <c r="A150" s="736">
        <f t="shared" si="38"/>
        <v>75</v>
      </c>
      <c r="C150" s="862" t="s">
        <v>2588</v>
      </c>
      <c r="D150" s="248">
        <v>0</v>
      </c>
      <c r="E150" s="248">
        <f t="shared" ref="E150:M150" si="44">E117*(E$136/E$123)</f>
        <v>-25442.62515915971</v>
      </c>
      <c r="F150" s="248">
        <f t="shared" si="44"/>
        <v>36445.476997542268</v>
      </c>
      <c r="G150" s="248">
        <f t="shared" si="44"/>
        <v>-16940660.225876141</v>
      </c>
      <c r="H150" s="248">
        <f t="shared" si="44"/>
        <v>-635038.78812836146</v>
      </c>
      <c r="I150" s="248">
        <f t="shared" si="44"/>
        <v>68733.541418942201</v>
      </c>
      <c r="J150" s="248">
        <f t="shared" si="44"/>
        <v>-1361167.8764648892</v>
      </c>
      <c r="K150" s="248">
        <f t="shared" si="44"/>
        <v>-623.55236729392436</v>
      </c>
      <c r="L150" s="248">
        <f t="shared" si="44"/>
        <v>-2586.6242434099286</v>
      </c>
      <c r="M150" s="248">
        <f t="shared" si="44"/>
        <v>-1900.0951158307089</v>
      </c>
      <c r="N150" s="246">
        <f t="shared" si="37"/>
        <v>-18862240.768938594</v>
      </c>
    </row>
    <row r="151" spans="1:14" x14ac:dyDescent="0.2">
      <c r="A151" s="736">
        <f t="shared" si="38"/>
        <v>76</v>
      </c>
      <c r="C151" s="861" t="s">
        <v>2589</v>
      </c>
      <c r="D151" s="248">
        <v>0</v>
      </c>
      <c r="E151" s="248">
        <f t="shared" ref="E151:M151" si="45">E118*(E$136/E$123)</f>
        <v>-26448.650683227821</v>
      </c>
      <c r="F151" s="248">
        <f t="shared" si="45"/>
        <v>25518.1715061344</v>
      </c>
      <c r="G151" s="248">
        <f t="shared" si="45"/>
        <v>-7758119.2891142517</v>
      </c>
      <c r="H151" s="248">
        <f t="shared" si="45"/>
        <v>-634498.43791106378</v>
      </c>
      <c r="I151" s="248">
        <f t="shared" si="45"/>
        <v>103640.06416961872</v>
      </c>
      <c r="J151" s="248">
        <f t="shared" si="45"/>
        <v>-1560222.8350362913</v>
      </c>
      <c r="K151" s="248">
        <f t="shared" si="45"/>
        <v>-623.55465491675841</v>
      </c>
      <c r="L151" s="248">
        <f t="shared" si="45"/>
        <v>-2551.795172051839</v>
      </c>
      <c r="M151" s="248">
        <f t="shared" si="45"/>
        <v>-1906.6315213084904</v>
      </c>
      <c r="N151" s="246">
        <f t="shared" si="37"/>
        <v>-9855212.9584173597</v>
      </c>
    </row>
    <row r="152" spans="1:14" x14ac:dyDescent="0.2">
      <c r="A152" s="736">
        <f t="shared" si="38"/>
        <v>77</v>
      </c>
      <c r="C152" s="861" t="s">
        <v>2590</v>
      </c>
      <c r="D152" s="248">
        <v>0</v>
      </c>
      <c r="E152" s="248">
        <f t="shared" ref="E152:M152" si="46">E119*(E$136/E$123)</f>
        <v>-26672.829001947997</v>
      </c>
      <c r="F152" s="248">
        <f t="shared" si="46"/>
        <v>36915.463210361049</v>
      </c>
      <c r="G152" s="248">
        <f t="shared" si="46"/>
        <v>1749397.0593456251</v>
      </c>
      <c r="H152" s="248">
        <f t="shared" si="46"/>
        <v>-644051.02021486883</v>
      </c>
      <c r="I152" s="248">
        <f t="shared" si="46"/>
        <v>41632.896657903999</v>
      </c>
      <c r="J152" s="248">
        <f t="shared" si="46"/>
        <v>-373398.06165015209</v>
      </c>
      <c r="K152" s="248">
        <f t="shared" si="46"/>
        <v>-629.38989019681503</v>
      </c>
      <c r="L152" s="248">
        <f t="shared" si="46"/>
        <v>-1350.3379057010789</v>
      </c>
      <c r="M152" s="248">
        <f t="shared" si="46"/>
        <v>-1906.8988630496067</v>
      </c>
      <c r="N152" s="246">
        <f t="shared" si="37"/>
        <v>779936.88168797374</v>
      </c>
    </row>
    <row r="153" spans="1:14" x14ac:dyDescent="0.2">
      <c r="A153" s="736">
        <f t="shared" si="38"/>
        <v>78</v>
      </c>
      <c r="C153" s="862" t="s">
        <v>2591</v>
      </c>
      <c r="D153" s="248">
        <v>0</v>
      </c>
      <c r="E153" s="248">
        <f t="shared" ref="E153:M153" si="47">E120*(E$136/E$123)</f>
        <v>-27280.063593397532</v>
      </c>
      <c r="F153" s="248">
        <f t="shared" si="47"/>
        <v>81697.398737656375</v>
      </c>
      <c r="G153" s="248">
        <f t="shared" si="47"/>
        <v>-1373490.2874742814</v>
      </c>
      <c r="H153" s="248">
        <f t="shared" si="47"/>
        <v>-610487.58177339355</v>
      </c>
      <c r="I153" s="248">
        <f t="shared" si="47"/>
        <v>-47408.074927125708</v>
      </c>
      <c r="J153" s="248">
        <f t="shared" si="47"/>
        <v>-1421457.334759159</v>
      </c>
      <c r="K153" s="248">
        <f t="shared" si="47"/>
        <v>-639.66323052797509</v>
      </c>
      <c r="L153" s="248">
        <f t="shared" si="47"/>
        <v>-2660.6200313456138</v>
      </c>
      <c r="M153" s="248">
        <f t="shared" si="47"/>
        <v>-1435.1010409533194</v>
      </c>
      <c r="N153" s="246">
        <f t="shared" si="37"/>
        <v>-3403161.328092528</v>
      </c>
    </row>
    <row r="154" spans="1:14" x14ac:dyDescent="0.2">
      <c r="A154" s="736">
        <f t="shared" si="38"/>
        <v>79</v>
      </c>
      <c r="C154" s="862" t="s">
        <v>2592</v>
      </c>
      <c r="D154" s="248">
        <v>0</v>
      </c>
      <c r="E154" s="248">
        <f t="shared" ref="E154:M154" si="48">E121*(E$136/E$123)</f>
        <v>-28246.066174237847</v>
      </c>
      <c r="F154" s="248">
        <f t="shared" si="48"/>
        <v>73648.103185798478</v>
      </c>
      <c r="G154" s="248">
        <f t="shared" si="48"/>
        <v>8213579.0374722341</v>
      </c>
      <c r="H154" s="248">
        <f t="shared" si="48"/>
        <v>-641886.15389323526</v>
      </c>
      <c r="I154" s="248">
        <f t="shared" si="48"/>
        <v>64682.03438385651</v>
      </c>
      <c r="J154" s="248">
        <f t="shared" si="48"/>
        <v>-1347826.3368074158</v>
      </c>
      <c r="K154" s="248">
        <f t="shared" si="48"/>
        <v>-647.71524323922893</v>
      </c>
      <c r="L154" s="248">
        <f t="shared" si="48"/>
        <v>-417.76933372304586</v>
      </c>
      <c r="M154" s="248">
        <f t="shared" si="48"/>
        <v>-1908.6069178986527</v>
      </c>
      <c r="N154" s="246">
        <f t="shared" si="37"/>
        <v>6330976.5266721398</v>
      </c>
    </row>
    <row r="155" spans="1:14" x14ac:dyDescent="0.2">
      <c r="A155" s="736">
        <f t="shared" si="38"/>
        <v>80</v>
      </c>
      <c r="C155" s="861" t="s">
        <v>2593</v>
      </c>
      <c r="D155" s="118">
        <v>0</v>
      </c>
      <c r="E155" s="617">
        <f t="shared" ref="E155:M155" si="49">E122*(E$136/E$123)</f>
        <v>-28601.724071445089</v>
      </c>
      <c r="F155" s="617">
        <f t="shared" si="49"/>
        <v>290988.16891968768</v>
      </c>
      <c r="G155" s="617">
        <f t="shared" si="49"/>
        <v>19544030.173478849</v>
      </c>
      <c r="H155" s="617">
        <f t="shared" si="49"/>
        <v>-492704.57419161766</v>
      </c>
      <c r="I155" s="617">
        <f t="shared" si="49"/>
        <v>49794.181841765923</v>
      </c>
      <c r="J155" s="617">
        <f t="shared" si="49"/>
        <v>-1635627.4791301736</v>
      </c>
      <c r="K155" s="617">
        <f t="shared" si="49"/>
        <v>-679.15456848110568</v>
      </c>
      <c r="L155" s="617">
        <f t="shared" si="49"/>
        <v>-2814.8010086675663</v>
      </c>
      <c r="M155" s="617">
        <f t="shared" si="49"/>
        <v>-1910.4434850996856</v>
      </c>
      <c r="N155" s="394">
        <f t="shared" si="37"/>
        <v>17722474.347784813</v>
      </c>
    </row>
    <row r="156" spans="1:14" x14ac:dyDescent="0.2">
      <c r="A156" s="736">
        <f t="shared" si="38"/>
        <v>81</v>
      </c>
      <c r="C156" s="740" t="s">
        <v>5</v>
      </c>
      <c r="D156" s="246">
        <f>SUM(D144:D155)</f>
        <v>0</v>
      </c>
      <c r="E156" s="246">
        <f t="shared" ref="E156:M156" si="50">SUM(E144:E155)</f>
        <v>-307859.31248644681</v>
      </c>
      <c r="F156" s="246">
        <f t="shared" si="50"/>
        <v>956386.77936275117</v>
      </c>
      <c r="G156" s="246">
        <f t="shared" si="50"/>
        <v>-20404930.090148591</v>
      </c>
      <c r="H156" s="246">
        <f t="shared" si="50"/>
        <v>-6972694.0487025594</v>
      </c>
      <c r="I156" s="246">
        <f t="shared" si="50"/>
        <v>730061.95215113868</v>
      </c>
      <c r="J156" s="246">
        <f t="shared" si="50"/>
        <v>-10420122.789787633</v>
      </c>
      <c r="K156" s="246">
        <f t="shared" si="50"/>
        <v>-5823.6967268157268</v>
      </c>
      <c r="L156" s="246">
        <f t="shared" si="50"/>
        <v>-27984.540392679279</v>
      </c>
      <c r="M156" s="246">
        <f t="shared" si="50"/>
        <v>-22356.541193260695</v>
      </c>
      <c r="N156" s="246">
        <f>SUM(N144:N155)</f>
        <v>-36475322.287924081</v>
      </c>
    </row>
    <row r="158" spans="1:14" x14ac:dyDescent="0.2">
      <c r="B158" s="474" t="s">
        <v>267</v>
      </c>
    </row>
    <row r="159" spans="1:14" x14ac:dyDescent="0.2">
      <c r="B159" s="1077" t="s">
        <v>2850</v>
      </c>
      <c r="C159" s="14"/>
      <c r="D159" s="14"/>
      <c r="E159" s="14"/>
      <c r="F159" s="14"/>
      <c r="G159" s="14"/>
      <c r="H159" s="14"/>
      <c r="I159" s="14"/>
      <c r="J159" s="14"/>
      <c r="K159" s="14"/>
    </row>
    <row r="160" spans="1:14" x14ac:dyDescent="0.2">
      <c r="B160" s="1077" t="s">
        <v>2851</v>
      </c>
      <c r="C160" s="14"/>
      <c r="D160" s="14"/>
      <c r="E160" s="14"/>
      <c r="F160" s="14"/>
      <c r="G160" s="14"/>
      <c r="H160" s="14"/>
      <c r="I160" s="14"/>
      <c r="J160" s="14"/>
      <c r="K160" s="14"/>
    </row>
    <row r="161" spans="2:14" x14ac:dyDescent="0.2">
      <c r="B161" s="895" t="s">
        <v>2813</v>
      </c>
      <c r="C161" s="877"/>
      <c r="D161" s="877"/>
      <c r="E161" s="877"/>
      <c r="F161" s="877"/>
      <c r="G161" s="877"/>
      <c r="H161" s="877"/>
      <c r="I161" s="877"/>
      <c r="J161" s="14"/>
      <c r="K161" s="14"/>
      <c r="L161" s="877"/>
      <c r="M161" s="877"/>
      <c r="N161" s="14"/>
    </row>
    <row r="162" spans="2:14" x14ac:dyDescent="0.2">
      <c r="B162" s="1086" t="s">
        <v>3153</v>
      </c>
      <c r="C162" s="877"/>
      <c r="D162" s="877"/>
      <c r="E162" s="877"/>
      <c r="F162" s="877"/>
      <c r="G162" s="877"/>
      <c r="H162" s="877"/>
      <c r="I162" s="877"/>
      <c r="J162" s="877"/>
      <c r="K162" s="877"/>
      <c r="L162" s="877"/>
      <c r="M162" s="877"/>
      <c r="N162" s="14"/>
    </row>
    <row r="163" spans="2:14" x14ac:dyDescent="0.2">
      <c r="B163" s="1086" t="s">
        <v>2814</v>
      </c>
      <c r="C163" s="877"/>
      <c r="D163" s="877"/>
      <c r="E163" s="877"/>
      <c r="F163" s="877"/>
      <c r="G163" s="877"/>
      <c r="H163" s="877"/>
      <c r="I163" s="877"/>
      <c r="J163" s="877"/>
      <c r="K163" s="877"/>
      <c r="L163" s="877"/>
      <c r="M163" s="877"/>
      <c r="N163" s="14"/>
    </row>
    <row r="164" spans="2:14" x14ac:dyDescent="0.2">
      <c r="B164" s="1086" t="s">
        <v>2815</v>
      </c>
      <c r="C164" s="877"/>
      <c r="D164" s="877"/>
      <c r="E164" s="877"/>
      <c r="F164" s="877"/>
      <c r="G164" s="877"/>
      <c r="H164" s="877"/>
      <c r="I164" s="877"/>
      <c r="J164" s="877"/>
      <c r="K164" s="877"/>
      <c r="L164" s="877"/>
      <c r="M164" s="877"/>
      <c r="N164" s="14"/>
    </row>
    <row r="165" spans="2:14" x14ac:dyDescent="0.2">
      <c r="B165" s="895" t="s">
        <v>2816</v>
      </c>
      <c r="C165" s="877"/>
      <c r="D165" s="877"/>
      <c r="E165" s="877"/>
      <c r="F165" s="877"/>
      <c r="G165" s="877"/>
      <c r="H165" s="877"/>
      <c r="I165" s="877"/>
      <c r="J165" s="877"/>
      <c r="K165" s="877"/>
      <c r="L165" s="877"/>
      <c r="M165" s="877"/>
      <c r="N165" s="14"/>
    </row>
    <row r="166" spans="2:14" x14ac:dyDescent="0.2">
      <c r="B166" s="1086" t="s">
        <v>2817</v>
      </c>
      <c r="C166" s="877"/>
      <c r="D166" s="877"/>
      <c r="E166" s="877"/>
      <c r="F166" s="877"/>
      <c r="G166" s="877"/>
      <c r="H166" s="877"/>
      <c r="I166" s="877"/>
      <c r="J166" s="877"/>
      <c r="K166" s="877"/>
      <c r="L166" s="877"/>
      <c r="M166" s="877"/>
      <c r="N166" s="14"/>
    </row>
    <row r="167" spans="2:14" x14ac:dyDescent="0.2">
      <c r="B167" s="1086" t="s">
        <v>2818</v>
      </c>
      <c r="C167" s="877"/>
      <c r="D167" s="877"/>
      <c r="E167" s="877"/>
      <c r="F167" s="877"/>
      <c r="G167" s="877"/>
      <c r="H167" s="877"/>
      <c r="I167" s="877"/>
      <c r="J167" s="877"/>
      <c r="K167" s="877"/>
      <c r="L167" s="877"/>
      <c r="M167" s="877"/>
      <c r="N167" s="14"/>
    </row>
    <row r="168" spans="2:14" x14ac:dyDescent="0.2">
      <c r="B168" s="1086" t="s">
        <v>2819</v>
      </c>
      <c r="C168" s="877"/>
      <c r="D168" s="877"/>
      <c r="E168" s="877"/>
      <c r="F168" s="877"/>
      <c r="G168" s="877"/>
      <c r="H168" s="877"/>
      <c r="I168" s="877"/>
      <c r="J168" s="877"/>
      <c r="K168" s="877"/>
      <c r="L168" s="877"/>
      <c r="M168" s="877"/>
      <c r="N168" s="14"/>
    </row>
    <row r="169" spans="2:14" x14ac:dyDescent="0.2">
      <c r="B169" s="651" t="str">
        <f>"2) Amounts on Line "&amp;A33&amp;" derived from Plant Study for previous year Prior Year."</f>
        <v>2) Amounts on Line 15 derived from Plant Study for previous year Prior Year.</v>
      </c>
      <c r="C169" s="14"/>
      <c r="D169" s="14"/>
      <c r="E169" s="14"/>
      <c r="F169" s="14"/>
      <c r="G169" s="14"/>
      <c r="H169" s="14"/>
      <c r="I169" s="14"/>
      <c r="J169" s="14"/>
      <c r="K169" s="14"/>
    </row>
    <row r="170" spans="2:14" x14ac:dyDescent="0.2">
      <c r="B170" s="648" t="str">
        <f>"Amounts on Line "&amp;A34&amp;" derived from Plant Study for Prior Year."</f>
        <v>Amounts on Line 16 derived from Plant Study for Prior Year.</v>
      </c>
      <c r="C170" s="14"/>
      <c r="D170" s="14"/>
      <c r="E170" s="14"/>
      <c r="F170" s="14"/>
      <c r="G170" s="14"/>
      <c r="H170" s="14"/>
      <c r="I170" s="14"/>
      <c r="J170" s="14"/>
      <c r="K170" s="14"/>
    </row>
    <row r="171" spans="2:14" x14ac:dyDescent="0.2">
      <c r="B171" s="651" t="s">
        <v>2036</v>
      </c>
      <c r="C171" s="14"/>
      <c r="D171" s="14"/>
      <c r="E171" s="14"/>
      <c r="F171" s="14"/>
      <c r="G171" s="14"/>
      <c r="H171" s="14"/>
      <c r="I171" s="14"/>
      <c r="J171" s="14"/>
      <c r="K171" s="14"/>
    </row>
    <row r="172" spans="2:14" x14ac:dyDescent="0.2">
      <c r="B172" s="14" t="str">
        <f>"4) From 17-Depreciation, Lines "&amp;'17-Depreciation'!A49&amp;" to "&amp;'17-Depreciation'!A60&amp;"."</f>
        <v>4) From 17-Depreciation, Lines 24 to 35.</v>
      </c>
      <c r="C172" s="14"/>
      <c r="D172" s="14"/>
      <c r="E172" s="14"/>
      <c r="F172" s="14"/>
      <c r="G172" s="14"/>
      <c r="H172" s="14"/>
      <c r="I172" s="14"/>
      <c r="J172" s="14"/>
      <c r="K172" s="14"/>
    </row>
    <row r="173" spans="2:14" x14ac:dyDescent="0.2">
      <c r="B173" s="651" t="str">
        <f>"5) Amount in matrix on lines "&amp;A71&amp;" to "&amp;A82&amp;" minus amount in matrix on lines "&amp;A91&amp;" to "&amp;A102&amp;"."</f>
        <v>5) Amount in matrix on lines 27 to 38 minus amount in matrix on lines 40 to 51.</v>
      </c>
      <c r="C173" s="14"/>
      <c r="D173" s="14"/>
      <c r="E173" s="14"/>
      <c r="F173" s="14"/>
      <c r="G173" s="14"/>
      <c r="H173" s="14"/>
      <c r="I173" s="14"/>
      <c r="J173" s="14"/>
      <c r="K173" s="14"/>
    </row>
    <row r="174" spans="2:14" x14ac:dyDescent="0.2">
      <c r="B174" s="651" t="str">
        <f>"6) Line "&amp;A24&amp;" - Line "&amp;A12&amp;"."</f>
        <v>6) Line 13 - Line 1.</v>
      </c>
      <c r="C174" s="14"/>
      <c r="D174" s="14"/>
      <c r="E174" s="14"/>
      <c r="F174" s="14"/>
      <c r="G174" s="14"/>
      <c r="H174" s="14"/>
      <c r="I174" s="14"/>
      <c r="J174" s="14"/>
      <c r="K174" s="14"/>
    </row>
    <row r="175" spans="2:14" x14ac:dyDescent="0.2">
      <c r="B175" s="14" t="str">
        <f>"7) Line "&amp;A103&amp;"."</f>
        <v>7) Line 52.</v>
      </c>
      <c r="C175" s="14"/>
      <c r="D175" s="14"/>
      <c r="E175" s="14"/>
      <c r="F175" s="14"/>
      <c r="G175" s="14"/>
      <c r="H175" s="14"/>
      <c r="I175" s="14"/>
      <c r="J175" s="14"/>
      <c r="K175" s="14"/>
    </row>
    <row r="176" spans="2:14" x14ac:dyDescent="0.2">
      <c r="B176" s="651" t="str">
        <f>"8) Line "&amp;A129&amp;" - Line "&amp;A133&amp;"."</f>
        <v>8) Line 66 - Line 67.</v>
      </c>
      <c r="C176" s="14"/>
      <c r="D176" s="14"/>
      <c r="E176" s="14"/>
      <c r="F176" s="14"/>
      <c r="G176" s="14"/>
      <c r="H176" s="14"/>
      <c r="I176" s="14"/>
      <c r="J176" s="14"/>
      <c r="K176" s="14"/>
    </row>
    <row r="177" spans="2:11" x14ac:dyDescent="0.2">
      <c r="B177" s="651" t="str">
        <f>"9) For each column (FERC Account) divide Line "&amp;A136&amp;" by Line "&amp;A123&amp;" to arrive at a ratio for each column."</f>
        <v>9) For each column (FERC Account) divide Line 68 by Line 65 to arrive at a ratio for each column.</v>
      </c>
      <c r="C177" s="14"/>
      <c r="D177" s="14"/>
      <c r="E177" s="14"/>
      <c r="F177" s="14"/>
      <c r="G177" s="14"/>
      <c r="H177" s="14"/>
      <c r="I177" s="14"/>
      <c r="J177" s="14"/>
      <c r="K177" s="14"/>
    </row>
    <row r="178" spans="2:11" x14ac:dyDescent="0.2">
      <c r="B178" s="651" t="str">
        <f>"Apply the ratio of each column to each monthly value from Lines "&amp;A111&amp;"-"&amp;A122&amp;" to calculate the values for"</f>
        <v>Apply the ratio of each column to each monthly value from Lines 53-64 to calculate the values for</v>
      </c>
      <c r="C178" s="14"/>
      <c r="D178" s="14"/>
      <c r="E178" s="14"/>
      <c r="F178" s="14"/>
      <c r="G178" s="14"/>
      <c r="H178" s="14"/>
      <c r="I178" s="14"/>
      <c r="J178" s="14"/>
      <c r="K178" s="14"/>
    </row>
    <row r="179" spans="2:11" x14ac:dyDescent="0.2">
      <c r="B179" s="651" t="str">
        <f>"the corresponsing months listed in Lines "&amp;A144&amp;"-"&amp;A155&amp;"."</f>
        <v>the corresponsing months listed in Lines 69-80.</v>
      </c>
      <c r="C179" s="14"/>
      <c r="D179" s="14"/>
      <c r="E179" s="14"/>
      <c r="F179" s="14"/>
      <c r="G179" s="14"/>
      <c r="H179" s="14"/>
      <c r="I179" s="14"/>
      <c r="J179" s="14"/>
      <c r="K179" s="14"/>
    </row>
  </sheetData>
  <phoneticPr fontId="10" type="noConversion"/>
  <pageMargins left="0.75" right="0.75" top="1" bottom="1" header="0.5" footer="0.5"/>
  <pageSetup scale="65" orientation="landscape" cellComments="asDisplayed" r:id="rId1"/>
  <headerFooter alignWithMargins="0">
    <oddHeader>&amp;CSchedule 8
Accumulated Depreciation
&amp;"Arial,Bold"Exhibit G-1</oddHeader>
    <oddFooter>&amp;R&amp;A</oddFooter>
  </headerFooter>
  <rowBreaks count="3" manualBreakCount="3">
    <brk id="36" max="16383" man="1"/>
    <brk id="84" max="16383" man="1"/>
    <brk id="12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7"/>
  <sheetViews>
    <sheetView zoomScale="85" zoomScaleNormal="85" workbookViewId="0"/>
  </sheetViews>
  <sheetFormatPr defaultRowHeight="12.75" x14ac:dyDescent="0.2"/>
  <cols>
    <col min="1" max="1" width="4.7109375" customWidth="1"/>
    <col min="2" max="2" width="9.7109375" style="774" customWidth="1"/>
    <col min="3" max="3" width="44.7109375" style="774" customWidth="1"/>
    <col min="4" max="8" width="15.7109375" style="774" customWidth="1"/>
    <col min="9" max="9" width="16.140625" style="774" bestFit="1" customWidth="1"/>
    <col min="10" max="10" width="33.7109375" style="774" customWidth="1"/>
  </cols>
  <sheetData>
    <row r="1" spans="1:12" x14ac:dyDescent="0.2">
      <c r="A1" s="1076" t="s">
        <v>1510</v>
      </c>
      <c r="B1" s="254"/>
      <c r="C1" s="254"/>
      <c r="D1" s="254"/>
      <c r="E1" s="254"/>
      <c r="F1" s="469" t="s">
        <v>344</v>
      </c>
      <c r="G1" s="469"/>
      <c r="H1" s="254"/>
      <c r="I1" s="244"/>
      <c r="J1" s="244"/>
      <c r="K1" s="773"/>
      <c r="L1" s="773"/>
    </row>
    <row r="2" spans="1:12" x14ac:dyDescent="0.2">
      <c r="A2" s="244"/>
      <c r="B2" s="882"/>
      <c r="C2" s="883"/>
      <c r="D2" s="883"/>
      <c r="E2" s="244"/>
      <c r="F2" s="244"/>
      <c r="G2" s="244"/>
      <c r="H2" s="244"/>
      <c r="I2" s="244"/>
      <c r="J2" s="244"/>
      <c r="K2" s="773"/>
      <c r="L2" s="773"/>
    </row>
    <row r="3" spans="1:12" x14ac:dyDescent="0.2">
      <c r="A3" s="244"/>
      <c r="B3" s="882" t="s">
        <v>2064</v>
      </c>
      <c r="C3" s="883"/>
      <c r="D3" s="883"/>
      <c r="E3" s="244"/>
      <c r="F3" s="244"/>
      <c r="G3" s="244"/>
      <c r="H3" s="244"/>
      <c r="I3" s="244"/>
      <c r="J3" s="244"/>
      <c r="K3" s="773"/>
      <c r="L3" s="773"/>
    </row>
    <row r="4" spans="1:12" x14ac:dyDescent="0.2">
      <c r="A4" s="244"/>
      <c r="B4" s="882"/>
      <c r="C4" s="883"/>
      <c r="D4" s="883"/>
      <c r="E4" s="244"/>
      <c r="F4" s="244"/>
      <c r="G4" s="244"/>
      <c r="H4" s="244"/>
      <c r="I4" s="244"/>
      <c r="J4" s="244"/>
      <c r="K4" s="773"/>
      <c r="L4" s="773"/>
    </row>
    <row r="5" spans="1:12" x14ac:dyDescent="0.2">
      <c r="A5" s="244"/>
      <c r="B5" s="884" t="s">
        <v>2065</v>
      </c>
      <c r="C5" s="883"/>
      <c r="D5" s="883"/>
      <c r="E5" s="244"/>
      <c r="F5" s="244"/>
      <c r="G5" s="244"/>
      <c r="H5" s="244"/>
      <c r="I5" s="244"/>
      <c r="J5" s="244"/>
      <c r="K5" s="773"/>
      <c r="L5" s="773"/>
    </row>
    <row r="6" spans="1:12" x14ac:dyDescent="0.2">
      <c r="A6" s="244"/>
      <c r="B6" s="882"/>
      <c r="C6" s="88" t="s">
        <v>406</v>
      </c>
      <c r="D6" s="88" t="s">
        <v>390</v>
      </c>
      <c r="E6" s="244"/>
      <c r="I6" s="244"/>
      <c r="J6" s="244"/>
      <c r="K6" s="773"/>
      <c r="L6" s="773"/>
    </row>
    <row r="7" spans="1:12" x14ac:dyDescent="0.2">
      <c r="A7" s="244"/>
      <c r="C7" s="883"/>
      <c r="D7" s="244"/>
      <c r="E7" s="244"/>
      <c r="I7" s="244"/>
      <c r="J7" s="244"/>
      <c r="K7" s="773"/>
      <c r="L7" s="773"/>
    </row>
    <row r="8" spans="1:12" x14ac:dyDescent="0.2">
      <c r="A8" s="244"/>
      <c r="B8" s="882"/>
      <c r="C8" s="254"/>
      <c r="D8" s="117" t="s">
        <v>226</v>
      </c>
      <c r="J8" s="244"/>
      <c r="K8" s="773"/>
      <c r="L8" s="773"/>
    </row>
    <row r="9" spans="1:12" x14ac:dyDescent="0.2">
      <c r="A9" s="55" t="s">
        <v>372</v>
      </c>
      <c r="B9" s="882"/>
      <c r="C9" s="758" t="s">
        <v>113</v>
      </c>
      <c r="D9" s="131" t="s">
        <v>231</v>
      </c>
      <c r="E9" s="395" t="s">
        <v>209</v>
      </c>
      <c r="J9" s="244"/>
      <c r="K9" s="773"/>
      <c r="L9" s="773"/>
    </row>
    <row r="10" spans="1:12" ht="15" x14ac:dyDescent="0.25">
      <c r="A10" s="422">
        <v>1</v>
      </c>
      <c r="B10" s="882"/>
      <c r="C10" s="651" t="s">
        <v>1519</v>
      </c>
      <c r="D10" s="709">
        <f>+D139</f>
        <v>39749406.269348964</v>
      </c>
      <c r="E10" s="648" t="str">
        <f>"Line "&amp;A139&amp;", Col. 2"</f>
        <v>Line 353, Col. 2</v>
      </c>
      <c r="J10" s="244"/>
      <c r="K10" s="773"/>
      <c r="L10" s="773"/>
    </row>
    <row r="11" spans="1:12" x14ac:dyDescent="0.2">
      <c r="A11" s="839">
        <f>A10+1</f>
        <v>2</v>
      </c>
      <c r="B11" s="882"/>
      <c r="C11" s="651" t="s">
        <v>1517</v>
      </c>
      <c r="D11" s="709">
        <f>+D173</f>
        <v>-444580739.45856047</v>
      </c>
      <c r="E11" s="648" t="str">
        <f>"Line "&amp;A173&amp;", Col. 2"</f>
        <v>Line 452, Col. 2</v>
      </c>
      <c r="J11" s="244"/>
      <c r="K11" s="773"/>
      <c r="L11" s="773"/>
    </row>
    <row r="12" spans="1:12" x14ac:dyDescent="0.2">
      <c r="A12" s="839">
        <f t="shared" ref="A12:A24" si="0">A11+1</f>
        <v>3</v>
      </c>
      <c r="B12" s="882"/>
      <c r="C12" s="651" t="s">
        <v>1518</v>
      </c>
      <c r="D12" s="709">
        <f>+D285</f>
        <v>-16825567.775723118</v>
      </c>
      <c r="E12" s="648" t="str">
        <f>"Line "&amp;A285&amp;", Col. 2"</f>
        <v>Line 803, Col. 2</v>
      </c>
      <c r="I12" s="775"/>
      <c r="J12" s="244"/>
      <c r="K12" s="773"/>
      <c r="L12" s="773"/>
    </row>
    <row r="13" spans="1:12" x14ac:dyDescent="0.2">
      <c r="A13" s="839">
        <f t="shared" si="0"/>
        <v>4</v>
      </c>
      <c r="B13" s="882"/>
      <c r="C13" s="649" t="s">
        <v>2450</v>
      </c>
      <c r="D13" s="709">
        <f>G300</f>
        <v>8454466.5496141389</v>
      </c>
      <c r="E13" s="648" t="str">
        <f>"Line "&amp;A300&amp;", Col. 5"</f>
        <v>Line 809, Col. 5</v>
      </c>
      <c r="I13" s="775"/>
      <c r="J13" s="244"/>
      <c r="K13" s="773"/>
      <c r="L13" s="773"/>
    </row>
    <row r="14" spans="1:12" x14ac:dyDescent="0.2">
      <c r="A14" s="839">
        <f t="shared" si="0"/>
        <v>5</v>
      </c>
      <c r="B14" s="882"/>
      <c r="C14" s="651" t="s">
        <v>2068</v>
      </c>
      <c r="D14" s="711">
        <f t="shared" ref="D14" si="1">SUM(D10:D13)</f>
        <v>-413202434.41532046</v>
      </c>
      <c r="E14" s="803" t="str">
        <f>"Sum of Lines "&amp;A10&amp;" to "&amp;A13&amp;""</f>
        <v>Sum of Lines 1 to 4</v>
      </c>
      <c r="J14" s="244"/>
      <c r="K14" s="773"/>
      <c r="L14" s="773"/>
    </row>
    <row r="15" spans="1:12" x14ac:dyDescent="0.2">
      <c r="A15" s="839">
        <f t="shared" si="0"/>
        <v>6</v>
      </c>
      <c r="B15" s="882"/>
      <c r="D15" s="254"/>
      <c r="E15" s="254"/>
      <c r="G15" s="776"/>
      <c r="H15" s="264"/>
      <c r="I15" s="254"/>
      <c r="J15" s="244"/>
      <c r="K15" s="773"/>
      <c r="L15" s="773"/>
    </row>
    <row r="16" spans="1:12" x14ac:dyDescent="0.2">
      <c r="A16" s="839">
        <f t="shared" si="0"/>
        <v>7</v>
      </c>
      <c r="B16" s="884" t="s">
        <v>2067</v>
      </c>
      <c r="E16" s="254"/>
      <c r="G16" s="775"/>
      <c r="H16" s="777"/>
      <c r="I16" s="775"/>
      <c r="J16" s="244"/>
      <c r="K16" s="773"/>
      <c r="L16" s="773"/>
    </row>
    <row r="17" spans="1:12" x14ac:dyDescent="0.2">
      <c r="A17" s="839">
        <f t="shared" si="0"/>
        <v>8</v>
      </c>
      <c r="B17" s="884"/>
      <c r="D17" s="117" t="s">
        <v>436</v>
      </c>
      <c r="E17" s="254"/>
      <c r="G17" s="775"/>
      <c r="H17" s="777"/>
      <c r="I17" s="775"/>
      <c r="J17" s="244"/>
      <c r="K17" s="773"/>
      <c r="L17" s="773"/>
    </row>
    <row r="18" spans="1:12" x14ac:dyDescent="0.2">
      <c r="A18" s="839">
        <f t="shared" si="0"/>
        <v>9</v>
      </c>
      <c r="B18" s="882"/>
      <c r="D18" s="131" t="s">
        <v>231</v>
      </c>
      <c r="E18" s="395" t="s">
        <v>209</v>
      </c>
      <c r="G18" s="778"/>
      <c r="H18" s="775"/>
      <c r="I18" s="775"/>
      <c r="J18" s="244"/>
      <c r="K18" s="773"/>
      <c r="L18" s="773"/>
    </row>
    <row r="19" spans="1:12" x14ac:dyDescent="0.2">
      <c r="A19" s="839">
        <f t="shared" si="0"/>
        <v>10</v>
      </c>
      <c r="B19" s="882"/>
      <c r="C19" s="651" t="s">
        <v>2068</v>
      </c>
      <c r="D19" s="738">
        <v>-370578133</v>
      </c>
      <c r="E19" s="621" t="str">
        <f>"Previous Year Informational Filing, Line "&amp;A14&amp;", Col. 2"</f>
        <v>Previous Year Informational Filing, Line 5, Col. 2</v>
      </c>
      <c r="G19" s="775"/>
      <c r="H19" s="775"/>
      <c r="I19" s="775"/>
      <c r="K19" s="773"/>
      <c r="L19" s="773"/>
    </row>
    <row r="20" spans="1:12" x14ac:dyDescent="0.2">
      <c r="A20" s="839">
        <f t="shared" si="0"/>
        <v>11</v>
      </c>
      <c r="B20" s="882"/>
      <c r="D20" s="254"/>
      <c r="E20" s="254"/>
      <c r="F20" s="775"/>
      <c r="G20" s="775"/>
      <c r="H20" s="775"/>
      <c r="I20" s="775"/>
      <c r="J20" s="244"/>
      <c r="K20" s="773"/>
      <c r="L20" s="773"/>
    </row>
    <row r="21" spans="1:12" x14ac:dyDescent="0.2">
      <c r="A21" s="839">
        <f t="shared" si="0"/>
        <v>12</v>
      </c>
      <c r="B21" s="884" t="s">
        <v>2069</v>
      </c>
      <c r="D21" s="254"/>
      <c r="E21" s="254"/>
      <c r="F21" s="775"/>
      <c r="G21" s="775"/>
      <c r="H21" s="775"/>
      <c r="I21" s="775"/>
      <c r="J21" s="244"/>
      <c r="K21" s="773"/>
      <c r="L21" s="773"/>
    </row>
    <row r="22" spans="1:12" x14ac:dyDescent="0.2">
      <c r="A22" s="839">
        <f t="shared" si="0"/>
        <v>13</v>
      </c>
      <c r="B22" s="883"/>
      <c r="C22" s="885"/>
      <c r="D22" s="886" t="s">
        <v>266</v>
      </c>
      <c r="E22" s="244"/>
      <c r="F22" s="244"/>
      <c r="G22" s="244"/>
      <c r="H22" s="244"/>
      <c r="I22" s="244"/>
      <c r="J22" s="244"/>
      <c r="K22" s="773"/>
      <c r="L22" s="773"/>
    </row>
    <row r="23" spans="1:12" x14ac:dyDescent="0.2">
      <c r="A23" s="839">
        <f t="shared" si="0"/>
        <v>14</v>
      </c>
      <c r="B23" s="883"/>
      <c r="D23" s="131" t="s">
        <v>231</v>
      </c>
      <c r="E23" s="395" t="s">
        <v>209</v>
      </c>
      <c r="F23" s="244"/>
      <c r="G23" s="778"/>
      <c r="H23" s="244"/>
      <c r="I23" s="244"/>
      <c r="J23" s="244"/>
      <c r="K23" s="773"/>
      <c r="L23" s="773"/>
    </row>
    <row r="24" spans="1:12" x14ac:dyDescent="0.2">
      <c r="A24" s="839">
        <f t="shared" si="0"/>
        <v>15</v>
      </c>
      <c r="B24" s="883"/>
      <c r="C24" s="887" t="s">
        <v>2070</v>
      </c>
      <c r="D24" s="888">
        <f>(D14+D19)/2</f>
        <v>-391890283.7076602</v>
      </c>
      <c r="E24" s="264" t="str">
        <f>"Average of Line "&amp;A14&amp;" and Line "&amp;A19&amp;""</f>
        <v>Average of Line 5 and Line 10</v>
      </c>
      <c r="F24" s="244"/>
      <c r="G24" s="775"/>
      <c r="H24" s="244"/>
      <c r="I24" s="244"/>
      <c r="J24" s="244"/>
      <c r="K24" s="773"/>
      <c r="L24" s="773"/>
    </row>
    <row r="25" spans="1:12" x14ac:dyDescent="0.2">
      <c r="A25" s="839"/>
      <c r="B25" s="883"/>
      <c r="C25" s="885"/>
      <c r="D25" s="889"/>
      <c r="E25" s="244"/>
      <c r="F25" s="244"/>
      <c r="G25" s="244"/>
      <c r="H25" s="244"/>
      <c r="I25" s="244"/>
      <c r="J25" s="244"/>
      <c r="K25" s="773"/>
      <c r="L25" s="773"/>
    </row>
    <row r="26" spans="1:12" x14ac:dyDescent="0.2">
      <c r="A26" s="839"/>
      <c r="B26" s="882" t="s">
        <v>2071</v>
      </c>
      <c r="C26" s="885"/>
      <c r="D26" s="889"/>
      <c r="E26" s="244"/>
      <c r="F26" s="244"/>
      <c r="G26" s="244"/>
      <c r="H26" s="244"/>
      <c r="I26" s="244"/>
      <c r="J26" s="244"/>
      <c r="K26" s="773"/>
      <c r="L26" s="773"/>
    </row>
    <row r="27" spans="1:12" x14ac:dyDescent="0.2">
      <c r="A27" s="839"/>
      <c r="B27" s="882"/>
      <c r="C27" s="88" t="s">
        <v>406</v>
      </c>
      <c r="D27" s="88" t="s">
        <v>390</v>
      </c>
      <c r="E27" s="88" t="s">
        <v>391</v>
      </c>
      <c r="F27" s="88" t="s">
        <v>392</v>
      </c>
      <c r="G27" s="88" t="s">
        <v>393</v>
      </c>
      <c r="H27" s="88" t="s">
        <v>394</v>
      </c>
      <c r="I27" s="88" t="s">
        <v>395</v>
      </c>
      <c r="J27" s="244"/>
      <c r="K27" s="773"/>
      <c r="L27" s="773"/>
    </row>
    <row r="28" spans="1:12" x14ac:dyDescent="0.2">
      <c r="A28" s="649"/>
      <c r="B28" s="886"/>
      <c r="C28" s="886"/>
      <c r="D28" s="886" t="s">
        <v>2072</v>
      </c>
      <c r="E28" s="886" t="s">
        <v>2073</v>
      </c>
      <c r="F28" s="886"/>
      <c r="G28" s="886"/>
      <c r="H28" s="886" t="s">
        <v>1583</v>
      </c>
      <c r="I28" s="1087" t="s">
        <v>2854</v>
      </c>
      <c r="J28" s="244"/>
      <c r="K28" s="773"/>
      <c r="L28" s="773"/>
    </row>
    <row r="29" spans="1:12" x14ac:dyDescent="0.2">
      <c r="A29" s="649"/>
      <c r="B29" s="890" t="s">
        <v>2074</v>
      </c>
      <c r="C29" s="890" t="s">
        <v>2075</v>
      </c>
      <c r="D29" s="890" t="s">
        <v>2076</v>
      </c>
      <c r="E29" s="890" t="s">
        <v>2077</v>
      </c>
      <c r="F29" s="890" t="s">
        <v>2078</v>
      </c>
      <c r="G29" s="890" t="s">
        <v>2079</v>
      </c>
      <c r="H29" s="890" t="s">
        <v>2066</v>
      </c>
      <c r="I29" s="890" t="s">
        <v>114</v>
      </c>
      <c r="J29" s="244"/>
      <c r="K29" s="773"/>
      <c r="L29" s="773"/>
    </row>
    <row r="30" spans="1:12" x14ac:dyDescent="0.2">
      <c r="A30" s="839"/>
      <c r="B30" s="883" t="s">
        <v>2081</v>
      </c>
      <c r="C30" s="883"/>
      <c r="D30" s="883"/>
      <c r="E30" s="244"/>
      <c r="F30" s="244"/>
      <c r="G30" s="244"/>
      <c r="H30" s="244"/>
      <c r="I30" s="244"/>
      <c r="J30" s="244"/>
      <c r="K30" s="773"/>
      <c r="L30" s="773"/>
    </row>
    <row r="31" spans="1:12" x14ac:dyDescent="0.2">
      <c r="A31" s="200">
        <f>100</f>
        <v>100</v>
      </c>
      <c r="B31" s="891">
        <v>190.01</v>
      </c>
      <c r="C31" s="892" t="s">
        <v>2082</v>
      </c>
      <c r="D31" s="893">
        <v>485773.94</v>
      </c>
      <c r="E31" s="249">
        <f>G329*D31</f>
        <v>449.62972315205337</v>
      </c>
      <c r="F31" s="249"/>
      <c r="G31" s="249">
        <f>D31-E31</f>
        <v>485324.31027684797</v>
      </c>
      <c r="H31" s="249"/>
      <c r="I31" s="469" t="s">
        <v>2855</v>
      </c>
      <c r="J31" s="469"/>
      <c r="K31" s="773"/>
      <c r="L31" s="773"/>
    </row>
    <row r="32" spans="1:12" x14ac:dyDescent="0.2">
      <c r="A32" s="200">
        <f t="shared" ref="A32:A95" si="2">A31+1</f>
        <v>101</v>
      </c>
      <c r="B32" s="891">
        <v>190.1</v>
      </c>
      <c r="C32" s="892" t="s">
        <v>2083</v>
      </c>
      <c r="D32" s="893">
        <v>28484.05</v>
      </c>
      <c r="E32" s="249">
        <f t="shared" ref="E32:E37" si="3">+D32</f>
        <v>28484.05</v>
      </c>
      <c r="F32" s="249"/>
      <c r="G32" s="249"/>
      <c r="H32" s="249"/>
      <c r="I32" s="469" t="s">
        <v>2316</v>
      </c>
      <c r="J32" s="469"/>
      <c r="K32" s="773"/>
      <c r="L32" s="773"/>
    </row>
    <row r="33" spans="1:12" x14ac:dyDescent="0.2">
      <c r="A33" s="200">
        <f t="shared" si="2"/>
        <v>102</v>
      </c>
      <c r="B33" s="891">
        <v>190.10599999999999</v>
      </c>
      <c r="C33" s="892" t="s">
        <v>123</v>
      </c>
      <c r="D33" s="893">
        <v>3679.67</v>
      </c>
      <c r="E33" s="249">
        <f>G329*D33</f>
        <v>3.4058825868487643</v>
      </c>
      <c r="F33" s="249"/>
      <c r="G33" s="249">
        <f>D33-E33</f>
        <v>3676.2641174131513</v>
      </c>
      <c r="H33" s="249"/>
      <c r="I33" s="469" t="s">
        <v>2855</v>
      </c>
      <c r="J33" s="469"/>
      <c r="K33" s="773"/>
      <c r="L33" s="773"/>
    </row>
    <row r="34" spans="1:12" x14ac:dyDescent="0.2">
      <c r="A34" s="200">
        <f t="shared" si="2"/>
        <v>103</v>
      </c>
      <c r="B34" s="891">
        <v>190.107</v>
      </c>
      <c r="C34" s="892" t="s">
        <v>2084</v>
      </c>
      <c r="D34" s="893">
        <v>-6876144.0899999999</v>
      </c>
      <c r="E34" s="249">
        <f t="shared" si="3"/>
        <v>-6876144.0899999999</v>
      </c>
      <c r="F34" s="249"/>
      <c r="G34" s="249"/>
      <c r="H34" s="249"/>
      <c r="I34" s="469" t="s">
        <v>2317</v>
      </c>
      <c r="J34" s="469"/>
      <c r="K34" s="773"/>
      <c r="L34" s="773"/>
    </row>
    <row r="35" spans="1:12" x14ac:dyDescent="0.2">
      <c r="A35" s="200">
        <f t="shared" si="2"/>
        <v>104</v>
      </c>
      <c r="B35" s="891">
        <v>190.108</v>
      </c>
      <c r="C35" s="892" t="s">
        <v>2085</v>
      </c>
      <c r="D35" s="893">
        <v>-1046580.71</v>
      </c>
      <c r="E35" s="249">
        <f t="shared" si="3"/>
        <v>-1046580.71</v>
      </c>
      <c r="F35" s="249"/>
      <c r="G35" s="249"/>
      <c r="H35" s="249"/>
      <c r="I35" s="469" t="s">
        <v>2316</v>
      </c>
      <c r="J35" s="469"/>
      <c r="K35" s="773"/>
      <c r="L35" s="773"/>
    </row>
    <row r="36" spans="1:12" ht="12.75" customHeight="1" x14ac:dyDescent="0.2">
      <c r="A36" s="200">
        <f t="shared" si="2"/>
        <v>105</v>
      </c>
      <c r="B36" s="891">
        <v>190.11</v>
      </c>
      <c r="C36" s="892" t="s">
        <v>2086</v>
      </c>
      <c r="D36" s="893">
        <v>-30591</v>
      </c>
      <c r="E36" s="249">
        <f t="shared" si="3"/>
        <v>-30591</v>
      </c>
      <c r="F36" s="249"/>
      <c r="G36" s="249"/>
      <c r="H36" s="249"/>
      <c r="I36" s="469" t="s">
        <v>2316</v>
      </c>
      <c r="J36" s="469"/>
      <c r="K36" s="773"/>
      <c r="L36" s="773"/>
    </row>
    <row r="37" spans="1:12" x14ac:dyDescent="0.2">
      <c r="A37" s="200">
        <f t="shared" si="2"/>
        <v>106</v>
      </c>
      <c r="B37" s="891">
        <v>190.11099999999999</v>
      </c>
      <c r="C37" s="892" t="s">
        <v>2087</v>
      </c>
      <c r="D37" s="893">
        <v>-1905780.24</v>
      </c>
      <c r="E37" s="249">
        <f t="shared" si="3"/>
        <v>-1905780.24</v>
      </c>
      <c r="F37" s="249"/>
      <c r="G37" s="249"/>
      <c r="H37" s="249"/>
      <c r="I37" s="469" t="s">
        <v>2316</v>
      </c>
      <c r="J37" s="469"/>
      <c r="K37" s="773"/>
      <c r="L37" s="773"/>
    </row>
    <row r="38" spans="1:12" x14ac:dyDescent="0.2">
      <c r="A38" s="200">
        <f t="shared" si="2"/>
        <v>107</v>
      </c>
      <c r="B38" s="891">
        <v>190.113</v>
      </c>
      <c r="C38" s="892" t="s">
        <v>2088</v>
      </c>
      <c r="D38" s="893">
        <v>4782074.5</v>
      </c>
      <c r="E38" s="249">
        <f>(G321*D38*0.5) + (D38*0.5)</f>
        <v>2394774.2257985966</v>
      </c>
      <c r="F38" s="249"/>
      <c r="G38" s="249"/>
      <c r="H38" s="249">
        <f>D38-E38</f>
        <v>2387300.2742014034</v>
      </c>
      <c r="I38" s="469" t="s">
        <v>2856</v>
      </c>
      <c r="J38" s="469"/>
      <c r="K38" s="773"/>
      <c r="L38" s="773"/>
    </row>
    <row r="39" spans="1:12" x14ac:dyDescent="0.2">
      <c r="A39" s="200">
        <f t="shared" si="2"/>
        <v>108</v>
      </c>
      <c r="B39" s="891">
        <v>190.124</v>
      </c>
      <c r="C39" s="892" t="s">
        <v>2090</v>
      </c>
      <c r="D39" s="893">
        <v>-43388808.079999998</v>
      </c>
      <c r="E39" s="249">
        <f t="shared" ref="E39:E47" si="4">+D39</f>
        <v>-43388808.079999998</v>
      </c>
      <c r="F39" s="249"/>
      <c r="G39" s="249"/>
      <c r="H39" s="249"/>
      <c r="I39" s="469" t="s">
        <v>2316</v>
      </c>
      <c r="J39" s="469"/>
      <c r="K39" s="773"/>
      <c r="L39" s="773"/>
    </row>
    <row r="40" spans="1:12" x14ac:dyDescent="0.2">
      <c r="A40" s="200">
        <f>A39+1</f>
        <v>109</v>
      </c>
      <c r="B40" s="891">
        <v>190.13</v>
      </c>
      <c r="C40" s="892" t="s">
        <v>2091</v>
      </c>
      <c r="D40" s="893">
        <v>2155510</v>
      </c>
      <c r="E40" s="249">
        <f t="shared" si="4"/>
        <v>2155510</v>
      </c>
      <c r="F40" s="249"/>
      <c r="G40" s="249"/>
      <c r="H40" s="249"/>
      <c r="I40" s="469" t="s">
        <v>2318</v>
      </c>
      <c r="J40" s="469"/>
      <c r="K40" s="773"/>
      <c r="L40" s="773"/>
    </row>
    <row r="41" spans="1:12" x14ac:dyDescent="0.2">
      <c r="A41" s="200">
        <f t="shared" si="2"/>
        <v>110</v>
      </c>
      <c r="B41" s="891">
        <v>190.131</v>
      </c>
      <c r="C41" s="892" t="s">
        <v>2092</v>
      </c>
      <c r="D41" s="893">
        <v>12201001.77</v>
      </c>
      <c r="E41" s="249"/>
      <c r="F41" s="738">
        <f>D41</f>
        <v>12201001.77</v>
      </c>
      <c r="G41" s="738"/>
      <c r="H41" s="738"/>
      <c r="I41" s="667" t="s">
        <v>2511</v>
      </c>
      <c r="J41" s="1088"/>
      <c r="K41" s="773"/>
      <c r="L41" s="773"/>
    </row>
    <row r="42" spans="1:12" x14ac:dyDescent="0.2">
      <c r="A42" s="200">
        <f t="shared" si="2"/>
        <v>111</v>
      </c>
      <c r="B42" s="891">
        <v>190.13200000000001</v>
      </c>
      <c r="C42" s="892" t="s">
        <v>2093</v>
      </c>
      <c r="D42" s="893">
        <v>13776.84</v>
      </c>
      <c r="E42" s="249">
        <f>G329*D42</f>
        <v>12.751768353629952</v>
      </c>
      <c r="F42" s="249"/>
      <c r="G42" s="249">
        <f>D42-E42</f>
        <v>13764.08823164637</v>
      </c>
      <c r="H42" s="249"/>
      <c r="I42" s="469" t="s">
        <v>2855</v>
      </c>
      <c r="J42" s="469"/>
      <c r="K42" s="773"/>
      <c r="L42" s="773"/>
    </row>
    <row r="43" spans="1:12" x14ac:dyDescent="0.2">
      <c r="A43" s="200">
        <f t="shared" si="2"/>
        <v>112</v>
      </c>
      <c r="B43" s="891">
        <v>190.14400000000001</v>
      </c>
      <c r="C43" s="892" t="s">
        <v>2094</v>
      </c>
      <c r="D43" s="893">
        <v>0.75</v>
      </c>
      <c r="E43" s="249">
        <f t="shared" si="4"/>
        <v>0.75</v>
      </c>
      <c r="F43" s="249"/>
      <c r="G43" s="249"/>
      <c r="H43" s="249"/>
      <c r="I43" s="469" t="s">
        <v>2319</v>
      </c>
      <c r="J43" s="469"/>
      <c r="K43" s="773"/>
      <c r="L43" s="773"/>
    </row>
    <row r="44" spans="1:12" x14ac:dyDescent="0.2">
      <c r="A44" s="200">
        <f t="shared" si="2"/>
        <v>113</v>
      </c>
      <c r="B44" s="891">
        <v>190.14500000000001</v>
      </c>
      <c r="C44" s="892" t="s">
        <v>2095</v>
      </c>
      <c r="D44" s="893">
        <v>-88901.37</v>
      </c>
      <c r="E44" s="249">
        <f t="shared" si="4"/>
        <v>-88901.37</v>
      </c>
      <c r="F44" s="249"/>
      <c r="G44" s="249"/>
      <c r="H44" s="249"/>
      <c r="I44" s="469" t="s">
        <v>2320</v>
      </c>
      <c r="J44" s="469"/>
      <c r="K44" s="773"/>
      <c r="L44" s="773"/>
    </row>
    <row r="45" spans="1:12" x14ac:dyDescent="0.2">
      <c r="A45" s="200">
        <f t="shared" si="2"/>
        <v>114</v>
      </c>
      <c r="B45" s="891">
        <v>190.148</v>
      </c>
      <c r="C45" s="892" t="s">
        <v>2096</v>
      </c>
      <c r="D45" s="893">
        <v>-93674.81</v>
      </c>
      <c r="E45" s="249">
        <f t="shared" si="4"/>
        <v>-93674.81</v>
      </c>
      <c r="F45" s="249"/>
      <c r="G45" s="249"/>
      <c r="H45" s="249"/>
      <c r="I45" s="469" t="s">
        <v>2320</v>
      </c>
      <c r="J45" s="469"/>
      <c r="K45" s="773"/>
      <c r="L45" s="773"/>
    </row>
    <row r="46" spans="1:12" x14ac:dyDescent="0.2">
      <c r="A46" s="200">
        <f t="shared" si="2"/>
        <v>115</v>
      </c>
      <c r="B46" s="891">
        <v>190.19</v>
      </c>
      <c r="C46" s="892" t="s">
        <v>2097</v>
      </c>
      <c r="D46" s="893">
        <v>-480607.96</v>
      </c>
      <c r="E46" s="249">
        <f t="shared" si="4"/>
        <v>-480607.96</v>
      </c>
      <c r="F46" s="249"/>
      <c r="G46" s="249"/>
      <c r="H46" s="249"/>
      <c r="I46" s="469" t="s">
        <v>2098</v>
      </c>
      <c r="J46" s="469"/>
      <c r="K46" s="773"/>
      <c r="L46" s="773"/>
    </row>
    <row r="47" spans="1:12" x14ac:dyDescent="0.2">
      <c r="A47" s="200">
        <f t="shared" si="2"/>
        <v>116</v>
      </c>
      <c r="B47" s="891">
        <v>190.191</v>
      </c>
      <c r="C47" s="892" t="s">
        <v>2099</v>
      </c>
      <c r="D47" s="893">
        <v>565837.30000000005</v>
      </c>
      <c r="E47" s="249">
        <f t="shared" si="4"/>
        <v>565837.30000000005</v>
      </c>
      <c r="F47" s="249"/>
      <c r="G47" s="249"/>
      <c r="H47" s="249"/>
      <c r="I47" s="469" t="s">
        <v>2321</v>
      </c>
      <c r="J47" s="469"/>
      <c r="K47" s="773"/>
      <c r="L47" s="773"/>
    </row>
    <row r="48" spans="1:12" x14ac:dyDescent="0.2">
      <c r="A48" s="200">
        <f t="shared" si="2"/>
        <v>117</v>
      </c>
      <c r="B48" s="891">
        <v>190.208</v>
      </c>
      <c r="C48" s="892" t="s">
        <v>2100</v>
      </c>
      <c r="D48" s="893">
        <v>1522503</v>
      </c>
      <c r="E48" s="249"/>
      <c r="F48" s="249"/>
      <c r="G48" s="249"/>
      <c r="H48" s="249">
        <f>+D48</f>
        <v>1522503</v>
      </c>
      <c r="I48" s="469" t="s">
        <v>2089</v>
      </c>
      <c r="J48" s="469"/>
      <c r="K48" s="773"/>
      <c r="L48" s="773"/>
    </row>
    <row r="49" spans="1:12" x14ac:dyDescent="0.2">
      <c r="A49" s="200">
        <f t="shared" si="2"/>
        <v>118</v>
      </c>
      <c r="B49" s="891">
        <v>190.21</v>
      </c>
      <c r="C49" s="892" t="s">
        <v>2101</v>
      </c>
      <c r="D49" s="893">
        <v>-4768279.78</v>
      </c>
      <c r="E49" s="249">
        <f t="shared" ref="E49:E54" si="5">+D49</f>
        <v>-4768279.78</v>
      </c>
      <c r="F49" s="249"/>
      <c r="G49" s="249"/>
      <c r="H49" s="249"/>
      <c r="I49" s="469" t="s">
        <v>2322</v>
      </c>
      <c r="J49" s="469"/>
      <c r="K49" s="773"/>
      <c r="L49" s="773"/>
    </row>
    <row r="50" spans="1:12" x14ac:dyDescent="0.2">
      <c r="A50" s="200">
        <f t="shared" si="2"/>
        <v>119</v>
      </c>
      <c r="B50" s="891">
        <v>190.21600000000001</v>
      </c>
      <c r="C50" s="892" t="s">
        <v>2102</v>
      </c>
      <c r="D50" s="893">
        <v>2294851.36</v>
      </c>
      <c r="E50" s="249">
        <f>G329*D50</f>
        <v>2124.1019674128943</v>
      </c>
      <c r="F50" s="249"/>
      <c r="G50" s="249">
        <f>D50-E50</f>
        <v>2292727.2580325869</v>
      </c>
      <c r="H50" s="249"/>
      <c r="I50" s="469" t="s">
        <v>2855</v>
      </c>
      <c r="J50" s="469"/>
      <c r="K50" s="773"/>
      <c r="L50" s="773"/>
    </row>
    <row r="51" spans="1:12" x14ac:dyDescent="0.2">
      <c r="A51" s="200">
        <f t="shared" si="2"/>
        <v>120</v>
      </c>
      <c r="B51" s="891">
        <v>190.22</v>
      </c>
      <c r="C51" s="892" t="s">
        <v>1524</v>
      </c>
      <c r="D51" s="893">
        <v>24245612.43</v>
      </c>
      <c r="E51" s="249">
        <f t="shared" si="5"/>
        <v>24245612.43</v>
      </c>
      <c r="F51" s="249"/>
      <c r="G51" s="249"/>
      <c r="H51" s="249"/>
      <c r="I51" s="469" t="s">
        <v>2324</v>
      </c>
      <c r="J51" s="469"/>
      <c r="K51" s="773"/>
      <c r="L51" s="773"/>
    </row>
    <row r="52" spans="1:12" x14ac:dyDescent="0.2">
      <c r="A52" s="200">
        <f t="shared" si="2"/>
        <v>121</v>
      </c>
      <c r="B52" s="891">
        <v>190.22200000000001</v>
      </c>
      <c r="C52" s="892" t="s">
        <v>2103</v>
      </c>
      <c r="D52" s="893">
        <v>91012714.989999995</v>
      </c>
      <c r="E52" s="249">
        <f t="shared" si="5"/>
        <v>91012714.989999995</v>
      </c>
      <c r="F52" s="249"/>
      <c r="G52" s="249"/>
      <c r="H52" s="249"/>
      <c r="I52" s="469" t="s">
        <v>2320</v>
      </c>
      <c r="J52" s="469"/>
      <c r="K52" s="773"/>
      <c r="L52" s="773"/>
    </row>
    <row r="53" spans="1:12" x14ac:dyDescent="0.2">
      <c r="A53" s="200">
        <f t="shared" si="2"/>
        <v>122</v>
      </c>
      <c r="B53" s="891">
        <v>190.22399999999999</v>
      </c>
      <c r="C53" s="892" t="s">
        <v>2104</v>
      </c>
      <c r="D53" s="893">
        <v>38320163.399999999</v>
      </c>
      <c r="E53" s="249">
        <f t="shared" si="5"/>
        <v>38320163.399999999</v>
      </c>
      <c r="F53" s="249"/>
      <c r="G53" s="249"/>
      <c r="H53" s="249"/>
      <c r="I53" s="469" t="s">
        <v>2105</v>
      </c>
      <c r="J53" s="469"/>
      <c r="K53" s="773"/>
      <c r="L53" s="773"/>
    </row>
    <row r="54" spans="1:12" x14ac:dyDescent="0.2">
      <c r="A54" s="200">
        <f t="shared" si="2"/>
        <v>123</v>
      </c>
      <c r="B54" s="891">
        <v>190.22499999999999</v>
      </c>
      <c r="C54" s="892" t="s">
        <v>2106</v>
      </c>
      <c r="D54" s="893">
        <v>935731</v>
      </c>
      <c r="E54" s="249">
        <f t="shared" si="5"/>
        <v>935731</v>
      </c>
      <c r="F54" s="249"/>
      <c r="G54" s="249"/>
      <c r="H54" s="249"/>
      <c r="I54" s="469" t="s">
        <v>2105</v>
      </c>
      <c r="J54" s="469"/>
      <c r="K54" s="773"/>
      <c r="L54" s="773"/>
    </row>
    <row r="55" spans="1:12" x14ac:dyDescent="0.2">
      <c r="A55" s="200">
        <f t="shared" si="2"/>
        <v>124</v>
      </c>
      <c r="B55" s="891">
        <v>190.232</v>
      </c>
      <c r="C55" s="892" t="s">
        <v>2107</v>
      </c>
      <c r="D55" s="893">
        <v>6181138.0099999998</v>
      </c>
      <c r="E55" s="249">
        <f>(G321*D55*0.5) + (D55*0.5)</f>
        <v>3095399.2859065719</v>
      </c>
      <c r="F55" s="249"/>
      <c r="G55" s="249"/>
      <c r="H55" s="249">
        <f t="shared" ref="H55:H56" si="6">D55-E55</f>
        <v>3085738.7240934279</v>
      </c>
      <c r="I55" s="469" t="s">
        <v>2856</v>
      </c>
      <c r="J55" s="469"/>
      <c r="K55" s="773"/>
      <c r="L55" s="773"/>
    </row>
    <row r="56" spans="1:12" x14ac:dyDescent="0.2">
      <c r="A56" s="200">
        <f t="shared" si="2"/>
        <v>125</v>
      </c>
      <c r="B56" s="891">
        <v>190.232</v>
      </c>
      <c r="C56" s="892" t="s">
        <v>2107</v>
      </c>
      <c r="D56" s="893">
        <v>666895.54</v>
      </c>
      <c r="E56" s="249">
        <f>(G321*D56*0.5) + (D56*0.5)</f>
        <v>333968.91882216325</v>
      </c>
      <c r="F56" s="249"/>
      <c r="G56" s="249"/>
      <c r="H56" s="249">
        <f t="shared" si="6"/>
        <v>332926.62117783679</v>
      </c>
      <c r="I56" s="469" t="s">
        <v>2856</v>
      </c>
      <c r="J56" s="469"/>
      <c r="K56" s="773"/>
      <c r="L56" s="773"/>
    </row>
    <row r="57" spans="1:12" x14ac:dyDescent="0.2">
      <c r="A57" s="200">
        <f t="shared" si="2"/>
        <v>126</v>
      </c>
      <c r="B57" s="891">
        <v>190.23400000000001</v>
      </c>
      <c r="C57" s="892" t="s">
        <v>2108</v>
      </c>
      <c r="D57" s="893">
        <v>122076150.12</v>
      </c>
      <c r="E57" s="738">
        <f>D57</f>
        <v>122076150.12</v>
      </c>
      <c r="F57" s="249"/>
      <c r="G57" s="249"/>
      <c r="H57" s="249"/>
      <c r="I57" s="469" t="s">
        <v>2098</v>
      </c>
      <c r="J57" s="469"/>
      <c r="K57" s="773"/>
      <c r="L57" s="773"/>
    </row>
    <row r="58" spans="1:12" x14ac:dyDescent="0.2">
      <c r="A58" s="200">
        <f t="shared" si="2"/>
        <v>127</v>
      </c>
      <c r="B58" s="891">
        <v>190.24</v>
      </c>
      <c r="C58" s="892" t="s">
        <v>2109</v>
      </c>
      <c r="D58" s="893">
        <v>29208568.640000001</v>
      </c>
      <c r="E58" s="249">
        <f t="shared" ref="E58:E64" si="7">+D58</f>
        <v>29208568.640000001</v>
      </c>
      <c r="F58" s="249"/>
      <c r="G58" s="249"/>
      <c r="H58" s="249"/>
      <c r="I58" s="469" t="s">
        <v>2098</v>
      </c>
      <c r="J58" s="469"/>
      <c r="K58" s="773"/>
      <c r="L58" s="773"/>
    </row>
    <row r="59" spans="1:12" x14ac:dyDescent="0.2">
      <c r="A59" s="200">
        <f t="shared" si="2"/>
        <v>128</v>
      </c>
      <c r="B59" s="891">
        <v>190.24199999999999</v>
      </c>
      <c r="C59" s="892" t="s">
        <v>2110</v>
      </c>
      <c r="D59" s="893">
        <v>-28216074.530000001</v>
      </c>
      <c r="E59" s="249">
        <f t="shared" si="7"/>
        <v>-28216074.530000001</v>
      </c>
      <c r="F59" s="249"/>
      <c r="G59" s="249"/>
      <c r="H59" s="249"/>
      <c r="I59" s="469" t="s">
        <v>2325</v>
      </c>
      <c r="J59" s="469"/>
      <c r="K59" s="773"/>
      <c r="L59" s="773"/>
    </row>
    <row r="60" spans="1:12" x14ac:dyDescent="0.2">
      <c r="A60" s="200">
        <f t="shared" si="2"/>
        <v>129</v>
      </c>
      <c r="B60" s="891">
        <v>190.244</v>
      </c>
      <c r="C60" s="892" t="s">
        <v>2111</v>
      </c>
      <c r="D60" s="893">
        <v>7934736.25</v>
      </c>
      <c r="E60" s="249">
        <f t="shared" si="7"/>
        <v>7934736.25</v>
      </c>
      <c r="F60" s="249"/>
      <c r="G60" s="249"/>
      <c r="H60" s="249"/>
      <c r="I60" s="469" t="s">
        <v>2324</v>
      </c>
      <c r="J60" s="469"/>
      <c r="K60" s="773"/>
      <c r="L60" s="773"/>
    </row>
    <row r="61" spans="1:12" x14ac:dyDescent="0.2">
      <c r="A61" s="200">
        <f t="shared" si="2"/>
        <v>130</v>
      </c>
      <c r="B61" s="891">
        <v>190.24799999999999</v>
      </c>
      <c r="C61" s="892" t="s">
        <v>2112</v>
      </c>
      <c r="D61" s="893">
        <v>89080416.090000004</v>
      </c>
      <c r="E61" s="249">
        <f>G321*D61</f>
        <v>139224.66454976064</v>
      </c>
      <c r="F61" s="249"/>
      <c r="G61" s="249"/>
      <c r="H61" s="249">
        <f t="shared" ref="H61" si="8">D61-E61</f>
        <v>88941191.425450236</v>
      </c>
      <c r="I61" s="469" t="s">
        <v>2856</v>
      </c>
      <c r="J61" s="469"/>
      <c r="K61" s="773"/>
      <c r="L61" s="773"/>
    </row>
    <row r="62" spans="1:12" x14ac:dyDescent="0.2">
      <c r="A62" s="200">
        <f t="shared" si="2"/>
        <v>131</v>
      </c>
      <c r="B62" s="891">
        <v>190.25299999999999</v>
      </c>
      <c r="C62" s="892" t="s">
        <v>2113</v>
      </c>
      <c r="D62" s="893">
        <v>-10109858.15</v>
      </c>
      <c r="E62" s="249">
        <f t="shared" si="7"/>
        <v>-10109858.15</v>
      </c>
      <c r="F62" s="249"/>
      <c r="G62" s="249"/>
      <c r="H62" s="249"/>
      <c r="I62" s="469" t="s">
        <v>2324</v>
      </c>
      <c r="J62" s="469"/>
      <c r="K62" s="773"/>
      <c r="L62" s="773"/>
    </row>
    <row r="63" spans="1:12" x14ac:dyDescent="0.2">
      <c r="A63" s="200">
        <f t="shared" si="2"/>
        <v>132</v>
      </c>
      <c r="B63" s="891">
        <v>190.25399999999999</v>
      </c>
      <c r="C63" s="892" t="s">
        <v>2114</v>
      </c>
      <c r="D63" s="893">
        <v>389309625.31</v>
      </c>
      <c r="E63" s="249">
        <f t="shared" si="7"/>
        <v>389309625.31</v>
      </c>
      <c r="F63" s="249"/>
      <c r="G63" s="249"/>
      <c r="H63" s="249"/>
      <c r="I63" s="469" t="s">
        <v>2326</v>
      </c>
      <c r="J63" s="469"/>
      <c r="K63" s="773"/>
      <c r="L63" s="773"/>
    </row>
    <row r="64" spans="1:12" x14ac:dyDescent="0.2">
      <c r="A64" s="200">
        <f t="shared" si="2"/>
        <v>133</v>
      </c>
      <c r="B64" s="891">
        <v>190.255</v>
      </c>
      <c r="C64" s="892" t="s">
        <v>2115</v>
      </c>
      <c r="D64" s="893">
        <v>30204</v>
      </c>
      <c r="E64" s="249">
        <f t="shared" si="7"/>
        <v>30204</v>
      </c>
      <c r="F64" s="249"/>
      <c r="G64" s="249"/>
      <c r="H64" s="249"/>
      <c r="I64" s="469" t="s">
        <v>2320</v>
      </c>
      <c r="J64" s="469"/>
      <c r="K64" s="773"/>
      <c r="L64" s="773"/>
    </row>
    <row r="65" spans="1:12" x14ac:dyDescent="0.2">
      <c r="A65" s="200">
        <f t="shared" si="2"/>
        <v>134</v>
      </c>
      <c r="B65" s="891">
        <v>190.256</v>
      </c>
      <c r="C65" s="892" t="s">
        <v>1516</v>
      </c>
      <c r="D65" s="893">
        <v>25874022.93</v>
      </c>
      <c r="E65" s="249">
        <f>G321*D65</f>
        <v>40438.766690790661</v>
      </c>
      <c r="F65" s="249"/>
      <c r="G65" s="249"/>
      <c r="H65" s="249">
        <f t="shared" ref="H65:H66" si="9">D65-E65</f>
        <v>25833584.163309209</v>
      </c>
      <c r="I65" s="469" t="s">
        <v>2856</v>
      </c>
      <c r="J65" s="469"/>
      <c r="K65" s="773"/>
      <c r="L65" s="773"/>
    </row>
    <row r="66" spans="1:12" x14ac:dyDescent="0.2">
      <c r="A66" s="200">
        <f t="shared" si="2"/>
        <v>135</v>
      </c>
      <c r="B66" s="891">
        <v>190.25800000000001</v>
      </c>
      <c r="C66" s="892" t="s">
        <v>2116</v>
      </c>
      <c r="D66" s="893">
        <v>1033600.39</v>
      </c>
      <c r="E66" s="249">
        <f>G321*D66</f>
        <v>1615.4242861962339</v>
      </c>
      <c r="F66" s="249"/>
      <c r="G66" s="249"/>
      <c r="H66" s="249">
        <f t="shared" si="9"/>
        <v>1031984.9657138038</v>
      </c>
      <c r="I66" s="469" t="s">
        <v>2856</v>
      </c>
      <c r="J66" s="469"/>
      <c r="K66" s="773"/>
      <c r="L66" s="773"/>
    </row>
    <row r="67" spans="1:12" x14ac:dyDescent="0.2">
      <c r="A67" s="200">
        <f t="shared" si="2"/>
        <v>136</v>
      </c>
      <c r="B67" s="891">
        <v>190.26599999999999</v>
      </c>
      <c r="C67" s="892" t="s">
        <v>2117</v>
      </c>
      <c r="D67" s="893">
        <v>3793860.97</v>
      </c>
      <c r="E67" s="249">
        <f>+D67</f>
        <v>3793860.97</v>
      </c>
      <c r="F67" s="249"/>
      <c r="G67" s="249"/>
      <c r="H67" s="249"/>
      <c r="I67" s="469" t="s">
        <v>2098</v>
      </c>
      <c r="J67" s="469"/>
      <c r="K67" s="773"/>
      <c r="L67" s="773"/>
    </row>
    <row r="68" spans="1:12" x14ac:dyDescent="0.2">
      <c r="A68" s="200">
        <f t="shared" si="2"/>
        <v>137</v>
      </c>
      <c r="B68" s="891">
        <v>190.297</v>
      </c>
      <c r="C68" s="892" t="s">
        <v>2118</v>
      </c>
      <c r="D68" s="893">
        <v>29118466.989999998</v>
      </c>
      <c r="E68" s="249"/>
      <c r="F68" s="249"/>
      <c r="G68" s="249">
        <f>D68</f>
        <v>29118466.989999998</v>
      </c>
      <c r="H68" s="249"/>
      <c r="I68" s="469" t="s">
        <v>2119</v>
      </c>
      <c r="J68" s="469"/>
      <c r="K68" s="773"/>
      <c r="L68" s="773"/>
    </row>
    <row r="69" spans="1:12" x14ac:dyDescent="0.2">
      <c r="A69" s="200">
        <f t="shared" si="2"/>
        <v>138</v>
      </c>
      <c r="B69" s="891">
        <v>190.31899999999999</v>
      </c>
      <c r="C69" s="892" t="s">
        <v>2120</v>
      </c>
      <c r="D69" s="893">
        <v>49878.37</v>
      </c>
      <c r="E69" s="249">
        <f>G329*D69</f>
        <v>46.167148641970556</v>
      </c>
      <c r="F69" s="249"/>
      <c r="G69" s="249">
        <f>D69-E69</f>
        <v>49832.20285135803</v>
      </c>
      <c r="H69" s="249"/>
      <c r="I69" s="469" t="s">
        <v>2855</v>
      </c>
      <c r="J69" s="469"/>
      <c r="K69" s="773"/>
      <c r="L69" s="773"/>
    </row>
    <row r="70" spans="1:12" x14ac:dyDescent="0.2">
      <c r="A70" s="200">
        <f t="shared" si="2"/>
        <v>139</v>
      </c>
      <c r="B70" s="891">
        <v>190.35</v>
      </c>
      <c r="C70" s="892" t="s">
        <v>2121</v>
      </c>
      <c r="D70" s="893">
        <v>29400616.59</v>
      </c>
      <c r="E70" s="249">
        <f>D70</f>
        <v>29400616.59</v>
      </c>
      <c r="F70" s="249"/>
      <c r="G70" s="249"/>
      <c r="H70" s="249"/>
      <c r="I70" s="667" t="s">
        <v>2857</v>
      </c>
      <c r="J70" s="1088"/>
      <c r="K70" s="773"/>
      <c r="L70" s="773"/>
    </row>
    <row r="71" spans="1:12" x14ac:dyDescent="0.2">
      <c r="A71" s="200">
        <f t="shared" si="2"/>
        <v>140</v>
      </c>
      <c r="B71" s="891">
        <v>190.36500000000001</v>
      </c>
      <c r="C71" s="892" t="s">
        <v>2122</v>
      </c>
      <c r="D71" s="893">
        <v>82056910.180000007</v>
      </c>
      <c r="E71" s="249">
        <f>+D71</f>
        <v>82056910.180000007</v>
      </c>
      <c r="F71" s="249"/>
      <c r="G71" s="249"/>
      <c r="H71" s="249"/>
      <c r="I71" s="469" t="s">
        <v>2326</v>
      </c>
      <c r="J71" s="469"/>
      <c r="K71" s="773"/>
      <c r="L71" s="773"/>
    </row>
    <row r="72" spans="1:12" x14ac:dyDescent="0.2">
      <c r="A72" s="200">
        <f t="shared" si="2"/>
        <v>141</v>
      </c>
      <c r="B72" s="891">
        <v>190.393</v>
      </c>
      <c r="C72" s="892" t="s">
        <v>2123</v>
      </c>
      <c r="D72" s="893">
        <v>9469196.0999999996</v>
      </c>
      <c r="E72" s="249">
        <f>+D72</f>
        <v>9469196.0999999996</v>
      </c>
      <c r="F72" s="249"/>
      <c r="G72" s="249"/>
      <c r="H72" s="249"/>
      <c r="I72" s="469" t="s">
        <v>2323</v>
      </c>
      <c r="J72" s="469"/>
      <c r="K72" s="773"/>
      <c r="L72" s="773"/>
    </row>
    <row r="73" spans="1:12" x14ac:dyDescent="0.2">
      <c r="A73" s="117"/>
      <c r="B73" s="894"/>
      <c r="C73" s="895"/>
      <c r="D73" s="896"/>
      <c r="E73" s="248"/>
      <c r="F73" s="248"/>
      <c r="G73" s="248"/>
      <c r="H73" s="248"/>
      <c r="I73" s="254"/>
      <c r="J73" s="254"/>
      <c r="K73" s="773"/>
      <c r="L73" s="773"/>
    </row>
    <row r="74" spans="1:12" x14ac:dyDescent="0.2">
      <c r="A74" s="117"/>
      <c r="B74" s="882" t="s">
        <v>2124</v>
      </c>
      <c r="C74" s="885"/>
      <c r="D74" s="889"/>
      <c r="E74" s="244"/>
      <c r="F74" s="244"/>
      <c r="G74" s="244"/>
      <c r="H74" s="244"/>
      <c r="I74" s="244"/>
      <c r="J74" s="254"/>
      <c r="K74" s="773"/>
      <c r="L74" s="773"/>
    </row>
    <row r="75" spans="1:12" x14ac:dyDescent="0.2">
      <c r="A75" s="117"/>
      <c r="B75" s="882"/>
      <c r="C75" s="88" t="s">
        <v>406</v>
      </c>
      <c r="D75" s="88" t="s">
        <v>390</v>
      </c>
      <c r="E75" s="88" t="s">
        <v>391</v>
      </c>
      <c r="F75" s="88" t="s">
        <v>392</v>
      </c>
      <c r="G75" s="88" t="s">
        <v>393</v>
      </c>
      <c r="H75" s="88" t="s">
        <v>394</v>
      </c>
      <c r="I75" s="88" t="s">
        <v>395</v>
      </c>
      <c r="J75" s="254"/>
      <c r="K75" s="773"/>
      <c r="L75" s="773"/>
    </row>
    <row r="76" spans="1:12" x14ac:dyDescent="0.2">
      <c r="A76" s="117"/>
      <c r="B76" s="886"/>
      <c r="C76" s="886"/>
      <c r="D76" s="886" t="s">
        <v>2072</v>
      </c>
      <c r="E76" s="886" t="s">
        <v>2073</v>
      </c>
      <c r="F76" s="886"/>
      <c r="G76" s="886"/>
      <c r="H76" s="886"/>
      <c r="I76" s="1087" t="s">
        <v>2854</v>
      </c>
      <c r="J76" s="254"/>
      <c r="K76" s="773"/>
      <c r="L76" s="773"/>
    </row>
    <row r="77" spans="1:12" x14ac:dyDescent="0.2">
      <c r="A77" s="117"/>
      <c r="B77" s="890" t="s">
        <v>2074</v>
      </c>
      <c r="C77" s="890" t="s">
        <v>2075</v>
      </c>
      <c r="D77" s="890" t="s">
        <v>2076</v>
      </c>
      <c r="E77" s="890" t="s">
        <v>2077</v>
      </c>
      <c r="F77" s="890" t="s">
        <v>2078</v>
      </c>
      <c r="G77" s="890" t="s">
        <v>2079</v>
      </c>
      <c r="H77" s="890" t="s">
        <v>2080</v>
      </c>
      <c r="I77" s="890" t="s">
        <v>114</v>
      </c>
      <c r="J77" s="254"/>
      <c r="K77" s="773"/>
      <c r="L77" s="773"/>
    </row>
    <row r="78" spans="1:12" x14ac:dyDescent="0.2">
      <c r="A78" s="117"/>
      <c r="B78" s="883" t="s">
        <v>2081</v>
      </c>
      <c r="C78" s="883"/>
      <c r="D78" s="883"/>
      <c r="E78" s="244"/>
      <c r="F78" s="244"/>
      <c r="G78" s="244"/>
      <c r="H78" s="244"/>
      <c r="I78" s="244"/>
      <c r="J78" s="254"/>
      <c r="K78" s="773"/>
      <c r="L78" s="773"/>
    </row>
    <row r="79" spans="1:12" x14ac:dyDescent="0.2">
      <c r="A79" s="200">
        <f>A72+1</f>
        <v>142</v>
      </c>
      <c r="B79" s="891">
        <v>190.40700000000001</v>
      </c>
      <c r="C79" s="892" t="s">
        <v>2125</v>
      </c>
      <c r="D79" s="893">
        <v>2210064.0099999998</v>
      </c>
      <c r="E79" s="249">
        <f t="shared" ref="E79:E91" si="10">+D79</f>
        <v>2210064.0099999998</v>
      </c>
      <c r="F79" s="249"/>
      <c r="G79" s="249"/>
      <c r="H79" s="249"/>
      <c r="I79" s="469" t="s">
        <v>2316</v>
      </c>
      <c r="J79" s="469"/>
      <c r="K79" s="773"/>
      <c r="L79" s="773"/>
    </row>
    <row r="80" spans="1:12" x14ac:dyDescent="0.2">
      <c r="A80" s="200">
        <f t="shared" si="2"/>
        <v>143</v>
      </c>
      <c r="B80" s="891">
        <v>190.43100000000001</v>
      </c>
      <c r="C80" s="892" t="s">
        <v>2126</v>
      </c>
      <c r="D80" s="893">
        <v>358409.06</v>
      </c>
      <c r="E80" s="249">
        <f t="shared" si="10"/>
        <v>358409.06</v>
      </c>
      <c r="F80" s="249"/>
      <c r="G80" s="249"/>
      <c r="H80" s="249"/>
      <c r="I80" s="469" t="s">
        <v>2316</v>
      </c>
      <c r="J80" s="469"/>
      <c r="K80" s="773"/>
      <c r="L80" s="773"/>
    </row>
    <row r="81" spans="1:12" x14ac:dyDescent="0.2">
      <c r="A81" s="200">
        <f t="shared" si="2"/>
        <v>144</v>
      </c>
      <c r="B81" s="891">
        <v>190.43299999999999</v>
      </c>
      <c r="C81" s="892" t="s">
        <v>2127</v>
      </c>
      <c r="D81" s="893">
        <v>-43603864.600000001</v>
      </c>
      <c r="E81" s="249">
        <f t="shared" si="10"/>
        <v>-43603864.600000001</v>
      </c>
      <c r="F81" s="249"/>
      <c r="G81" s="249"/>
      <c r="H81" s="249"/>
      <c r="I81" s="469" t="s">
        <v>2316</v>
      </c>
      <c r="J81" s="469"/>
      <c r="K81" s="773"/>
      <c r="L81" s="773"/>
    </row>
    <row r="82" spans="1:12" x14ac:dyDescent="0.2">
      <c r="A82" s="200">
        <f t="shared" si="2"/>
        <v>145</v>
      </c>
      <c r="B82" s="891">
        <v>190.44399999999999</v>
      </c>
      <c r="C82" s="892" t="s">
        <v>2128</v>
      </c>
      <c r="D82" s="893">
        <v>840071.13</v>
      </c>
      <c r="E82" s="249">
        <f t="shared" si="10"/>
        <v>840071.13</v>
      </c>
      <c r="F82" s="249"/>
      <c r="G82" s="249"/>
      <c r="H82" s="249"/>
      <c r="I82" s="469" t="s">
        <v>2316</v>
      </c>
      <c r="J82" s="469"/>
      <c r="K82" s="773"/>
      <c r="L82" s="773"/>
    </row>
    <row r="83" spans="1:12" x14ac:dyDescent="0.2">
      <c r="A83" s="200">
        <f t="shared" si="2"/>
        <v>146</v>
      </c>
      <c r="B83" s="891">
        <v>190.44499999999999</v>
      </c>
      <c r="C83" s="892" t="s">
        <v>2129</v>
      </c>
      <c r="D83" s="893">
        <v>-11548.72</v>
      </c>
      <c r="E83" s="249">
        <f>+D83</f>
        <v>-11548.72</v>
      </c>
      <c r="F83" s="249"/>
      <c r="G83" s="249"/>
      <c r="H83" s="249"/>
      <c r="I83" s="469" t="s">
        <v>2316</v>
      </c>
      <c r="J83" s="469"/>
      <c r="K83" s="773"/>
      <c r="L83" s="773"/>
    </row>
    <row r="84" spans="1:12" x14ac:dyDescent="0.2">
      <c r="A84" s="200">
        <f t="shared" si="2"/>
        <v>147</v>
      </c>
      <c r="B84" s="891">
        <v>190.44800000000001</v>
      </c>
      <c r="C84" s="892" t="s">
        <v>2130</v>
      </c>
      <c r="D84" s="893">
        <v>43138587.640000001</v>
      </c>
      <c r="E84" s="249">
        <f t="shared" si="10"/>
        <v>43138587.640000001</v>
      </c>
      <c r="F84" s="249"/>
      <c r="G84" s="249"/>
      <c r="H84" s="249"/>
      <c r="I84" s="469" t="s">
        <v>2316</v>
      </c>
      <c r="J84" s="469"/>
      <c r="K84" s="773"/>
      <c r="L84" s="773"/>
    </row>
    <row r="85" spans="1:12" x14ac:dyDescent="0.2">
      <c r="A85" s="200">
        <f t="shared" si="2"/>
        <v>148</v>
      </c>
      <c r="B85" s="891">
        <v>190.45699999999999</v>
      </c>
      <c r="C85" s="892" t="s">
        <v>2131</v>
      </c>
      <c r="D85" s="893">
        <v>13075175.439999999</v>
      </c>
      <c r="E85" s="249">
        <f t="shared" si="10"/>
        <v>13075175.439999999</v>
      </c>
      <c r="F85" s="249"/>
      <c r="G85" s="249"/>
      <c r="H85" s="249"/>
      <c r="I85" s="469" t="s">
        <v>2316</v>
      </c>
      <c r="J85" s="469"/>
      <c r="K85" s="773"/>
      <c r="L85" s="773"/>
    </row>
    <row r="86" spans="1:12" x14ac:dyDescent="0.2">
      <c r="A86" s="200">
        <f t="shared" si="2"/>
        <v>149</v>
      </c>
      <c r="B86" s="891">
        <v>190.459</v>
      </c>
      <c r="C86" s="892" t="s">
        <v>2132</v>
      </c>
      <c r="D86" s="893">
        <v>20394017.18</v>
      </c>
      <c r="E86" s="249">
        <f t="shared" si="10"/>
        <v>20394017.18</v>
      </c>
      <c r="F86" s="249"/>
      <c r="G86" s="249"/>
      <c r="H86" s="249"/>
      <c r="I86" s="469" t="s">
        <v>2316</v>
      </c>
      <c r="J86" s="469"/>
      <c r="K86" s="773"/>
      <c r="L86" s="773"/>
    </row>
    <row r="87" spans="1:12" x14ac:dyDescent="0.2">
      <c r="A87" s="200">
        <f t="shared" si="2"/>
        <v>150</v>
      </c>
      <c r="B87" s="891">
        <v>190.51</v>
      </c>
      <c r="C87" s="892" t="s">
        <v>2133</v>
      </c>
      <c r="D87" s="893">
        <v>-65593674.329999998</v>
      </c>
      <c r="E87" s="249">
        <f t="shared" si="10"/>
        <v>-65593674.329999998</v>
      </c>
      <c r="F87" s="249"/>
      <c r="G87" s="249"/>
      <c r="H87" s="249"/>
      <c r="I87" s="469" t="s">
        <v>2320</v>
      </c>
      <c r="J87" s="469"/>
      <c r="K87" s="773"/>
      <c r="L87" s="773"/>
    </row>
    <row r="88" spans="1:12" x14ac:dyDescent="0.2">
      <c r="A88" s="200">
        <f t="shared" si="2"/>
        <v>151</v>
      </c>
      <c r="B88" s="891">
        <v>190.52</v>
      </c>
      <c r="C88" s="892" t="s">
        <v>2134</v>
      </c>
      <c r="D88" s="893">
        <v>-114025125.73</v>
      </c>
      <c r="E88" s="249">
        <f t="shared" si="10"/>
        <v>-114025125.73</v>
      </c>
      <c r="F88" s="249"/>
      <c r="G88" s="249"/>
      <c r="H88" s="249"/>
      <c r="I88" s="469" t="s">
        <v>2326</v>
      </c>
      <c r="J88" s="469"/>
      <c r="K88" s="773"/>
      <c r="L88" s="773"/>
    </row>
    <row r="89" spans="1:12" x14ac:dyDescent="0.2">
      <c r="A89" s="200">
        <f t="shared" si="2"/>
        <v>152</v>
      </c>
      <c r="B89" s="891">
        <v>190.56100000000001</v>
      </c>
      <c r="C89" s="892" t="s">
        <v>2135</v>
      </c>
      <c r="D89" s="893">
        <v>-88582.28</v>
      </c>
      <c r="E89" s="249">
        <f t="shared" si="10"/>
        <v>-88582.28</v>
      </c>
      <c r="F89" s="249"/>
      <c r="G89" s="249"/>
      <c r="H89" s="249"/>
      <c r="I89" s="469" t="s">
        <v>2316</v>
      </c>
      <c r="J89" s="469"/>
      <c r="K89" s="773"/>
      <c r="L89" s="773"/>
    </row>
    <row r="90" spans="1:12" x14ac:dyDescent="0.2">
      <c r="A90" s="200">
        <f t="shared" si="2"/>
        <v>153</v>
      </c>
      <c r="B90" s="891">
        <v>190.64</v>
      </c>
      <c r="C90" s="892" t="s">
        <v>2136</v>
      </c>
      <c r="D90" s="893">
        <v>-2029416.47</v>
      </c>
      <c r="E90" s="249">
        <f t="shared" si="10"/>
        <v>-2029416.47</v>
      </c>
      <c r="F90" s="249"/>
      <c r="G90" s="249"/>
      <c r="H90" s="249"/>
      <c r="I90" s="469" t="s">
        <v>2316</v>
      </c>
      <c r="J90" s="469"/>
      <c r="K90" s="773"/>
      <c r="L90" s="773"/>
    </row>
    <row r="91" spans="1:12" x14ac:dyDescent="0.2">
      <c r="A91" s="200">
        <f t="shared" si="2"/>
        <v>154</v>
      </c>
      <c r="B91" s="891">
        <v>190.738</v>
      </c>
      <c r="C91" s="892" t="s">
        <v>2137</v>
      </c>
      <c r="D91" s="893">
        <v>-6713456.7000000002</v>
      </c>
      <c r="E91" s="249">
        <f t="shared" si="10"/>
        <v>-6713456.7000000002</v>
      </c>
      <c r="F91" s="249"/>
      <c r="G91" s="249"/>
      <c r="H91" s="249"/>
      <c r="I91" s="469" t="s">
        <v>2327</v>
      </c>
      <c r="J91" s="469"/>
      <c r="K91" s="773"/>
      <c r="L91" s="773"/>
    </row>
    <row r="92" spans="1:12" x14ac:dyDescent="0.2">
      <c r="A92" s="200">
        <f t="shared" si="2"/>
        <v>155</v>
      </c>
      <c r="B92" s="891">
        <v>190.745</v>
      </c>
      <c r="C92" s="892" t="s">
        <v>2138</v>
      </c>
      <c r="D92" s="893">
        <v>171475070.31999999</v>
      </c>
      <c r="E92" s="249">
        <f>G329*D92</f>
        <v>158716.3946988603</v>
      </c>
      <c r="F92" s="249"/>
      <c r="G92" s="249">
        <f>D92-E92</f>
        <v>171316353.92530113</v>
      </c>
      <c r="H92" s="249"/>
      <c r="I92" s="469" t="s">
        <v>2855</v>
      </c>
      <c r="J92" s="469"/>
      <c r="K92" s="773"/>
      <c r="L92" s="773"/>
    </row>
    <row r="93" spans="1:12" x14ac:dyDescent="0.2">
      <c r="A93" s="200">
        <f t="shared" si="2"/>
        <v>156</v>
      </c>
      <c r="B93" s="891">
        <v>190.74799999999999</v>
      </c>
      <c r="C93" s="892" t="s">
        <v>2139</v>
      </c>
      <c r="D93" s="893">
        <v>284574699.25</v>
      </c>
      <c r="E93" s="249">
        <f>+D93</f>
        <v>284574699.25</v>
      </c>
      <c r="F93" s="249"/>
      <c r="G93" s="249"/>
      <c r="H93" s="249"/>
      <c r="I93" s="469" t="s">
        <v>2327</v>
      </c>
      <c r="J93" s="469"/>
      <c r="K93" s="773"/>
      <c r="L93" s="773"/>
    </row>
    <row r="94" spans="1:12" x14ac:dyDescent="0.2">
      <c r="A94" s="200">
        <f t="shared" si="2"/>
        <v>157</v>
      </c>
      <c r="B94" s="891">
        <v>190.8</v>
      </c>
      <c r="C94" s="892" t="s">
        <v>2140</v>
      </c>
      <c r="D94" s="893">
        <v>53948186.579999998</v>
      </c>
      <c r="E94" s="249">
        <f>G321*D94</f>
        <v>84316.15510282242</v>
      </c>
      <c r="F94" s="249"/>
      <c r="G94" s="249"/>
      <c r="H94" s="249">
        <f t="shared" ref="H94" si="11">D94-E94</f>
        <v>53863870.424897179</v>
      </c>
      <c r="I94" s="667" t="s">
        <v>2858</v>
      </c>
      <c r="J94" s="1088"/>
      <c r="K94" s="773"/>
      <c r="L94" s="773"/>
    </row>
    <row r="95" spans="1:12" x14ac:dyDescent="0.2">
      <c r="A95" s="200">
        <f t="shared" si="2"/>
        <v>158</v>
      </c>
      <c r="B95" s="897">
        <v>190.91</v>
      </c>
      <c r="C95" s="892" t="s">
        <v>2141</v>
      </c>
      <c r="D95" s="893">
        <v>5770278.6399999997</v>
      </c>
      <c r="E95" s="249">
        <f t="shared" ref="E95:E111" si="12">+D95</f>
        <v>5770278.6399999997</v>
      </c>
      <c r="F95" s="249"/>
      <c r="G95" s="249"/>
      <c r="H95" s="249"/>
      <c r="I95" s="469" t="s">
        <v>2320</v>
      </c>
      <c r="J95" s="469"/>
      <c r="K95" s="773"/>
      <c r="L95" s="773"/>
    </row>
    <row r="96" spans="1:12" x14ac:dyDescent="0.2">
      <c r="A96" s="200">
        <f t="shared" ref="A96:A132" si="13">A95+1</f>
        <v>159</v>
      </c>
      <c r="B96" s="891">
        <v>190.92500000000001</v>
      </c>
      <c r="C96" s="892" t="s">
        <v>2142</v>
      </c>
      <c r="D96" s="893">
        <v>-13398915.619999999</v>
      </c>
      <c r="E96" s="249">
        <f t="shared" si="12"/>
        <v>-13398915.619999999</v>
      </c>
      <c r="F96" s="249"/>
      <c r="G96" s="249"/>
      <c r="H96" s="249"/>
      <c r="I96" s="469" t="s">
        <v>2328</v>
      </c>
      <c r="J96" s="469"/>
      <c r="K96" s="773"/>
      <c r="L96" s="773"/>
    </row>
    <row r="97" spans="1:12" x14ac:dyDescent="0.2">
      <c r="A97" s="200">
        <f t="shared" si="13"/>
        <v>160</v>
      </c>
      <c r="B97" s="891">
        <v>190.92500000000001</v>
      </c>
      <c r="C97" s="892" t="s">
        <v>2142</v>
      </c>
      <c r="D97" s="893">
        <v>13398916</v>
      </c>
      <c r="E97" s="249">
        <f t="shared" si="12"/>
        <v>13398916</v>
      </c>
      <c r="F97" s="249"/>
      <c r="G97" s="249"/>
      <c r="H97" s="249"/>
      <c r="I97" s="469" t="s">
        <v>2328</v>
      </c>
      <c r="J97" s="469"/>
      <c r="K97" s="773"/>
      <c r="L97" s="773"/>
    </row>
    <row r="98" spans="1:12" x14ac:dyDescent="0.2">
      <c r="A98" s="200">
        <f t="shared" si="13"/>
        <v>161</v>
      </c>
      <c r="B98" s="891">
        <v>190.92599999999999</v>
      </c>
      <c r="C98" s="892" t="s">
        <v>2143</v>
      </c>
      <c r="D98" s="893">
        <v>68487.100000000006</v>
      </c>
      <c r="E98" s="249">
        <f t="shared" si="12"/>
        <v>68487.100000000006</v>
      </c>
      <c r="F98" s="249"/>
      <c r="G98" s="249"/>
      <c r="H98" s="249"/>
      <c r="I98" s="469" t="s">
        <v>2328</v>
      </c>
      <c r="J98" s="469"/>
      <c r="K98" s="773"/>
      <c r="L98" s="773"/>
    </row>
    <row r="99" spans="1:12" x14ac:dyDescent="0.2">
      <c r="A99" s="200">
        <f t="shared" si="13"/>
        <v>162</v>
      </c>
      <c r="B99" s="891">
        <v>190.96100000000001</v>
      </c>
      <c r="C99" s="892" t="s">
        <v>2144</v>
      </c>
      <c r="D99" s="893">
        <v>830134.17</v>
      </c>
      <c r="E99" s="249">
        <f t="shared" si="12"/>
        <v>830134.17</v>
      </c>
      <c r="F99" s="249"/>
      <c r="G99" s="249"/>
      <c r="H99" s="249"/>
      <c r="I99" s="469" t="s">
        <v>2320</v>
      </c>
      <c r="J99" s="469"/>
      <c r="K99" s="773"/>
      <c r="L99" s="773"/>
    </row>
    <row r="100" spans="1:12" x14ac:dyDescent="0.2">
      <c r="A100" s="200">
        <f t="shared" si="13"/>
        <v>163</v>
      </c>
      <c r="B100" s="891">
        <v>190.96100000000001</v>
      </c>
      <c r="C100" s="892" t="s">
        <v>2144</v>
      </c>
      <c r="D100" s="893">
        <v>-998888.12</v>
      </c>
      <c r="E100" s="249">
        <f t="shared" si="12"/>
        <v>-998888.12</v>
      </c>
      <c r="F100" s="249"/>
      <c r="G100" s="249"/>
      <c r="H100" s="249"/>
      <c r="I100" s="469" t="s">
        <v>2320</v>
      </c>
      <c r="J100" s="469"/>
      <c r="K100" s="773"/>
      <c r="L100" s="773"/>
    </row>
    <row r="101" spans="1:12" x14ac:dyDescent="0.2">
      <c r="A101" s="200">
        <f t="shared" si="13"/>
        <v>164</v>
      </c>
      <c r="B101" s="891" t="s">
        <v>2145</v>
      </c>
      <c r="C101" s="892" t="s">
        <v>2146</v>
      </c>
      <c r="D101" s="893">
        <v>-18693383.510000002</v>
      </c>
      <c r="E101" s="249">
        <f t="shared" si="12"/>
        <v>-18693383.510000002</v>
      </c>
      <c r="F101" s="249"/>
      <c r="G101" s="249"/>
      <c r="H101" s="249"/>
      <c r="I101" s="469" t="s">
        <v>2316</v>
      </c>
      <c r="J101" s="469"/>
      <c r="K101" s="773"/>
      <c r="L101" s="773"/>
    </row>
    <row r="102" spans="1:12" x14ac:dyDescent="0.2">
      <c r="A102" s="200">
        <f t="shared" si="13"/>
        <v>165</v>
      </c>
      <c r="B102" s="891" t="s">
        <v>2145</v>
      </c>
      <c r="C102" s="892" t="s">
        <v>2147</v>
      </c>
      <c r="D102" s="893">
        <v>2278921.4900000002</v>
      </c>
      <c r="E102" s="249">
        <f t="shared" si="12"/>
        <v>2278921.4900000002</v>
      </c>
      <c r="F102" s="249"/>
      <c r="G102" s="249"/>
      <c r="H102" s="249"/>
      <c r="I102" s="469" t="s">
        <v>2316</v>
      </c>
      <c r="J102" s="469"/>
      <c r="K102" s="773"/>
      <c r="L102" s="773"/>
    </row>
    <row r="103" spans="1:12" x14ac:dyDescent="0.2">
      <c r="A103" s="200">
        <f t="shared" si="13"/>
        <v>166</v>
      </c>
      <c r="B103" s="891" t="s">
        <v>2145</v>
      </c>
      <c r="C103" s="892" t="s">
        <v>2148</v>
      </c>
      <c r="D103" s="893">
        <v>458781</v>
      </c>
      <c r="E103" s="249">
        <f t="shared" si="12"/>
        <v>458781</v>
      </c>
      <c r="F103" s="249"/>
      <c r="G103" s="249"/>
      <c r="H103" s="249"/>
      <c r="I103" s="469" t="s">
        <v>2325</v>
      </c>
      <c r="J103" s="469"/>
      <c r="K103" s="773"/>
      <c r="L103" s="773"/>
    </row>
    <row r="104" spans="1:12" x14ac:dyDescent="0.2">
      <c r="A104" s="200">
        <f t="shared" si="13"/>
        <v>167</v>
      </c>
      <c r="B104" s="891" t="s">
        <v>2145</v>
      </c>
      <c r="C104" s="892" t="s">
        <v>2149</v>
      </c>
      <c r="D104" s="893">
        <v>21249436.469999999</v>
      </c>
      <c r="E104" s="249">
        <f t="shared" si="12"/>
        <v>21249436.469999999</v>
      </c>
      <c r="F104" s="249"/>
      <c r="G104" s="249"/>
      <c r="H104" s="249"/>
      <c r="I104" s="469" t="s">
        <v>2329</v>
      </c>
      <c r="J104" s="469"/>
      <c r="K104" s="773"/>
      <c r="L104" s="773"/>
    </row>
    <row r="105" spans="1:12" x14ac:dyDescent="0.2">
      <c r="A105" s="200">
        <f t="shared" si="13"/>
        <v>168</v>
      </c>
      <c r="B105" s="891" t="s">
        <v>2145</v>
      </c>
      <c r="C105" s="892" t="s">
        <v>2330</v>
      </c>
      <c r="D105" s="893">
        <v>-138961.92000000001</v>
      </c>
      <c r="E105" s="249">
        <f t="shared" si="12"/>
        <v>-138961.92000000001</v>
      </c>
      <c r="F105" s="249"/>
      <c r="G105" s="249"/>
      <c r="H105" s="249"/>
      <c r="I105" s="469" t="s">
        <v>2320</v>
      </c>
      <c r="J105" s="469"/>
      <c r="K105" s="773"/>
      <c r="L105" s="773"/>
    </row>
    <row r="106" spans="1:12" x14ac:dyDescent="0.2">
      <c r="A106" s="200">
        <f t="shared" si="13"/>
        <v>169</v>
      </c>
      <c r="B106" s="891" t="s">
        <v>2145</v>
      </c>
      <c r="C106" s="892" t="s">
        <v>2150</v>
      </c>
      <c r="D106" s="893">
        <v>-1994965</v>
      </c>
      <c r="E106" s="249">
        <f t="shared" si="12"/>
        <v>-1994965</v>
      </c>
      <c r="F106" s="249"/>
      <c r="G106" s="249"/>
      <c r="H106" s="249"/>
      <c r="I106" s="469" t="s">
        <v>2320</v>
      </c>
      <c r="J106" s="469"/>
      <c r="K106" s="773"/>
      <c r="L106" s="773"/>
    </row>
    <row r="107" spans="1:12" x14ac:dyDescent="0.2">
      <c r="A107" s="200">
        <f t="shared" si="13"/>
        <v>170</v>
      </c>
      <c r="B107" s="891" t="s">
        <v>2145</v>
      </c>
      <c r="C107" s="892" t="s">
        <v>2151</v>
      </c>
      <c r="D107" s="893">
        <v>13251947.48</v>
      </c>
      <c r="E107" s="249">
        <f t="shared" si="12"/>
        <v>13251947.48</v>
      </c>
      <c r="F107" s="249"/>
      <c r="G107" s="249"/>
      <c r="H107" s="249"/>
      <c r="I107" s="469" t="s">
        <v>2316</v>
      </c>
      <c r="J107" s="469"/>
      <c r="K107" s="773"/>
      <c r="L107" s="773"/>
    </row>
    <row r="108" spans="1:12" x14ac:dyDescent="0.2">
      <c r="A108" s="200">
        <f t="shared" si="13"/>
        <v>171</v>
      </c>
      <c r="B108" s="891" t="s">
        <v>2145</v>
      </c>
      <c r="C108" s="892" t="s">
        <v>2152</v>
      </c>
      <c r="D108" s="893">
        <v>-11549784.550000001</v>
      </c>
      <c r="E108" s="249">
        <f t="shared" si="12"/>
        <v>-11549784.550000001</v>
      </c>
      <c r="F108" s="249"/>
      <c r="G108" s="249"/>
      <c r="H108" s="249"/>
      <c r="I108" s="469" t="s">
        <v>2316</v>
      </c>
      <c r="J108" s="469"/>
      <c r="K108" s="773"/>
      <c r="L108" s="773"/>
    </row>
    <row r="109" spans="1:12" x14ac:dyDescent="0.2">
      <c r="A109" s="200">
        <f t="shared" si="13"/>
        <v>172</v>
      </c>
      <c r="B109" s="891" t="s">
        <v>2145</v>
      </c>
      <c r="C109" s="892" t="s">
        <v>2153</v>
      </c>
      <c r="D109" s="893">
        <v>-5114869.25</v>
      </c>
      <c r="E109" s="249">
        <f t="shared" si="12"/>
        <v>-5114869.25</v>
      </c>
      <c r="F109" s="249"/>
      <c r="G109" s="249"/>
      <c r="H109" s="249"/>
      <c r="I109" s="469" t="s">
        <v>2316</v>
      </c>
      <c r="J109" s="469"/>
      <c r="K109" s="773"/>
      <c r="L109" s="773"/>
    </row>
    <row r="110" spans="1:12" x14ac:dyDescent="0.2">
      <c r="A110" s="200">
        <f t="shared" si="13"/>
        <v>173</v>
      </c>
      <c r="B110" s="891" t="s">
        <v>2145</v>
      </c>
      <c r="C110" s="892" t="s">
        <v>2154</v>
      </c>
      <c r="D110" s="893">
        <v>-722193.27</v>
      </c>
      <c r="E110" s="249">
        <f t="shared" si="12"/>
        <v>-722193.27</v>
      </c>
      <c r="F110" s="249"/>
      <c r="G110" s="249"/>
      <c r="H110" s="249"/>
      <c r="I110" s="469" t="s">
        <v>2316</v>
      </c>
      <c r="J110" s="469"/>
      <c r="K110" s="773"/>
      <c r="L110" s="773"/>
    </row>
    <row r="111" spans="1:12" x14ac:dyDescent="0.2">
      <c r="A111" s="200">
        <f t="shared" si="13"/>
        <v>174</v>
      </c>
      <c r="B111" s="891" t="s">
        <v>2145</v>
      </c>
      <c r="C111" s="892" t="s">
        <v>2155</v>
      </c>
      <c r="D111" s="893">
        <v>-239434.02</v>
      </c>
      <c r="E111" s="249">
        <f t="shared" si="12"/>
        <v>-239434.02</v>
      </c>
      <c r="F111" s="249"/>
      <c r="G111" s="249"/>
      <c r="H111" s="249"/>
      <c r="I111" s="469" t="s">
        <v>2316</v>
      </c>
      <c r="J111" s="469"/>
      <c r="K111" s="773"/>
      <c r="L111" s="773"/>
    </row>
    <row r="112" spans="1:12" x14ac:dyDescent="0.2">
      <c r="A112" s="200">
        <f t="shared" si="13"/>
        <v>175</v>
      </c>
      <c r="B112" s="898" t="s">
        <v>578</v>
      </c>
      <c r="C112" s="892"/>
      <c r="D112" s="893"/>
      <c r="E112" s="249"/>
      <c r="F112" s="249"/>
      <c r="G112" s="249"/>
      <c r="H112" s="249"/>
      <c r="I112" s="469"/>
      <c r="J112" s="469"/>
      <c r="K112" s="773"/>
      <c r="L112" s="773"/>
    </row>
    <row r="113" spans="1:12" x14ac:dyDescent="0.2">
      <c r="A113" s="839"/>
      <c r="B113" s="899"/>
      <c r="C113" s="883"/>
      <c r="D113" s="900"/>
      <c r="E113" s="246"/>
      <c r="F113" s="246"/>
      <c r="G113" s="246"/>
      <c r="H113" s="246"/>
      <c r="I113" s="395" t="s">
        <v>209</v>
      </c>
      <c r="J113" s="244"/>
      <c r="K113" s="773"/>
      <c r="L113" s="773"/>
    </row>
    <row r="114" spans="1:12" x14ac:dyDescent="0.2">
      <c r="A114" s="117">
        <v>250</v>
      </c>
      <c r="B114" s="883"/>
      <c r="C114" s="883" t="s">
        <v>2156</v>
      </c>
      <c r="D114" s="901">
        <f>SUM(D31:D72)+SUM(D79:D111)</f>
        <v>1269250819.6300001</v>
      </c>
      <c r="E114" s="901">
        <f>SUM(E31:E72)+SUM(E79:E111)</f>
        <v>876770573.22234595</v>
      </c>
      <c r="F114" s="901">
        <f>SUM(F31:F72)+SUM(F79:F111)</f>
        <v>12201001.77</v>
      </c>
      <c r="G114" s="901">
        <f>SUM(G31:G72)+SUM(G79:G111)</f>
        <v>203280145.038811</v>
      </c>
      <c r="H114" s="901">
        <f>SUM(H31:H72)+SUM(H79:H111)</f>
        <v>176999099.5988431</v>
      </c>
      <c r="I114" s="264" t="str">
        <f>"Sum of Above Lines beginning on Line "&amp;A31&amp;""</f>
        <v>Sum of Above Lines beginning on Line 100</v>
      </c>
      <c r="J114" s="244"/>
      <c r="K114" s="773"/>
      <c r="L114" s="773"/>
    </row>
    <row r="115" spans="1:12" x14ac:dyDescent="0.2">
      <c r="A115" s="839"/>
      <c r="B115" s="883"/>
      <c r="C115" s="883"/>
      <c r="D115" s="902"/>
      <c r="E115" s="246"/>
      <c r="F115" s="246"/>
      <c r="G115" s="246"/>
      <c r="H115" s="246"/>
      <c r="I115" s="244"/>
      <c r="J115" s="244"/>
      <c r="K115" s="773"/>
      <c r="L115" s="773"/>
    </row>
    <row r="116" spans="1:12" x14ac:dyDescent="0.2">
      <c r="A116" s="839"/>
      <c r="B116" s="883" t="s">
        <v>2157</v>
      </c>
      <c r="C116" s="883"/>
      <c r="D116" s="902"/>
      <c r="E116" s="246"/>
      <c r="F116" s="246"/>
      <c r="G116" s="246"/>
      <c r="H116" s="246"/>
      <c r="I116" s="1087" t="s">
        <v>2854</v>
      </c>
      <c r="J116" s="244"/>
      <c r="K116" s="773"/>
      <c r="L116" s="773"/>
    </row>
    <row r="117" spans="1:12" x14ac:dyDescent="0.2">
      <c r="A117" s="839"/>
      <c r="C117" s="88" t="s">
        <v>406</v>
      </c>
      <c r="D117" s="88" t="s">
        <v>390</v>
      </c>
      <c r="E117" s="88" t="s">
        <v>391</v>
      </c>
      <c r="F117" s="88" t="s">
        <v>392</v>
      </c>
      <c r="G117" s="88" t="s">
        <v>393</v>
      </c>
      <c r="H117" s="88" t="s">
        <v>394</v>
      </c>
      <c r="I117" s="88" t="s">
        <v>395</v>
      </c>
      <c r="J117" s="244"/>
      <c r="K117" s="773"/>
      <c r="L117" s="773"/>
    </row>
    <row r="118" spans="1:12" x14ac:dyDescent="0.2">
      <c r="A118" s="200">
        <v>300</v>
      </c>
      <c r="B118" s="891">
        <v>190.18</v>
      </c>
      <c r="C118" s="892" t="s">
        <v>2158</v>
      </c>
      <c r="D118" s="893">
        <v>116201673.11</v>
      </c>
      <c r="E118" s="249">
        <f t="shared" ref="E118:E131" si="14">+D118</f>
        <v>116201673.11</v>
      </c>
      <c r="F118" s="249"/>
      <c r="G118" s="249"/>
      <c r="H118" s="249"/>
      <c r="I118" s="469" t="s">
        <v>2159</v>
      </c>
      <c r="J118" s="469"/>
      <c r="K118" s="773"/>
      <c r="L118" s="773"/>
    </row>
    <row r="119" spans="1:12" x14ac:dyDescent="0.2">
      <c r="A119" s="200">
        <f t="shared" si="13"/>
        <v>301</v>
      </c>
      <c r="B119" s="891">
        <v>190.18100000000001</v>
      </c>
      <c r="C119" s="892" t="s">
        <v>2160</v>
      </c>
      <c r="D119" s="893">
        <v>-507149558.38999999</v>
      </c>
      <c r="E119" s="249">
        <f t="shared" si="14"/>
        <v>-507149558.38999999</v>
      </c>
      <c r="F119" s="249"/>
      <c r="G119" s="249"/>
      <c r="H119" s="249"/>
      <c r="I119" s="469" t="s">
        <v>2159</v>
      </c>
      <c r="J119" s="469"/>
      <c r="K119" s="773"/>
      <c r="L119" s="773"/>
    </row>
    <row r="120" spans="1:12" x14ac:dyDescent="0.2">
      <c r="A120" s="200">
        <f t="shared" si="13"/>
        <v>302</v>
      </c>
      <c r="B120" s="891">
        <v>190.21199999999999</v>
      </c>
      <c r="C120" s="892" t="s">
        <v>2161</v>
      </c>
      <c r="D120" s="893">
        <v>-344000.63</v>
      </c>
      <c r="E120" s="249">
        <f t="shared" si="14"/>
        <v>-344000.63</v>
      </c>
      <c r="F120" s="249"/>
      <c r="G120" s="249"/>
      <c r="H120" s="249"/>
      <c r="I120" s="469" t="s">
        <v>2159</v>
      </c>
      <c r="J120" s="469"/>
      <c r="K120" s="773"/>
      <c r="L120" s="773"/>
    </row>
    <row r="121" spans="1:12" x14ac:dyDescent="0.2">
      <c r="A121" s="200">
        <f t="shared" si="13"/>
        <v>303</v>
      </c>
      <c r="B121" s="891">
        <v>190.21700000000001</v>
      </c>
      <c r="C121" s="892" t="s">
        <v>2162</v>
      </c>
      <c r="D121" s="893">
        <v>-12036</v>
      </c>
      <c r="E121" s="249">
        <f t="shared" si="14"/>
        <v>-12036</v>
      </c>
      <c r="F121" s="249"/>
      <c r="G121" s="249"/>
      <c r="H121" s="249"/>
      <c r="I121" s="469" t="s">
        <v>2159</v>
      </c>
      <c r="J121" s="469"/>
      <c r="K121" s="773"/>
      <c r="L121" s="773"/>
    </row>
    <row r="122" spans="1:12" x14ac:dyDescent="0.2">
      <c r="A122" s="200">
        <f t="shared" si="13"/>
        <v>304</v>
      </c>
      <c r="B122" s="891">
        <v>190.21799999999999</v>
      </c>
      <c r="C122" s="892" t="s">
        <v>2163</v>
      </c>
      <c r="D122" s="893">
        <v>-5100150.62</v>
      </c>
      <c r="E122" s="249">
        <f t="shared" si="14"/>
        <v>-5100150.62</v>
      </c>
      <c r="F122" s="249"/>
      <c r="G122" s="249"/>
      <c r="H122" s="249"/>
      <c r="I122" s="469" t="s">
        <v>2159</v>
      </c>
      <c r="J122" s="469"/>
      <c r="K122" s="773"/>
      <c r="L122" s="773"/>
    </row>
    <row r="123" spans="1:12" x14ac:dyDescent="0.2">
      <c r="A123" s="200">
        <f t="shared" si="13"/>
        <v>305</v>
      </c>
      <c r="B123" s="891">
        <v>190.21899999999999</v>
      </c>
      <c r="C123" s="892" t="s">
        <v>2164</v>
      </c>
      <c r="D123" s="893">
        <v>-9042</v>
      </c>
      <c r="E123" s="249">
        <f t="shared" si="14"/>
        <v>-9042</v>
      </c>
      <c r="F123" s="249"/>
      <c r="G123" s="249"/>
      <c r="H123" s="249"/>
      <c r="I123" s="469" t="s">
        <v>2159</v>
      </c>
      <c r="J123" s="469"/>
      <c r="K123" s="773"/>
      <c r="L123" s="773"/>
    </row>
    <row r="124" spans="1:12" x14ac:dyDescent="0.2">
      <c r="A124" s="200">
        <f t="shared" si="13"/>
        <v>306</v>
      </c>
      <c r="B124" s="891">
        <v>190.23099999999999</v>
      </c>
      <c r="C124" s="892" t="s">
        <v>2165</v>
      </c>
      <c r="D124" s="893">
        <v>15972.04</v>
      </c>
      <c r="E124" s="249">
        <f t="shared" si="14"/>
        <v>15972.04</v>
      </c>
      <c r="F124" s="249"/>
      <c r="G124" s="249"/>
      <c r="H124" s="249"/>
      <c r="I124" s="469" t="s">
        <v>2159</v>
      </c>
      <c r="J124" s="469"/>
      <c r="K124" s="773"/>
      <c r="L124" s="773"/>
    </row>
    <row r="125" spans="1:12" x14ac:dyDescent="0.2">
      <c r="A125" s="200">
        <f t="shared" si="13"/>
        <v>307</v>
      </c>
      <c r="B125" s="891" t="s">
        <v>371</v>
      </c>
      <c r="C125" s="892" t="s">
        <v>2166</v>
      </c>
      <c r="D125" s="893">
        <v>23554610</v>
      </c>
      <c r="E125" s="249">
        <f t="shared" si="14"/>
        <v>23554610</v>
      </c>
      <c r="F125" s="249"/>
      <c r="G125" s="249"/>
      <c r="H125" s="249"/>
      <c r="I125" s="469" t="s">
        <v>2159</v>
      </c>
      <c r="J125" s="469"/>
      <c r="K125" s="773"/>
      <c r="L125" s="773"/>
    </row>
    <row r="126" spans="1:12" x14ac:dyDescent="0.2">
      <c r="A126" s="200">
        <f t="shared" si="13"/>
        <v>308</v>
      </c>
      <c r="B126" s="891" t="s">
        <v>371</v>
      </c>
      <c r="C126" s="892" t="s">
        <v>2167</v>
      </c>
      <c r="D126" s="893">
        <v>-1687552.87</v>
      </c>
      <c r="E126" s="249">
        <f t="shared" si="14"/>
        <v>-1687552.87</v>
      </c>
      <c r="F126" s="249"/>
      <c r="G126" s="249"/>
      <c r="H126" s="249"/>
      <c r="I126" s="469" t="s">
        <v>2159</v>
      </c>
      <c r="J126" s="469"/>
      <c r="K126" s="773"/>
      <c r="L126" s="773"/>
    </row>
    <row r="127" spans="1:12" x14ac:dyDescent="0.2">
      <c r="A127" s="200">
        <f t="shared" si="13"/>
        <v>309</v>
      </c>
      <c r="B127" s="891" t="s">
        <v>371</v>
      </c>
      <c r="C127" s="892" t="s">
        <v>2168</v>
      </c>
      <c r="D127" s="893">
        <v>-67327155.379999995</v>
      </c>
      <c r="E127" s="249">
        <f t="shared" si="14"/>
        <v>-67327155.379999995</v>
      </c>
      <c r="F127" s="249"/>
      <c r="G127" s="249"/>
      <c r="H127" s="249"/>
      <c r="I127" s="469" t="s">
        <v>2159</v>
      </c>
      <c r="J127" s="469"/>
      <c r="K127" s="773"/>
      <c r="L127" s="773"/>
    </row>
    <row r="128" spans="1:12" x14ac:dyDescent="0.2">
      <c r="A128" s="200">
        <f t="shared" si="13"/>
        <v>310</v>
      </c>
      <c r="B128" s="891"/>
      <c r="C128" s="892" t="s">
        <v>2169</v>
      </c>
      <c r="D128" s="893">
        <v>-14325.09</v>
      </c>
      <c r="E128" s="249">
        <f t="shared" si="14"/>
        <v>-14325.09</v>
      </c>
      <c r="F128" s="249"/>
      <c r="G128" s="249"/>
      <c r="H128" s="249"/>
      <c r="I128" s="469" t="s">
        <v>2159</v>
      </c>
      <c r="J128" s="469"/>
      <c r="K128" s="773"/>
      <c r="L128" s="773"/>
    </row>
    <row r="129" spans="1:12" x14ac:dyDescent="0.2">
      <c r="A129" s="200">
        <f t="shared" si="13"/>
        <v>311</v>
      </c>
      <c r="B129" s="891"/>
      <c r="C129" s="892" t="s">
        <v>2170</v>
      </c>
      <c r="D129" s="893">
        <v>0.12</v>
      </c>
      <c r="E129" s="249">
        <f t="shared" si="14"/>
        <v>0.12</v>
      </c>
      <c r="F129" s="249"/>
      <c r="G129" s="249"/>
      <c r="H129" s="249"/>
      <c r="I129" s="469" t="s">
        <v>2159</v>
      </c>
      <c r="J129" s="469"/>
      <c r="K129" s="773"/>
      <c r="L129" s="773"/>
    </row>
    <row r="130" spans="1:12" x14ac:dyDescent="0.2">
      <c r="A130" s="200">
        <f t="shared" si="13"/>
        <v>312</v>
      </c>
      <c r="B130" s="891"/>
      <c r="C130" s="892" t="s">
        <v>2171</v>
      </c>
      <c r="D130" s="893">
        <v>-329490.86</v>
      </c>
      <c r="E130" s="249">
        <f t="shared" si="14"/>
        <v>-329490.86</v>
      </c>
      <c r="F130" s="249"/>
      <c r="G130" s="249"/>
      <c r="H130" s="249"/>
      <c r="I130" s="469" t="s">
        <v>2159</v>
      </c>
      <c r="J130" s="469"/>
      <c r="K130" s="773"/>
      <c r="L130" s="773"/>
    </row>
    <row r="131" spans="1:12" x14ac:dyDescent="0.2">
      <c r="A131" s="200">
        <f t="shared" si="13"/>
        <v>313</v>
      </c>
      <c r="B131" s="891"/>
      <c r="C131" s="892" t="s">
        <v>2172</v>
      </c>
      <c r="D131" s="893">
        <v>-2232321.7999999998</v>
      </c>
      <c r="E131" s="249">
        <f t="shared" si="14"/>
        <v>-2232321.7999999998</v>
      </c>
      <c r="F131" s="249"/>
      <c r="G131" s="249"/>
      <c r="H131" s="249"/>
      <c r="I131" s="469" t="s">
        <v>2159</v>
      </c>
      <c r="J131" s="469"/>
      <c r="K131" s="773"/>
      <c r="L131" s="773"/>
    </row>
    <row r="132" spans="1:12" x14ac:dyDescent="0.2">
      <c r="A132" s="200">
        <f t="shared" si="13"/>
        <v>314</v>
      </c>
      <c r="B132" s="898" t="s">
        <v>578</v>
      </c>
      <c r="C132" s="892"/>
      <c r="D132" s="893"/>
      <c r="E132" s="249"/>
      <c r="F132" s="249"/>
      <c r="G132" s="249"/>
      <c r="H132" s="249"/>
      <c r="I132" s="469"/>
      <c r="J132" s="469"/>
      <c r="K132" s="773"/>
      <c r="L132" s="773"/>
    </row>
    <row r="133" spans="1:12" x14ac:dyDescent="0.2">
      <c r="A133" s="839"/>
      <c r="B133" s="899"/>
      <c r="C133" s="895"/>
      <c r="D133" s="896"/>
      <c r="E133" s="248"/>
      <c r="F133" s="248"/>
      <c r="G133" s="248"/>
      <c r="H133" s="248"/>
      <c r="I133" s="254"/>
      <c r="J133" s="254"/>
      <c r="K133" s="773"/>
      <c r="L133" s="773"/>
    </row>
    <row r="134" spans="1:12" x14ac:dyDescent="0.2">
      <c r="A134" s="839"/>
      <c r="B134" s="899"/>
      <c r="C134" s="88" t="s">
        <v>406</v>
      </c>
      <c r="D134" s="88" t="s">
        <v>390</v>
      </c>
      <c r="E134" s="88" t="s">
        <v>391</v>
      </c>
      <c r="F134" s="88" t="s">
        <v>392</v>
      </c>
      <c r="G134" s="88" t="s">
        <v>393</v>
      </c>
      <c r="H134" s="88" t="s">
        <v>394</v>
      </c>
      <c r="I134" s="395" t="s">
        <v>209</v>
      </c>
      <c r="J134" s="244"/>
    </row>
    <row r="135" spans="1:12" x14ac:dyDescent="0.2">
      <c r="A135" s="802">
        <v>350</v>
      </c>
      <c r="B135" s="883"/>
      <c r="C135" s="883" t="s">
        <v>2173</v>
      </c>
      <c r="D135" s="901">
        <f>SUM(D118:D131)</f>
        <v>-444433378.36999995</v>
      </c>
      <c r="E135" s="901">
        <f>SUM(E118:E131)</f>
        <v>-444433378.36999995</v>
      </c>
      <c r="F135" s="901">
        <f>SUM(F118:F131)</f>
        <v>0</v>
      </c>
      <c r="G135" s="901">
        <f>SUM(G118:G131)</f>
        <v>0</v>
      </c>
      <c r="H135" s="901">
        <f>SUM(H118:H131)</f>
        <v>0</v>
      </c>
      <c r="I135" s="264" t="str">
        <f>"Sum of Above Lines beginning on Line "&amp;A118&amp;""</f>
        <v>Sum of Above Lines beginning on Line 300</v>
      </c>
      <c r="J135" s="244"/>
    </row>
    <row r="136" spans="1:12" x14ac:dyDescent="0.2">
      <c r="A136" s="802"/>
      <c r="B136" s="883"/>
      <c r="C136" s="883"/>
      <c r="D136" s="901"/>
      <c r="E136" s="901"/>
      <c r="F136" s="901"/>
      <c r="G136" s="901"/>
      <c r="H136" s="901"/>
      <c r="I136" s="264"/>
      <c r="J136" s="244"/>
    </row>
    <row r="137" spans="1:12" x14ac:dyDescent="0.2">
      <c r="A137" s="802">
        <f t="shared" ref="A137" si="15">A135+1</f>
        <v>351</v>
      </c>
      <c r="B137" s="883"/>
      <c r="C137" s="883" t="s">
        <v>2174</v>
      </c>
      <c r="D137" s="901">
        <f>+D135+D114</f>
        <v>824817441.26000023</v>
      </c>
      <c r="E137" s="901">
        <f>+E135+E114</f>
        <v>432337194.852346</v>
      </c>
      <c r="F137" s="901">
        <f>+F135+F114</f>
        <v>12201001.77</v>
      </c>
      <c r="G137" s="901">
        <f>+G135+G114</f>
        <v>203280145.038811</v>
      </c>
      <c r="H137" s="901">
        <f>+H135+H114</f>
        <v>176999099.5988431</v>
      </c>
      <c r="I137" s="779" t="str">
        <f>"Line "&amp;A114&amp;" + Line "&amp;A135&amp;""</f>
        <v>Line 250 + Line 350</v>
      </c>
      <c r="J137" s="244"/>
    </row>
    <row r="138" spans="1:12" x14ac:dyDescent="0.2">
      <c r="A138" s="802">
        <f>+A137+1</f>
        <v>352</v>
      </c>
      <c r="B138" s="883"/>
      <c r="C138" s="883" t="s">
        <v>2357</v>
      </c>
      <c r="D138" s="901"/>
      <c r="E138" s="901"/>
      <c r="F138" s="901"/>
      <c r="G138" s="903">
        <f>'27-Allocators'!$G$28</f>
        <v>0.1006119155303325</v>
      </c>
      <c r="H138" s="903">
        <f>'27-Allocators'!$G$15</f>
        <v>4.0090597826729017E-2</v>
      </c>
      <c r="I138" s="1089" t="str">
        <f>"27-Allocators Lines "&amp;'27-Allocators'!A28&amp;" and "&amp;'27-Allocators'!A15&amp;" respectively."</f>
        <v>27-Allocators Lines 22 and 9 respectively.</v>
      </c>
      <c r="J138" s="244"/>
    </row>
    <row r="139" spans="1:12" x14ac:dyDescent="0.2">
      <c r="A139" s="802">
        <f>+A138+1</f>
        <v>353</v>
      </c>
      <c r="B139" s="883"/>
      <c r="C139" s="883" t="s">
        <v>2358</v>
      </c>
      <c r="D139" s="901">
        <f>SUM(F139:H139)</f>
        <v>39749406.269348964</v>
      </c>
      <c r="E139" s="901"/>
      <c r="F139" s="904">
        <f>+F137</f>
        <v>12201001.77</v>
      </c>
      <c r="G139" s="904">
        <f>+G137*G138</f>
        <v>20452404.781638592</v>
      </c>
      <c r="H139" s="904">
        <f>+H137*H138</f>
        <v>7095999.7177103721</v>
      </c>
      <c r="I139" s="779" t="str">
        <f>"Line "&amp;A137&amp;" * Line "&amp;A138&amp;" for Cols 5 and 6.  Col. 4 100% ISO."</f>
        <v>Line 351 * Line 352 for Cols 5 and 6.  Col. 4 100% ISO.</v>
      </c>
      <c r="J139" s="244"/>
    </row>
    <row r="140" spans="1:12" x14ac:dyDescent="0.2">
      <c r="A140" s="802"/>
      <c r="B140" s="883"/>
      <c r="C140" s="905" t="s">
        <v>2360</v>
      </c>
      <c r="D140" s="901"/>
      <c r="E140" s="901"/>
      <c r="F140" s="901"/>
      <c r="G140" s="901"/>
      <c r="H140" s="901"/>
      <c r="I140" s="779"/>
      <c r="J140" s="244"/>
    </row>
    <row r="141" spans="1:12" x14ac:dyDescent="0.2">
      <c r="A141" s="802"/>
      <c r="B141" s="883"/>
      <c r="C141" s="883"/>
      <c r="D141" s="901"/>
      <c r="E141" s="901"/>
      <c r="F141" s="901"/>
      <c r="G141" s="901"/>
      <c r="H141" s="901"/>
      <c r="I141" s="779"/>
      <c r="J141" s="244"/>
    </row>
    <row r="142" spans="1:12" x14ac:dyDescent="0.2">
      <c r="A142" s="802">
        <f>+A139+1</f>
        <v>354</v>
      </c>
      <c r="B142" s="883"/>
      <c r="C142" s="883" t="s">
        <v>2175</v>
      </c>
      <c r="D142" s="906">
        <v>824817442</v>
      </c>
      <c r="E142" s="907" t="str">
        <f>"Must match amount on Line "&amp;A137&amp;", Col. 2"</f>
        <v>Must match amount on Line 351, Col. 2</v>
      </c>
      <c r="G142" s="901"/>
      <c r="H142" s="901"/>
      <c r="I142" s="779" t="s">
        <v>1520</v>
      </c>
      <c r="J142" s="244"/>
    </row>
    <row r="143" spans="1:12" x14ac:dyDescent="0.2">
      <c r="A143" s="839"/>
      <c r="B143" s="883"/>
      <c r="C143" s="883"/>
      <c r="D143" s="908"/>
      <c r="E143" s="908"/>
      <c r="F143" s="908"/>
      <c r="G143" s="908"/>
      <c r="H143" s="908"/>
      <c r="I143" s="780"/>
      <c r="J143" s="244"/>
    </row>
    <row r="144" spans="1:12" x14ac:dyDescent="0.2">
      <c r="A144" s="649"/>
      <c r="B144" s="882" t="s">
        <v>2176</v>
      </c>
      <c r="C144" s="909"/>
      <c r="D144" s="908"/>
      <c r="E144" s="244"/>
      <c r="F144" s="244"/>
      <c r="G144" s="244"/>
      <c r="H144" s="244"/>
      <c r="I144" s="244"/>
      <c r="J144" s="244"/>
    </row>
    <row r="145" spans="1:10" x14ac:dyDescent="0.2">
      <c r="A145" s="649"/>
      <c r="C145" s="88" t="s">
        <v>406</v>
      </c>
      <c r="D145" s="88" t="s">
        <v>390</v>
      </c>
      <c r="E145" s="88" t="s">
        <v>391</v>
      </c>
      <c r="F145" s="88" t="s">
        <v>392</v>
      </c>
      <c r="G145" s="88" t="s">
        <v>393</v>
      </c>
      <c r="H145" s="88" t="s">
        <v>394</v>
      </c>
      <c r="I145" s="88" t="s">
        <v>395</v>
      </c>
      <c r="J145" s="244"/>
    </row>
    <row r="146" spans="1:10" x14ac:dyDescent="0.2">
      <c r="A146" s="649"/>
      <c r="B146" s="886"/>
      <c r="C146" s="886"/>
      <c r="D146" s="886" t="s">
        <v>2072</v>
      </c>
      <c r="E146" s="886" t="s">
        <v>2073</v>
      </c>
      <c r="F146" s="886"/>
      <c r="G146" s="886"/>
      <c r="H146" s="886" t="s">
        <v>1583</v>
      </c>
      <c r="I146" s="1087" t="s">
        <v>2854</v>
      </c>
      <c r="J146" s="244"/>
    </row>
    <row r="147" spans="1:10" x14ac:dyDescent="0.2">
      <c r="A147" s="649"/>
      <c r="B147" s="890" t="s">
        <v>2177</v>
      </c>
      <c r="C147" s="890" t="s">
        <v>2075</v>
      </c>
      <c r="D147" s="890" t="s">
        <v>2076</v>
      </c>
      <c r="E147" s="890" t="s">
        <v>2077</v>
      </c>
      <c r="F147" s="890" t="s">
        <v>2078</v>
      </c>
      <c r="G147" s="890" t="s">
        <v>2079</v>
      </c>
      <c r="H147" s="890" t="s">
        <v>2066</v>
      </c>
      <c r="I147" s="890" t="s">
        <v>114</v>
      </c>
      <c r="J147" s="244"/>
    </row>
    <row r="148" spans="1:10" x14ac:dyDescent="0.2">
      <c r="A148" s="200">
        <v>400</v>
      </c>
      <c r="B148" s="781">
        <v>282.10000000000002</v>
      </c>
      <c r="C148" s="667" t="s">
        <v>2178</v>
      </c>
      <c r="D148" s="906">
        <v>-5192249.99</v>
      </c>
      <c r="E148" s="249">
        <f>+D148</f>
        <v>-5192249.99</v>
      </c>
      <c r="F148" s="249"/>
      <c r="G148" s="249"/>
      <c r="H148" s="249"/>
      <c r="I148" s="469" t="s">
        <v>2159</v>
      </c>
      <c r="J148" s="469"/>
    </row>
    <row r="149" spans="1:10" x14ac:dyDescent="0.2">
      <c r="A149" s="200">
        <f t="shared" ref="A149:A168" si="16">A148+1</f>
        <v>401</v>
      </c>
      <c r="B149" s="782">
        <v>282.291</v>
      </c>
      <c r="C149" s="667" t="s">
        <v>2179</v>
      </c>
      <c r="D149" s="906">
        <v>-771375</v>
      </c>
      <c r="E149" s="249">
        <f>+D149</f>
        <v>-771375</v>
      </c>
      <c r="F149" s="249"/>
      <c r="G149" s="249"/>
      <c r="H149" s="249"/>
      <c r="I149" s="469" t="s">
        <v>2159</v>
      </c>
      <c r="J149" s="469"/>
    </row>
    <row r="150" spans="1:10" x14ac:dyDescent="0.2">
      <c r="A150" s="200">
        <f t="shared" si="16"/>
        <v>402</v>
      </c>
      <c r="B150" s="782">
        <v>282.5</v>
      </c>
      <c r="C150" s="667" t="s">
        <v>2180</v>
      </c>
      <c r="D150" s="906">
        <v>-2072148368.04</v>
      </c>
      <c r="E150" s="249">
        <f>+D150</f>
        <v>-2072148368.04</v>
      </c>
      <c r="F150" s="249"/>
      <c r="G150" s="249"/>
      <c r="H150" s="249"/>
      <c r="I150" s="469" t="s">
        <v>2331</v>
      </c>
      <c r="J150" s="469"/>
    </row>
    <row r="151" spans="1:10" x14ac:dyDescent="0.2">
      <c r="A151" s="200">
        <f t="shared" si="16"/>
        <v>403</v>
      </c>
      <c r="B151" s="782">
        <v>282.50299999999999</v>
      </c>
      <c r="C151" s="667" t="s">
        <v>2181</v>
      </c>
      <c r="D151" s="906">
        <v>-390841194.53000003</v>
      </c>
      <c r="E151" s="249"/>
      <c r="F151" s="249">
        <f>+D151</f>
        <v>-390841194.53000003</v>
      </c>
      <c r="G151" s="249"/>
      <c r="H151" s="249"/>
      <c r="I151" s="469" t="s">
        <v>2332</v>
      </c>
      <c r="J151" s="469"/>
    </row>
    <row r="152" spans="1:10" x14ac:dyDescent="0.2">
      <c r="A152" s="200">
        <f t="shared" si="16"/>
        <v>404</v>
      </c>
      <c r="B152" s="782">
        <v>282.51</v>
      </c>
      <c r="C152" s="667" t="s">
        <v>2182</v>
      </c>
      <c r="D152" s="906">
        <v>1235260</v>
      </c>
      <c r="E152" s="249">
        <f>+D152</f>
        <v>1235260</v>
      </c>
      <c r="F152" s="249"/>
      <c r="G152" s="249"/>
      <c r="H152" s="249"/>
      <c r="I152" s="469" t="s">
        <v>2331</v>
      </c>
      <c r="J152" s="469"/>
    </row>
    <row r="153" spans="1:10" x14ac:dyDescent="0.2">
      <c r="A153" s="200">
        <f t="shared" si="16"/>
        <v>405</v>
      </c>
      <c r="B153" s="782">
        <v>282.51499999999999</v>
      </c>
      <c r="C153" s="667" t="s">
        <v>1512</v>
      </c>
      <c r="D153" s="906">
        <v>-16876578</v>
      </c>
      <c r="E153" s="249">
        <f>+D153</f>
        <v>-16876578</v>
      </c>
      <c r="F153" s="249"/>
      <c r="G153" s="249"/>
      <c r="H153" s="249"/>
      <c r="I153" s="469" t="s">
        <v>2333</v>
      </c>
      <c r="J153" s="469"/>
    </row>
    <row r="154" spans="1:10" x14ac:dyDescent="0.2">
      <c r="A154" s="200">
        <f t="shared" si="16"/>
        <v>406</v>
      </c>
      <c r="B154" s="782">
        <v>282.55500000000001</v>
      </c>
      <c r="C154" s="667" t="s">
        <v>2183</v>
      </c>
      <c r="D154" s="906">
        <v>24711625</v>
      </c>
      <c r="E154" s="249">
        <f>+D154</f>
        <v>24711625</v>
      </c>
      <c r="F154" s="249"/>
      <c r="G154" s="249"/>
      <c r="H154" s="249"/>
      <c r="I154" s="469" t="s">
        <v>2334</v>
      </c>
      <c r="J154" s="469"/>
    </row>
    <row r="155" spans="1:10" x14ac:dyDescent="0.2">
      <c r="A155" s="200">
        <f t="shared" si="16"/>
        <v>407</v>
      </c>
      <c r="B155" s="782">
        <v>282.565</v>
      </c>
      <c r="C155" s="667" t="s">
        <v>2184</v>
      </c>
      <c r="D155" s="906">
        <v>16433381</v>
      </c>
      <c r="E155" s="249">
        <f>+D155</f>
        <v>16433381</v>
      </c>
      <c r="F155" s="249"/>
      <c r="G155" s="249"/>
      <c r="H155" s="249"/>
      <c r="I155" s="469" t="s">
        <v>2334</v>
      </c>
      <c r="J155" s="469"/>
    </row>
    <row r="156" spans="1:10" x14ac:dyDescent="0.2">
      <c r="A156" s="200">
        <f t="shared" si="16"/>
        <v>408</v>
      </c>
      <c r="B156" s="782">
        <v>282.64800000000002</v>
      </c>
      <c r="C156" s="667" t="s">
        <v>1513</v>
      </c>
      <c r="D156" s="906">
        <v>-29834</v>
      </c>
      <c r="E156" s="249">
        <f>+D156</f>
        <v>-29834</v>
      </c>
      <c r="F156" s="249"/>
      <c r="G156" s="249"/>
      <c r="H156" s="249"/>
      <c r="I156" s="469" t="s">
        <v>2159</v>
      </c>
      <c r="J156" s="469"/>
    </row>
    <row r="157" spans="1:10" x14ac:dyDescent="0.2">
      <c r="A157" s="200">
        <f t="shared" si="16"/>
        <v>409</v>
      </c>
      <c r="B157" s="782">
        <v>282.79399999999998</v>
      </c>
      <c r="C157" s="667" t="s">
        <v>2185</v>
      </c>
      <c r="D157" s="906">
        <v>-110679757.7</v>
      </c>
      <c r="E157" s="249"/>
      <c r="F157" s="249"/>
      <c r="G157" s="249">
        <f>D157</f>
        <v>-110679757.7</v>
      </c>
      <c r="H157" s="249"/>
      <c r="I157" s="469" t="s">
        <v>2119</v>
      </c>
      <c r="J157" s="469"/>
    </row>
    <row r="158" spans="1:10" x14ac:dyDescent="0.2">
      <c r="A158" s="200">
        <f t="shared" si="16"/>
        <v>410</v>
      </c>
      <c r="B158" s="782">
        <v>283.25099999999998</v>
      </c>
      <c r="C158" s="667" t="s">
        <v>2186</v>
      </c>
      <c r="D158" s="906">
        <v>3291750</v>
      </c>
      <c r="E158" s="249">
        <f>+D158</f>
        <v>3291750</v>
      </c>
      <c r="F158" s="249"/>
      <c r="G158" s="249"/>
      <c r="H158" s="249"/>
      <c r="I158" s="469" t="s">
        <v>2331</v>
      </c>
      <c r="J158" s="469"/>
    </row>
    <row r="159" spans="1:10" x14ac:dyDescent="0.2">
      <c r="A159" s="200">
        <f t="shared" si="16"/>
        <v>411</v>
      </c>
      <c r="B159" s="782">
        <v>283.25200000000001</v>
      </c>
      <c r="C159" s="786" t="s">
        <v>2335</v>
      </c>
      <c r="D159" s="906">
        <v>-28449240.699999999</v>
      </c>
      <c r="E159" s="249"/>
      <c r="F159" s="249">
        <f>+D159</f>
        <v>-28449240.699999999</v>
      </c>
      <c r="G159" s="249"/>
      <c r="H159" s="249"/>
      <c r="I159" s="469" t="s">
        <v>2332</v>
      </c>
      <c r="J159" s="469"/>
    </row>
    <row r="160" spans="1:10" x14ac:dyDescent="0.2">
      <c r="A160" s="200">
        <f t="shared" si="16"/>
        <v>412</v>
      </c>
      <c r="B160" s="782">
        <v>283</v>
      </c>
      <c r="C160" s="667" t="s">
        <v>2187</v>
      </c>
      <c r="D160" s="906">
        <v>-81088325.310000002</v>
      </c>
      <c r="E160" s="249">
        <f>+D160</f>
        <v>-81088325.310000002</v>
      </c>
      <c r="F160" s="249"/>
      <c r="G160" s="249"/>
      <c r="H160" s="249"/>
      <c r="I160" s="469" t="s">
        <v>2336</v>
      </c>
      <c r="J160" s="469"/>
    </row>
    <row r="161" spans="1:10" x14ac:dyDescent="0.2">
      <c r="A161" s="200">
        <f t="shared" si="16"/>
        <v>413</v>
      </c>
      <c r="B161" s="782">
        <v>283.48200000000003</v>
      </c>
      <c r="C161" s="667" t="s">
        <v>2188</v>
      </c>
      <c r="D161" s="906">
        <v>-35000000</v>
      </c>
      <c r="E161" s="249">
        <f>+D161</f>
        <v>-35000000</v>
      </c>
      <c r="F161" s="249"/>
      <c r="G161" s="249"/>
      <c r="H161" s="249"/>
      <c r="I161" s="469" t="s">
        <v>2331</v>
      </c>
      <c r="J161" s="469"/>
    </row>
    <row r="162" spans="1:10" x14ac:dyDescent="0.2">
      <c r="A162" s="200">
        <f t="shared" si="16"/>
        <v>414</v>
      </c>
      <c r="B162" s="782">
        <v>190</v>
      </c>
      <c r="C162" s="667" t="s">
        <v>2189</v>
      </c>
      <c r="D162" s="906">
        <v>1026206.54</v>
      </c>
      <c r="E162" s="249">
        <f>+D162</f>
        <v>1026206.54</v>
      </c>
      <c r="F162" s="249"/>
      <c r="G162" s="249"/>
      <c r="H162" s="249"/>
      <c r="I162" s="469" t="s">
        <v>2331</v>
      </c>
      <c r="J162" s="469"/>
    </row>
    <row r="163" spans="1:10" x14ac:dyDescent="0.2">
      <c r="A163" s="200">
        <f t="shared" si="16"/>
        <v>415</v>
      </c>
      <c r="B163" s="782">
        <f>+B162</f>
        <v>190</v>
      </c>
      <c r="C163" s="667" t="str">
        <f>+C162</f>
        <v>Defd Tax LT - Prop</v>
      </c>
      <c r="D163" s="906">
        <v>-5538985.0499999998</v>
      </c>
      <c r="E163" s="249">
        <f>+D163</f>
        <v>-5538985.0499999998</v>
      </c>
      <c r="F163" s="249"/>
      <c r="G163" s="249"/>
      <c r="H163" s="249"/>
      <c r="I163" s="469" t="s">
        <v>2331</v>
      </c>
      <c r="J163" s="469"/>
    </row>
    <row r="164" spans="1:10" x14ac:dyDescent="0.2">
      <c r="A164" s="200">
        <f t="shared" si="16"/>
        <v>416</v>
      </c>
      <c r="B164" s="782">
        <v>190</v>
      </c>
      <c r="C164" s="667" t="s">
        <v>2190</v>
      </c>
      <c r="D164" s="906">
        <v>1545303.0099999979</v>
      </c>
      <c r="E164" s="249"/>
      <c r="F164" s="249">
        <f>+D164</f>
        <v>1545303.0099999979</v>
      </c>
      <c r="G164" s="249"/>
      <c r="H164" s="249"/>
      <c r="I164" s="469" t="s">
        <v>2332</v>
      </c>
      <c r="J164" s="469"/>
    </row>
    <row r="165" spans="1:10" x14ac:dyDescent="0.2">
      <c r="A165" s="200">
        <f t="shared" si="16"/>
        <v>417</v>
      </c>
      <c r="B165" s="782">
        <v>190</v>
      </c>
      <c r="C165" s="667" t="s">
        <v>2191</v>
      </c>
      <c r="D165" s="906">
        <v>173061060.19999999</v>
      </c>
      <c r="E165" s="249">
        <f>+D165</f>
        <v>173061060.19999999</v>
      </c>
      <c r="F165" s="249"/>
      <c r="G165" s="249"/>
      <c r="H165" s="249"/>
      <c r="I165" s="469" t="s">
        <v>2331</v>
      </c>
      <c r="J165" s="469"/>
    </row>
    <row r="166" spans="1:10" x14ac:dyDescent="0.2">
      <c r="A166" s="200">
        <f t="shared" si="16"/>
        <v>418</v>
      </c>
      <c r="B166" s="782">
        <v>190</v>
      </c>
      <c r="C166" s="667" t="s">
        <v>2192</v>
      </c>
      <c r="D166" s="906">
        <v>-35000000</v>
      </c>
      <c r="E166" s="249">
        <f>+D166</f>
        <v>-35000000</v>
      </c>
      <c r="F166" s="249"/>
      <c r="G166" s="249"/>
      <c r="H166" s="249"/>
      <c r="I166" s="469" t="s">
        <v>2331</v>
      </c>
      <c r="J166" s="469"/>
    </row>
    <row r="167" spans="1:10" x14ac:dyDescent="0.2">
      <c r="A167" s="200">
        <f t="shared" si="16"/>
        <v>419</v>
      </c>
      <c r="B167" s="782">
        <v>190</v>
      </c>
      <c r="C167" s="667" t="s">
        <v>2193</v>
      </c>
      <c r="D167" s="906">
        <v>-156044189.43000001</v>
      </c>
      <c r="E167" s="249"/>
      <c r="F167" s="249"/>
      <c r="G167" s="249">
        <f>+D167</f>
        <v>-156044189.43000001</v>
      </c>
      <c r="H167" s="249"/>
      <c r="I167" s="469" t="s">
        <v>2119</v>
      </c>
      <c r="J167" s="469"/>
    </row>
    <row r="168" spans="1:10" x14ac:dyDescent="0.2">
      <c r="A168" s="200">
        <f t="shared" si="16"/>
        <v>420</v>
      </c>
      <c r="B168" s="783" t="s">
        <v>578</v>
      </c>
      <c r="C168" s="667"/>
      <c r="D168" s="906"/>
      <c r="E168" s="249"/>
      <c r="F168" s="249"/>
      <c r="G168" s="249"/>
      <c r="H168" s="249"/>
      <c r="I168" s="469"/>
      <c r="J168" s="469"/>
    </row>
    <row r="169" spans="1:10" x14ac:dyDescent="0.2">
      <c r="A169" s="839"/>
      <c r="B169" s="784"/>
      <c r="C169" s="651"/>
      <c r="D169" s="910"/>
      <c r="E169" s="248"/>
      <c r="F169" s="248"/>
      <c r="G169" s="248"/>
      <c r="H169" s="248"/>
      <c r="I169" s="254"/>
      <c r="J169" s="254"/>
    </row>
    <row r="170" spans="1:10" x14ac:dyDescent="0.2">
      <c r="A170" s="839"/>
      <c r="B170" s="784"/>
      <c r="C170" s="88" t="s">
        <v>406</v>
      </c>
      <c r="D170" s="88" t="s">
        <v>390</v>
      </c>
      <c r="E170" s="88" t="s">
        <v>391</v>
      </c>
      <c r="F170" s="88" t="s">
        <v>392</v>
      </c>
      <c r="G170" s="88" t="s">
        <v>393</v>
      </c>
      <c r="H170" s="88" t="s">
        <v>394</v>
      </c>
      <c r="I170" s="395" t="s">
        <v>209</v>
      </c>
      <c r="J170" s="254"/>
    </row>
    <row r="171" spans="1:10" x14ac:dyDescent="0.2">
      <c r="A171" s="117">
        <v>450</v>
      </c>
      <c r="B171" s="650"/>
      <c r="C171" s="649" t="s">
        <v>2337</v>
      </c>
      <c r="D171" s="901">
        <f>SUM(D148:D168)</f>
        <v>-2716355511.9999995</v>
      </c>
      <c r="E171" s="901">
        <f>SUM(E148:E168)</f>
        <v>-2031886432.6500003</v>
      </c>
      <c r="F171" s="901">
        <f>SUM(F148:F168)</f>
        <v>-417745132.22000003</v>
      </c>
      <c r="G171" s="901">
        <f>SUM(G148:G168)</f>
        <v>-266723947.13</v>
      </c>
      <c r="H171" s="901">
        <f>SUM(H148:H168)</f>
        <v>0</v>
      </c>
      <c r="I171" s="264" t="str">
        <f>"Sum of Above Lines beginning on Line "&amp;A148&amp;""</f>
        <v>Sum of Above Lines beginning on Line 400</v>
      </c>
      <c r="J171" s="244"/>
    </row>
    <row r="172" spans="1:10" x14ac:dyDescent="0.2">
      <c r="A172" s="802">
        <f>+A171+1</f>
        <v>451</v>
      </c>
      <c r="B172" s="883"/>
      <c r="C172" s="883" t="s">
        <v>2357</v>
      </c>
      <c r="D172" s="901"/>
      <c r="E172" s="901"/>
      <c r="F172" s="901"/>
      <c r="G172" s="903">
        <f>'27-Allocators'!$G$28</f>
        <v>0.1006119155303325</v>
      </c>
      <c r="H172" s="903">
        <f>'27-Allocators'!$G$15</f>
        <v>4.0090597826729017E-2</v>
      </c>
      <c r="I172" s="1089" t="str">
        <f>"27-Allocators Lines "&amp;'27-Allocators'!A28&amp;" and "&amp;'27-Allocators'!A15&amp;" respectively."</f>
        <v>27-Allocators Lines 22 and 9 respectively.</v>
      </c>
      <c r="J172" s="244"/>
    </row>
    <row r="173" spans="1:10" x14ac:dyDescent="0.2">
      <c r="A173" s="802">
        <f>+A172+1</f>
        <v>452</v>
      </c>
      <c r="B173" s="883"/>
      <c r="C173" s="883" t="s">
        <v>2359</v>
      </c>
      <c r="D173" s="901">
        <f>SUM(F173:H173)</f>
        <v>-444580739.45856047</v>
      </c>
      <c r="E173" s="901"/>
      <c r="F173" s="904">
        <f>+F171</f>
        <v>-417745132.22000003</v>
      </c>
      <c r="G173" s="904">
        <f>+G171*G172</f>
        <v>-26835607.238560431</v>
      </c>
      <c r="H173" s="904">
        <f>+H171*H172</f>
        <v>0</v>
      </c>
      <c r="I173" s="779" t="str">
        <f>"Line "&amp;A171&amp;" * Line "&amp;A172&amp;" for Cols 5 and 6.  Col. 4 100% ISO."</f>
        <v>Line 450 * Line 451 for Cols 5 and 6.  Col. 4 100% ISO.</v>
      </c>
      <c r="J173" s="244"/>
    </row>
    <row r="174" spans="1:10" x14ac:dyDescent="0.2">
      <c r="A174" s="802"/>
      <c r="B174" s="883"/>
      <c r="C174" s="905" t="s">
        <v>2360</v>
      </c>
      <c r="D174" s="901"/>
      <c r="E174" s="901"/>
      <c r="F174" s="901"/>
      <c r="G174" s="901"/>
      <c r="H174" s="901"/>
      <c r="I174" s="779"/>
      <c r="J174" s="244"/>
    </row>
    <row r="175" spans="1:10" x14ac:dyDescent="0.2">
      <c r="A175" s="117"/>
      <c r="B175" s="650"/>
      <c r="C175" s="649"/>
      <c r="D175" s="901"/>
      <c r="E175" s="901"/>
      <c r="F175" s="901"/>
      <c r="G175" s="901"/>
      <c r="H175" s="901"/>
      <c r="I175" s="264"/>
      <c r="J175" s="244"/>
    </row>
    <row r="176" spans="1:10" x14ac:dyDescent="0.2">
      <c r="A176" s="117">
        <f>+A173+1</f>
        <v>453</v>
      </c>
      <c r="B176" s="650"/>
      <c r="C176" s="883" t="s">
        <v>2194</v>
      </c>
      <c r="D176" s="906">
        <v>-2716355512</v>
      </c>
      <c r="E176" s="907" t="str">
        <f>"Must match amount on Line "&amp;A171&amp;", Col. 2"</f>
        <v>Must match amount on Line 450, Col. 2</v>
      </c>
      <c r="F176" s="901"/>
      <c r="G176" s="901"/>
      <c r="H176" s="901"/>
      <c r="I176" s="264" t="s">
        <v>2195</v>
      </c>
      <c r="J176" s="244"/>
    </row>
    <row r="177" spans="1:10" x14ac:dyDescent="0.2">
      <c r="A177" s="839"/>
      <c r="B177" s="650"/>
      <c r="C177" s="649"/>
      <c r="D177" s="901"/>
      <c r="E177" s="901"/>
      <c r="F177" s="901"/>
      <c r="G177" s="901"/>
      <c r="H177" s="901"/>
      <c r="I177" s="264"/>
      <c r="J177" s="244"/>
    </row>
    <row r="178" spans="1:10" x14ac:dyDescent="0.2">
      <c r="A178" s="839"/>
      <c r="B178" s="650"/>
      <c r="C178" s="649"/>
      <c r="D178" s="901"/>
      <c r="E178" s="901"/>
      <c r="F178" s="901"/>
      <c r="G178" s="901"/>
      <c r="H178" s="901"/>
      <c r="I178" s="780"/>
      <c r="J178" s="244"/>
    </row>
    <row r="179" spans="1:10" x14ac:dyDescent="0.2">
      <c r="A179" s="649"/>
      <c r="B179" s="882" t="s">
        <v>2196</v>
      </c>
      <c r="C179" s="911"/>
      <c r="D179" s="901"/>
      <c r="E179" s="246"/>
      <c r="F179" s="246"/>
      <c r="G179" s="246"/>
      <c r="H179" s="246"/>
      <c r="I179" s="244"/>
      <c r="J179" s="244"/>
    </row>
    <row r="180" spans="1:10" x14ac:dyDescent="0.2">
      <c r="A180" s="649"/>
      <c r="B180" s="882"/>
      <c r="C180" s="88" t="s">
        <v>406</v>
      </c>
      <c r="D180" s="88" t="s">
        <v>390</v>
      </c>
      <c r="E180" s="88" t="s">
        <v>391</v>
      </c>
      <c r="F180" s="88" t="s">
        <v>392</v>
      </c>
      <c r="G180" s="88" t="s">
        <v>393</v>
      </c>
      <c r="H180" s="88" t="s">
        <v>394</v>
      </c>
      <c r="I180" s="88" t="s">
        <v>395</v>
      </c>
      <c r="J180" s="244"/>
    </row>
    <row r="181" spans="1:10" x14ac:dyDescent="0.2">
      <c r="A181" s="649"/>
      <c r="B181" s="886"/>
      <c r="C181" s="886"/>
      <c r="D181" s="912" t="s">
        <v>2072</v>
      </c>
      <c r="E181" s="912" t="s">
        <v>2073</v>
      </c>
      <c r="F181" s="912"/>
      <c r="G181" s="912"/>
      <c r="H181" s="912" t="s">
        <v>1583</v>
      </c>
      <c r="I181" s="1087" t="s">
        <v>2854</v>
      </c>
      <c r="J181" s="244"/>
    </row>
    <row r="182" spans="1:10" x14ac:dyDescent="0.2">
      <c r="A182" s="649"/>
      <c r="B182" s="890" t="s">
        <v>2197</v>
      </c>
      <c r="C182" s="890" t="s">
        <v>2075</v>
      </c>
      <c r="D182" s="913" t="s">
        <v>2076</v>
      </c>
      <c r="E182" s="913" t="s">
        <v>2077</v>
      </c>
      <c r="F182" s="913" t="s">
        <v>2078</v>
      </c>
      <c r="G182" s="913" t="s">
        <v>2079</v>
      </c>
      <c r="H182" s="913" t="s">
        <v>2066</v>
      </c>
      <c r="I182" s="890" t="s">
        <v>114</v>
      </c>
      <c r="J182" s="244"/>
    </row>
    <row r="183" spans="1:10" x14ac:dyDescent="0.2">
      <c r="A183" s="839"/>
      <c r="B183" s="883" t="s">
        <v>2081</v>
      </c>
      <c r="C183" s="244"/>
      <c r="D183" s="246"/>
      <c r="E183" s="246"/>
      <c r="F183" s="246"/>
      <c r="G183" s="246"/>
      <c r="H183" s="246"/>
      <c r="I183" s="244"/>
      <c r="J183" s="244"/>
    </row>
    <row r="184" spans="1:10" x14ac:dyDescent="0.2">
      <c r="A184" s="200">
        <v>500</v>
      </c>
      <c r="B184" s="785">
        <v>283</v>
      </c>
      <c r="C184" s="786" t="s">
        <v>2198</v>
      </c>
      <c r="D184" s="787">
        <v>-1089588.6000000001</v>
      </c>
      <c r="E184" s="249">
        <f>G329*D184</f>
        <v>-1008.5172962708405</v>
      </c>
      <c r="F184" s="249">
        <f>D184-E184</f>
        <v>-1088580.0827037292</v>
      </c>
      <c r="G184" s="249"/>
      <c r="H184" s="249"/>
      <c r="I184" s="469" t="s">
        <v>2859</v>
      </c>
      <c r="J184" s="469"/>
    </row>
    <row r="185" spans="1:10" x14ac:dyDescent="0.2">
      <c r="A185" s="200">
        <f t="shared" ref="A185:A248" si="17">A184+1</f>
        <v>501</v>
      </c>
      <c r="B185" s="785">
        <v>283</v>
      </c>
      <c r="C185" s="786" t="s">
        <v>2199</v>
      </c>
      <c r="D185" s="787">
        <v>181207.24</v>
      </c>
      <c r="E185" s="249">
        <f t="shared" ref="E185:E191" si="18">+D185</f>
        <v>181207.24</v>
      </c>
      <c r="F185" s="249"/>
      <c r="G185" s="249"/>
      <c r="H185" s="249"/>
      <c r="I185" s="469" t="s">
        <v>2316</v>
      </c>
      <c r="J185" s="469"/>
    </row>
    <row r="186" spans="1:10" x14ac:dyDescent="0.2">
      <c r="A186" s="200">
        <f t="shared" si="17"/>
        <v>502</v>
      </c>
      <c r="B186" s="785">
        <v>283</v>
      </c>
      <c r="C186" s="786" t="s">
        <v>2200</v>
      </c>
      <c r="D186" s="787">
        <v>1798011.09</v>
      </c>
      <c r="E186" s="249">
        <f t="shared" si="18"/>
        <v>1798011.09</v>
      </c>
      <c r="F186" s="249"/>
      <c r="G186" s="249"/>
      <c r="H186" s="249"/>
      <c r="I186" s="469" t="s">
        <v>2338</v>
      </c>
      <c r="J186" s="469"/>
    </row>
    <row r="187" spans="1:10" x14ac:dyDescent="0.2">
      <c r="A187" s="200">
        <f t="shared" si="17"/>
        <v>503</v>
      </c>
      <c r="B187" s="785">
        <v>283</v>
      </c>
      <c r="C187" s="788" t="s">
        <v>2201</v>
      </c>
      <c r="D187" s="787">
        <f>-1166228.08-2616.97</f>
        <v>-1168845.05</v>
      </c>
      <c r="E187" s="249">
        <f t="shared" si="18"/>
        <v>-1168845.05</v>
      </c>
      <c r="F187" s="249"/>
      <c r="G187" s="249"/>
      <c r="H187" s="249"/>
      <c r="I187" s="469" t="s">
        <v>2316</v>
      </c>
      <c r="J187" s="469"/>
    </row>
    <row r="188" spans="1:10" x14ac:dyDescent="0.2">
      <c r="A188" s="200">
        <f t="shared" si="17"/>
        <v>504</v>
      </c>
      <c r="B188" s="785">
        <v>283.11200000000002</v>
      </c>
      <c r="C188" s="786" t="s">
        <v>2202</v>
      </c>
      <c r="D188" s="787">
        <v>-24742914.77</v>
      </c>
      <c r="E188" s="249">
        <f t="shared" si="18"/>
        <v>-24742914.77</v>
      </c>
      <c r="F188" s="249"/>
      <c r="G188" s="249"/>
      <c r="H188" s="249"/>
      <c r="I188" s="469" t="s">
        <v>2316</v>
      </c>
      <c r="J188" s="469"/>
    </row>
    <row r="189" spans="1:10" x14ac:dyDescent="0.2">
      <c r="A189" s="200">
        <f t="shared" si="17"/>
        <v>505</v>
      </c>
      <c r="B189" s="785">
        <v>283.13299999999998</v>
      </c>
      <c r="C189" s="786" t="s">
        <v>2203</v>
      </c>
      <c r="D189" s="787">
        <v>-1392067.66</v>
      </c>
      <c r="E189" s="249">
        <f t="shared" si="18"/>
        <v>-1392067.66</v>
      </c>
      <c r="F189" s="249"/>
      <c r="G189" s="249"/>
      <c r="H189" s="249"/>
      <c r="I189" s="469" t="s">
        <v>2316</v>
      </c>
      <c r="J189" s="469"/>
    </row>
    <row r="190" spans="1:10" x14ac:dyDescent="0.2">
      <c r="A190" s="200">
        <f t="shared" si="17"/>
        <v>506</v>
      </c>
      <c r="B190" s="785">
        <v>283.142</v>
      </c>
      <c r="C190" s="786" t="s">
        <v>2204</v>
      </c>
      <c r="D190" s="787">
        <v>-1930348.89</v>
      </c>
      <c r="E190" s="249">
        <f>G321*D190</f>
        <v>-3016.9613981453144</v>
      </c>
      <c r="F190" s="249"/>
      <c r="G190" s="249"/>
      <c r="H190" s="249">
        <f t="shared" ref="H190" si="19">D190-E190</f>
        <v>-1927331.9286018545</v>
      </c>
      <c r="I190" s="469" t="s">
        <v>2856</v>
      </c>
      <c r="J190" s="469"/>
    </row>
    <row r="191" spans="1:10" x14ac:dyDescent="0.2">
      <c r="A191" s="200">
        <f t="shared" si="17"/>
        <v>507</v>
      </c>
      <c r="B191" s="785">
        <v>283.20299999999997</v>
      </c>
      <c r="C191" s="786" t="s">
        <v>2205</v>
      </c>
      <c r="D191" s="787">
        <v>-178093.71</v>
      </c>
      <c r="E191" s="249">
        <f t="shared" si="18"/>
        <v>-178093.71</v>
      </c>
      <c r="F191" s="249"/>
      <c r="G191" s="249"/>
      <c r="H191" s="249"/>
      <c r="I191" s="469" t="s">
        <v>2316</v>
      </c>
      <c r="J191" s="469"/>
    </row>
    <row r="192" spans="1:10" x14ac:dyDescent="0.2">
      <c r="A192" s="200">
        <f t="shared" si="17"/>
        <v>508</v>
      </c>
      <c r="B192" s="785">
        <v>283.214</v>
      </c>
      <c r="C192" s="786" t="s">
        <v>1514</v>
      </c>
      <c r="D192" s="787">
        <v>-63401088.689999998</v>
      </c>
      <c r="E192" s="249"/>
      <c r="F192" s="249"/>
      <c r="G192" s="249">
        <f>+D192</f>
        <v>-63401088.689999998</v>
      </c>
      <c r="H192" s="249"/>
      <c r="I192" s="469" t="s">
        <v>2119</v>
      </c>
      <c r="J192" s="469"/>
    </row>
    <row r="193" spans="1:10" x14ac:dyDescent="0.2">
      <c r="A193" s="200">
        <f t="shared" si="17"/>
        <v>509</v>
      </c>
      <c r="B193" s="785">
        <v>283.28800000000001</v>
      </c>
      <c r="C193" s="786" t="s">
        <v>2206</v>
      </c>
      <c r="D193" s="787">
        <v>2333644.6</v>
      </c>
      <c r="E193" s="249">
        <f t="shared" ref="E193:E223" si="20">+D193</f>
        <v>2333644.6</v>
      </c>
      <c r="F193" s="249"/>
      <c r="G193" s="249"/>
      <c r="H193" s="249"/>
      <c r="I193" s="469" t="s">
        <v>2316</v>
      </c>
      <c r="J193" s="469"/>
    </row>
    <row r="194" spans="1:10" x14ac:dyDescent="0.2">
      <c r="A194" s="200">
        <f t="shared" si="17"/>
        <v>510</v>
      </c>
      <c r="B194" s="785">
        <v>283.28899999999999</v>
      </c>
      <c r="C194" s="786" t="s">
        <v>2207</v>
      </c>
      <c r="D194" s="787">
        <v>30008420.23</v>
      </c>
      <c r="E194" s="249">
        <f t="shared" si="20"/>
        <v>30008420.23</v>
      </c>
      <c r="F194" s="249"/>
      <c r="G194" s="249"/>
      <c r="H194" s="249"/>
      <c r="I194" s="469" t="s">
        <v>2316</v>
      </c>
      <c r="J194" s="469"/>
    </row>
    <row r="195" spans="1:10" x14ac:dyDescent="0.2">
      <c r="A195" s="200">
        <f t="shared" si="17"/>
        <v>511</v>
      </c>
      <c r="B195" s="785">
        <v>283.30099999999999</v>
      </c>
      <c r="C195" s="786" t="s">
        <v>2208</v>
      </c>
      <c r="D195" s="787">
        <v>12493325.42</v>
      </c>
      <c r="E195" s="249">
        <f t="shared" si="20"/>
        <v>12493325.42</v>
      </c>
      <c r="F195" s="249"/>
      <c r="G195" s="249"/>
      <c r="H195" s="249"/>
      <c r="I195" s="469" t="s">
        <v>2316</v>
      </c>
      <c r="J195" s="469"/>
    </row>
    <row r="196" spans="1:10" x14ac:dyDescent="0.2">
      <c r="A196" s="200">
        <f t="shared" si="17"/>
        <v>512</v>
      </c>
      <c r="B196" s="785">
        <v>283.37599999999998</v>
      </c>
      <c r="C196" s="786" t="s">
        <v>2209</v>
      </c>
      <c r="D196" s="787">
        <v>-3502862.53</v>
      </c>
      <c r="E196" s="249">
        <f t="shared" si="20"/>
        <v>-3502862.53</v>
      </c>
      <c r="F196" s="249"/>
      <c r="G196" s="249"/>
      <c r="H196" s="249"/>
      <c r="I196" s="469" t="s">
        <v>2316</v>
      </c>
      <c r="J196" s="469"/>
    </row>
    <row r="197" spans="1:10" x14ac:dyDescent="0.2">
      <c r="A197" s="200">
        <f t="shared" si="17"/>
        <v>513</v>
      </c>
      <c r="B197" s="785">
        <v>283.38400000000001</v>
      </c>
      <c r="C197" s="786" t="s">
        <v>2210</v>
      </c>
      <c r="D197" s="787">
        <v>-2215618.63</v>
      </c>
      <c r="E197" s="249">
        <f t="shared" si="20"/>
        <v>-2215618.63</v>
      </c>
      <c r="F197" s="249"/>
      <c r="G197" s="249"/>
      <c r="H197" s="249"/>
      <c r="I197" s="469" t="s">
        <v>2320</v>
      </c>
      <c r="J197" s="469"/>
    </row>
    <row r="198" spans="1:10" x14ac:dyDescent="0.2">
      <c r="A198" s="200">
        <f t="shared" si="17"/>
        <v>514</v>
      </c>
      <c r="B198" s="785">
        <v>283.42399999999998</v>
      </c>
      <c r="C198" s="786" t="s">
        <v>2211</v>
      </c>
      <c r="D198" s="787">
        <v>-5453408.0899999999</v>
      </c>
      <c r="E198" s="249">
        <f t="shared" si="20"/>
        <v>-5453408.0899999999</v>
      </c>
      <c r="F198" s="249"/>
      <c r="G198" s="249"/>
      <c r="H198" s="249"/>
      <c r="I198" s="469" t="s">
        <v>2316</v>
      </c>
      <c r="J198" s="469"/>
    </row>
    <row r="199" spans="1:10" x14ac:dyDescent="0.2">
      <c r="A199" s="200">
        <f t="shared" si="17"/>
        <v>515</v>
      </c>
      <c r="B199" s="785">
        <v>283.42700000000002</v>
      </c>
      <c r="C199" s="786" t="s">
        <v>2212</v>
      </c>
      <c r="D199" s="787">
        <v>-22455157.559999999</v>
      </c>
      <c r="E199" s="249">
        <f t="shared" si="20"/>
        <v>-22455157.559999999</v>
      </c>
      <c r="F199" s="249"/>
      <c r="G199" s="249"/>
      <c r="H199" s="249"/>
      <c r="I199" s="469" t="s">
        <v>2316</v>
      </c>
      <c r="J199" s="469"/>
    </row>
    <row r="200" spans="1:10" x14ac:dyDescent="0.2">
      <c r="A200" s="200">
        <f t="shared" si="17"/>
        <v>516</v>
      </c>
      <c r="B200" s="785">
        <v>283.45299999999997</v>
      </c>
      <c r="C200" s="786" t="s">
        <v>2213</v>
      </c>
      <c r="D200" s="787">
        <v>-1704363.42</v>
      </c>
      <c r="E200" s="249">
        <f t="shared" si="20"/>
        <v>-1704363.42</v>
      </c>
      <c r="F200" s="249"/>
      <c r="G200" s="249"/>
      <c r="H200" s="249"/>
      <c r="I200" s="469" t="s">
        <v>2339</v>
      </c>
      <c r="J200" s="469"/>
    </row>
    <row r="201" spans="1:10" x14ac:dyDescent="0.2">
      <c r="A201" s="200">
        <f t="shared" si="17"/>
        <v>517</v>
      </c>
      <c r="B201" s="785">
        <v>283.46199999999999</v>
      </c>
      <c r="C201" s="786" t="s">
        <v>2214</v>
      </c>
      <c r="D201" s="787">
        <v>-3787628.76</v>
      </c>
      <c r="E201" s="249">
        <f t="shared" si="20"/>
        <v>-3787628.76</v>
      </c>
      <c r="F201" s="249"/>
      <c r="G201" s="249"/>
      <c r="H201" s="249"/>
      <c r="I201" s="469" t="s">
        <v>2316</v>
      </c>
      <c r="J201" s="469"/>
    </row>
    <row r="202" spans="1:10" x14ac:dyDescent="0.2">
      <c r="A202" s="200">
        <f t="shared" si="17"/>
        <v>518</v>
      </c>
      <c r="B202" s="785">
        <v>283.46300000000002</v>
      </c>
      <c r="C202" s="786" t="s">
        <v>2215</v>
      </c>
      <c r="D202" s="787">
        <v>-2872429.39</v>
      </c>
      <c r="E202" s="249">
        <f t="shared" si="20"/>
        <v>-2872429.39</v>
      </c>
      <c r="F202" s="249"/>
      <c r="G202" s="249"/>
      <c r="H202" s="249"/>
      <c r="I202" s="469" t="s">
        <v>2316</v>
      </c>
      <c r="J202" s="469"/>
    </row>
    <row r="203" spans="1:10" x14ac:dyDescent="0.2">
      <c r="A203" s="200">
        <f t="shared" si="17"/>
        <v>519</v>
      </c>
      <c r="B203" s="785">
        <v>283.464</v>
      </c>
      <c r="C203" s="786" t="s">
        <v>2216</v>
      </c>
      <c r="D203" s="787">
        <v>-3868139.67</v>
      </c>
      <c r="E203" s="249">
        <f t="shared" si="20"/>
        <v>-3868139.67</v>
      </c>
      <c r="F203" s="249"/>
      <c r="G203" s="249"/>
      <c r="H203" s="249"/>
      <c r="I203" s="469" t="s">
        <v>2316</v>
      </c>
      <c r="J203" s="469"/>
    </row>
    <row r="204" spans="1:10" x14ac:dyDescent="0.2">
      <c r="A204" s="200">
        <f t="shared" si="17"/>
        <v>520</v>
      </c>
      <c r="B204" s="785">
        <v>283.46600000000001</v>
      </c>
      <c r="C204" s="786" t="s">
        <v>2217</v>
      </c>
      <c r="D204" s="787">
        <v>-46248869.549999997</v>
      </c>
      <c r="E204" s="249">
        <f t="shared" si="20"/>
        <v>-46248869.549999997</v>
      </c>
      <c r="F204" s="249"/>
      <c r="G204" s="249"/>
      <c r="H204" s="249"/>
      <c r="I204" s="469" t="s">
        <v>2316</v>
      </c>
      <c r="J204" s="469"/>
    </row>
    <row r="205" spans="1:10" x14ac:dyDescent="0.2">
      <c r="A205" s="200">
        <f t="shared" si="17"/>
        <v>521</v>
      </c>
      <c r="B205" s="785">
        <v>283.46699999999998</v>
      </c>
      <c r="C205" s="786" t="s">
        <v>2218</v>
      </c>
      <c r="D205" s="787">
        <v>-37579768.789999999</v>
      </c>
      <c r="E205" s="249">
        <f t="shared" si="20"/>
        <v>-37579768.789999999</v>
      </c>
      <c r="F205" s="249"/>
      <c r="G205" s="249"/>
      <c r="H205" s="249"/>
      <c r="I205" s="469" t="s">
        <v>2316</v>
      </c>
      <c r="J205" s="469"/>
    </row>
    <row r="206" spans="1:10" x14ac:dyDescent="0.2">
      <c r="A206" s="200">
        <f t="shared" si="17"/>
        <v>522</v>
      </c>
      <c r="B206" s="785">
        <v>283.46899999999999</v>
      </c>
      <c r="C206" s="786" t="s">
        <v>2219</v>
      </c>
      <c r="D206" s="787">
        <v>-841255.7</v>
      </c>
      <c r="E206" s="249">
        <f t="shared" si="20"/>
        <v>-841255.7</v>
      </c>
      <c r="F206" s="249"/>
      <c r="G206" s="249"/>
      <c r="H206" s="249"/>
      <c r="I206" s="469" t="s">
        <v>2316</v>
      </c>
      <c r="J206" s="469"/>
    </row>
    <row r="207" spans="1:10" x14ac:dyDescent="0.2">
      <c r="A207" s="200">
        <f t="shared" si="17"/>
        <v>523</v>
      </c>
      <c r="B207" s="785">
        <v>283.47000000000003</v>
      </c>
      <c r="C207" s="786" t="s">
        <v>2220</v>
      </c>
      <c r="D207" s="787">
        <v>-6553747.6500000004</v>
      </c>
      <c r="E207" s="249">
        <f t="shared" si="20"/>
        <v>-6553747.6500000004</v>
      </c>
      <c r="F207" s="249"/>
      <c r="G207" s="249"/>
      <c r="H207" s="249"/>
      <c r="I207" s="469" t="s">
        <v>2316</v>
      </c>
      <c r="J207" s="469"/>
    </row>
    <row r="208" spans="1:10" x14ac:dyDescent="0.2">
      <c r="A208" s="200">
        <f t="shared" si="17"/>
        <v>524</v>
      </c>
      <c r="B208" s="785">
        <v>283.47300000000001</v>
      </c>
      <c r="C208" s="786" t="s">
        <v>2221</v>
      </c>
      <c r="D208" s="787">
        <v>-897657.92999999982</v>
      </c>
      <c r="E208" s="249">
        <f t="shared" si="20"/>
        <v>-897657.92999999982</v>
      </c>
      <c r="F208" s="249"/>
      <c r="G208" s="249"/>
      <c r="H208" s="249"/>
      <c r="I208" s="469" t="s">
        <v>2316</v>
      </c>
      <c r="J208" s="469"/>
    </row>
    <row r="209" spans="1:10" x14ac:dyDescent="0.2">
      <c r="A209" s="200">
        <f t="shared" si="17"/>
        <v>525</v>
      </c>
      <c r="B209" s="785">
        <v>283.47699999999998</v>
      </c>
      <c r="C209" s="786" t="s">
        <v>2222</v>
      </c>
      <c r="D209" s="787">
        <v>-3186540.42</v>
      </c>
      <c r="E209" s="249">
        <f t="shared" si="20"/>
        <v>-3186540.42</v>
      </c>
      <c r="F209" s="249"/>
      <c r="G209" s="249"/>
      <c r="H209" s="249"/>
      <c r="I209" s="469" t="s">
        <v>2316</v>
      </c>
      <c r="J209" s="469"/>
    </row>
    <row r="210" spans="1:10" x14ac:dyDescent="0.2">
      <c r="A210" s="200">
        <f t="shared" si="17"/>
        <v>526</v>
      </c>
      <c r="B210" s="785">
        <v>283.47699999999998</v>
      </c>
      <c r="C210" s="786" t="s">
        <v>2223</v>
      </c>
      <c r="D210" s="787">
        <v>-84241.26</v>
      </c>
      <c r="E210" s="249">
        <f t="shared" si="20"/>
        <v>-84241.26</v>
      </c>
      <c r="F210" s="249"/>
      <c r="G210" s="249"/>
      <c r="H210" s="249"/>
      <c r="I210" s="469" t="s">
        <v>2316</v>
      </c>
      <c r="J210" s="469"/>
    </row>
    <row r="211" spans="1:10" x14ac:dyDescent="0.2">
      <c r="A211" s="200">
        <f t="shared" si="17"/>
        <v>527</v>
      </c>
      <c r="B211" s="785">
        <v>283.48399999999998</v>
      </c>
      <c r="C211" s="786" t="s">
        <v>2224</v>
      </c>
      <c r="D211" s="787">
        <v>107761.04</v>
      </c>
      <c r="E211" s="249">
        <f t="shared" si="20"/>
        <v>107761.04</v>
      </c>
      <c r="F211" s="249"/>
      <c r="G211" s="249"/>
      <c r="H211" s="249"/>
      <c r="I211" s="469" t="s">
        <v>2316</v>
      </c>
      <c r="J211" s="469"/>
    </row>
    <row r="212" spans="1:10" x14ac:dyDescent="0.2">
      <c r="A212" s="200">
        <f t="shared" si="17"/>
        <v>528</v>
      </c>
      <c r="B212" s="785">
        <v>283.49400000000003</v>
      </c>
      <c r="C212" s="786" t="s">
        <v>2225</v>
      </c>
      <c r="D212" s="787">
        <v>-4284317.5199999996</v>
      </c>
      <c r="E212" s="249">
        <f>+D212</f>
        <v>-4284317.5199999996</v>
      </c>
      <c r="F212" s="249"/>
      <c r="G212" s="249"/>
      <c r="H212" s="249"/>
      <c r="I212" s="469" t="s">
        <v>2389</v>
      </c>
      <c r="J212" s="469"/>
    </row>
    <row r="213" spans="1:10" x14ac:dyDescent="0.2">
      <c r="A213" s="200">
        <f t="shared" si="17"/>
        <v>529</v>
      </c>
      <c r="B213" s="785">
        <v>283.495</v>
      </c>
      <c r="C213" s="788" t="s">
        <v>2226</v>
      </c>
      <c r="D213" s="787">
        <v>-16581189.369999999</v>
      </c>
      <c r="E213" s="249">
        <f t="shared" si="20"/>
        <v>-16581189.369999999</v>
      </c>
      <c r="F213" s="249"/>
      <c r="G213" s="249"/>
      <c r="H213" s="249"/>
      <c r="I213" s="469" t="s">
        <v>2316</v>
      </c>
      <c r="J213" s="469"/>
    </row>
    <row r="214" spans="1:10" x14ac:dyDescent="0.2">
      <c r="A214" s="200">
        <f>+A213+1</f>
        <v>530</v>
      </c>
      <c r="B214" s="785">
        <v>283.5</v>
      </c>
      <c r="C214" s="786" t="s">
        <v>2227</v>
      </c>
      <c r="D214" s="787">
        <f>24640566+13.04</f>
        <v>24640579.039999999</v>
      </c>
      <c r="E214" s="249">
        <f t="shared" si="20"/>
        <v>24640579.039999999</v>
      </c>
      <c r="F214" s="249"/>
      <c r="G214" s="249"/>
      <c r="H214" s="249"/>
      <c r="I214" s="469" t="s">
        <v>2316</v>
      </c>
      <c r="J214" s="469"/>
    </row>
    <row r="215" spans="1:10" x14ac:dyDescent="0.2">
      <c r="A215" s="200">
        <f>+A214+1</f>
        <v>531</v>
      </c>
      <c r="B215" s="785">
        <v>283.50200000000001</v>
      </c>
      <c r="C215" s="786" t="s">
        <v>2228</v>
      </c>
      <c r="D215" s="787">
        <v>-12717.8</v>
      </c>
      <c r="E215" s="249">
        <f t="shared" si="20"/>
        <v>-12717.8</v>
      </c>
      <c r="F215" s="249"/>
      <c r="G215" s="249"/>
      <c r="H215" s="249"/>
      <c r="I215" s="469" t="s">
        <v>2316</v>
      </c>
      <c r="J215" s="469"/>
    </row>
    <row r="216" spans="1:10" x14ac:dyDescent="0.2">
      <c r="A216" s="200">
        <f t="shared" si="17"/>
        <v>532</v>
      </c>
      <c r="B216" s="785">
        <v>283</v>
      </c>
      <c r="C216" s="788" t="s">
        <v>2229</v>
      </c>
      <c r="D216" s="787">
        <v>-28734.9</v>
      </c>
      <c r="E216" s="249">
        <f t="shared" si="20"/>
        <v>-28734.9</v>
      </c>
      <c r="F216" s="249"/>
      <c r="G216" s="249"/>
      <c r="H216" s="249"/>
      <c r="I216" s="469" t="s">
        <v>2316</v>
      </c>
      <c r="J216" s="469"/>
    </row>
    <row r="217" spans="1:10" x14ac:dyDescent="0.2">
      <c r="A217" s="200">
        <f>+A216+1</f>
        <v>533</v>
      </c>
      <c r="B217" s="785">
        <v>283.12200000000001</v>
      </c>
      <c r="C217" s="786" t="s">
        <v>2230</v>
      </c>
      <c r="D217" s="787">
        <v>988136.37</v>
      </c>
      <c r="E217" s="249">
        <f>G329*D217</f>
        <v>914.61366264228786</v>
      </c>
      <c r="F217" s="249"/>
      <c r="G217" s="249">
        <f>D217-E217</f>
        <v>987221.75633735768</v>
      </c>
      <c r="H217" s="249"/>
      <c r="I217" s="469" t="s">
        <v>2855</v>
      </c>
      <c r="J217" s="469"/>
    </row>
    <row r="218" spans="1:10" x14ac:dyDescent="0.2">
      <c r="A218" s="200">
        <f t="shared" si="17"/>
        <v>534</v>
      </c>
      <c r="B218" s="785">
        <v>283.14299999999997</v>
      </c>
      <c r="C218" s="786" t="s">
        <v>2231</v>
      </c>
      <c r="D218" s="787">
        <v>304244</v>
      </c>
      <c r="E218" s="249">
        <f t="shared" si="20"/>
        <v>304244</v>
      </c>
      <c r="F218" s="249"/>
      <c r="G218" s="249"/>
      <c r="H218" s="249"/>
      <c r="I218" s="469" t="s">
        <v>2340</v>
      </c>
      <c r="J218" s="469"/>
    </row>
    <row r="219" spans="1:10" x14ac:dyDescent="0.2">
      <c r="A219" s="200">
        <f t="shared" si="17"/>
        <v>535</v>
      </c>
      <c r="B219" s="785">
        <v>283.14499999999998</v>
      </c>
      <c r="C219" s="786" t="s">
        <v>2232</v>
      </c>
      <c r="D219" s="787">
        <v>2282910.88</v>
      </c>
      <c r="E219" s="249">
        <f t="shared" si="20"/>
        <v>2282910.88</v>
      </c>
      <c r="F219" s="249"/>
      <c r="G219" s="249"/>
      <c r="H219" s="249"/>
      <c r="I219" s="469" t="s">
        <v>2326</v>
      </c>
      <c r="J219" s="469"/>
    </row>
    <row r="220" spans="1:10" x14ac:dyDescent="0.2">
      <c r="A220" s="200">
        <f t="shared" si="17"/>
        <v>536</v>
      </c>
      <c r="B220" s="785">
        <v>283.209</v>
      </c>
      <c r="C220" s="786" t="s">
        <v>2233</v>
      </c>
      <c r="D220" s="787">
        <v>-1592868</v>
      </c>
      <c r="E220" s="249">
        <f t="shared" si="20"/>
        <v>-1592868</v>
      </c>
      <c r="F220" s="249"/>
      <c r="G220" s="249"/>
      <c r="H220" s="249"/>
      <c r="I220" s="469" t="s">
        <v>2326</v>
      </c>
      <c r="J220" s="469"/>
    </row>
    <row r="221" spans="1:10" x14ac:dyDescent="0.2">
      <c r="A221" s="200">
        <f t="shared" si="17"/>
        <v>537</v>
      </c>
      <c r="B221" s="785">
        <v>283.21199999999999</v>
      </c>
      <c r="C221" s="789" t="s">
        <v>2234</v>
      </c>
      <c r="D221" s="787">
        <v>-10484485.720000001</v>
      </c>
      <c r="E221" s="249">
        <f t="shared" si="20"/>
        <v>-10484485.720000001</v>
      </c>
      <c r="F221" s="249"/>
      <c r="G221" s="249"/>
      <c r="H221" s="249"/>
      <c r="I221" s="667" t="s">
        <v>2341</v>
      </c>
      <c r="J221" s="469"/>
    </row>
    <row r="222" spans="1:10" x14ac:dyDescent="0.2">
      <c r="A222" s="200">
        <f t="shared" si="17"/>
        <v>538</v>
      </c>
      <c r="B222" s="785">
        <v>283.21499999999997</v>
      </c>
      <c r="C222" s="786" t="s">
        <v>2235</v>
      </c>
      <c r="D222" s="787">
        <v>-314757247.63</v>
      </c>
      <c r="E222" s="249">
        <f t="shared" si="20"/>
        <v>-314757247.63</v>
      </c>
      <c r="F222" s="249"/>
      <c r="G222" s="249"/>
      <c r="H222" s="249"/>
      <c r="I222" s="667" t="s">
        <v>2341</v>
      </c>
      <c r="J222" s="469"/>
    </row>
    <row r="223" spans="1:10" x14ac:dyDescent="0.2">
      <c r="A223" s="200">
        <f t="shared" si="17"/>
        <v>539</v>
      </c>
      <c r="B223" s="785">
        <v>283.221</v>
      </c>
      <c r="C223" s="786" t="s">
        <v>2236</v>
      </c>
      <c r="D223" s="787">
        <v>77385709.700000003</v>
      </c>
      <c r="E223" s="249">
        <f t="shared" si="20"/>
        <v>77385709.700000003</v>
      </c>
      <c r="F223" s="249"/>
      <c r="G223" s="249"/>
      <c r="H223" s="249"/>
      <c r="I223" s="469" t="s">
        <v>2342</v>
      </c>
      <c r="J223" s="469"/>
    </row>
    <row r="224" spans="1:10" x14ac:dyDescent="0.2">
      <c r="A224" s="117"/>
      <c r="B224" s="790"/>
      <c r="C224" s="791"/>
      <c r="D224" s="792"/>
      <c r="E224" s="248"/>
      <c r="F224" s="248"/>
      <c r="G224" s="248"/>
      <c r="H224" s="248"/>
      <c r="I224" s="254"/>
      <c r="J224" s="254"/>
    </row>
    <row r="225" spans="1:10" x14ac:dyDescent="0.2">
      <c r="A225" s="117"/>
      <c r="B225" s="882" t="s">
        <v>2237</v>
      </c>
      <c r="C225" s="911"/>
      <c r="D225" s="901"/>
      <c r="E225" s="246"/>
      <c r="F225" s="246"/>
      <c r="G225" s="246"/>
      <c r="H225" s="246"/>
      <c r="I225" s="244"/>
      <c r="J225" s="254"/>
    </row>
    <row r="226" spans="1:10" x14ac:dyDescent="0.2">
      <c r="A226" s="117"/>
      <c r="B226" s="882"/>
      <c r="C226" s="88" t="s">
        <v>406</v>
      </c>
      <c r="D226" s="88" t="s">
        <v>390</v>
      </c>
      <c r="E226" s="88" t="s">
        <v>391</v>
      </c>
      <c r="F226" s="88" t="s">
        <v>392</v>
      </c>
      <c r="G226" s="88" t="s">
        <v>393</v>
      </c>
      <c r="H226" s="88" t="s">
        <v>394</v>
      </c>
      <c r="I226" s="88" t="s">
        <v>395</v>
      </c>
      <c r="J226" s="254"/>
    </row>
    <row r="227" spans="1:10" x14ac:dyDescent="0.2">
      <c r="A227" s="117"/>
      <c r="B227" s="886"/>
      <c r="C227" s="886"/>
      <c r="D227" s="912" t="s">
        <v>2072</v>
      </c>
      <c r="E227" s="912" t="s">
        <v>2073</v>
      </c>
      <c r="F227" s="912"/>
      <c r="G227" s="912"/>
      <c r="H227" s="912" t="s">
        <v>1583</v>
      </c>
      <c r="I227" s="1087" t="s">
        <v>2854</v>
      </c>
      <c r="J227" s="254"/>
    </row>
    <row r="228" spans="1:10" x14ac:dyDescent="0.2">
      <c r="A228" s="117"/>
      <c r="B228" s="890" t="s">
        <v>2197</v>
      </c>
      <c r="C228" s="890" t="s">
        <v>2075</v>
      </c>
      <c r="D228" s="913" t="s">
        <v>2076</v>
      </c>
      <c r="E228" s="913" t="s">
        <v>2077</v>
      </c>
      <c r="F228" s="913" t="s">
        <v>2078</v>
      </c>
      <c r="G228" s="913" t="s">
        <v>2079</v>
      </c>
      <c r="H228" s="913" t="s">
        <v>2066</v>
      </c>
      <c r="I228" s="890" t="s">
        <v>114</v>
      </c>
      <c r="J228" s="254"/>
    </row>
    <row r="229" spans="1:10" x14ac:dyDescent="0.2">
      <c r="A229" s="117"/>
      <c r="B229" s="883" t="s">
        <v>2238</v>
      </c>
      <c r="C229" s="886"/>
      <c r="D229" s="912"/>
      <c r="E229" s="912"/>
      <c r="F229" s="912"/>
      <c r="G229" s="912"/>
      <c r="H229" s="912"/>
      <c r="I229" s="886"/>
      <c r="J229" s="254"/>
    </row>
    <row r="230" spans="1:10" x14ac:dyDescent="0.2">
      <c r="A230" s="200">
        <f>A223+1</f>
        <v>540</v>
      </c>
      <c r="B230" s="785">
        <v>283.22699999999998</v>
      </c>
      <c r="C230" s="786" t="s">
        <v>2239</v>
      </c>
      <c r="D230" s="787">
        <v>-1004125708.45</v>
      </c>
      <c r="E230" s="249">
        <f t="shared" ref="E230:E258" si="21">+D230</f>
        <v>-1004125708.45</v>
      </c>
      <c r="F230" s="249"/>
      <c r="G230" s="249"/>
      <c r="H230" s="249"/>
      <c r="I230" s="469" t="s">
        <v>2343</v>
      </c>
      <c r="J230" s="469"/>
    </row>
    <row r="231" spans="1:10" x14ac:dyDescent="0.2">
      <c r="A231" s="200">
        <f t="shared" si="17"/>
        <v>541</v>
      </c>
      <c r="B231" s="785">
        <v>283.23500000000001</v>
      </c>
      <c r="C231" s="786" t="s">
        <v>2240</v>
      </c>
      <c r="D231" s="787">
        <v>-233272112.75</v>
      </c>
      <c r="E231" s="249">
        <f t="shared" si="21"/>
        <v>-233272112.75</v>
      </c>
      <c r="F231" s="249"/>
      <c r="G231" s="249"/>
      <c r="H231" s="249"/>
      <c r="I231" s="469" t="s">
        <v>2344</v>
      </c>
      <c r="J231" s="469"/>
    </row>
    <row r="232" spans="1:10" x14ac:dyDescent="0.2">
      <c r="A232" s="200">
        <f t="shared" si="17"/>
        <v>542</v>
      </c>
      <c r="B232" s="785">
        <v>283.23599999999999</v>
      </c>
      <c r="C232" s="786" t="s">
        <v>2241</v>
      </c>
      <c r="D232" s="787">
        <v>-162767326.25999999</v>
      </c>
      <c r="E232" s="249">
        <f t="shared" si="21"/>
        <v>-162767326.25999999</v>
      </c>
      <c r="F232" s="249"/>
      <c r="G232" s="249"/>
      <c r="H232" s="249"/>
      <c r="I232" s="469" t="s">
        <v>2345</v>
      </c>
      <c r="J232" s="469"/>
    </row>
    <row r="233" spans="1:10" x14ac:dyDescent="0.2">
      <c r="A233" s="200">
        <f t="shared" si="17"/>
        <v>543</v>
      </c>
      <c r="B233" s="785">
        <v>283.238</v>
      </c>
      <c r="C233" s="786" t="s">
        <v>2242</v>
      </c>
      <c r="D233" s="787">
        <v>-4677797.2699999996</v>
      </c>
      <c r="E233" s="249">
        <f t="shared" si="21"/>
        <v>-4677797.2699999996</v>
      </c>
      <c r="F233" s="249"/>
      <c r="G233" s="249"/>
      <c r="H233" s="249"/>
      <c r="I233" s="469" t="s">
        <v>2346</v>
      </c>
      <c r="J233" s="469"/>
    </row>
    <row r="234" spans="1:10" x14ac:dyDescent="0.2">
      <c r="A234" s="200">
        <f t="shared" si="17"/>
        <v>544</v>
      </c>
      <c r="B234" s="785">
        <v>283.245</v>
      </c>
      <c r="C234" s="786" t="s">
        <v>2243</v>
      </c>
      <c r="D234" s="787">
        <v>-389309625.32999998</v>
      </c>
      <c r="E234" s="249">
        <f t="shared" si="21"/>
        <v>-389309625.32999998</v>
      </c>
      <c r="F234" s="249"/>
      <c r="G234" s="249"/>
      <c r="H234" s="249"/>
      <c r="I234" s="469" t="s">
        <v>2347</v>
      </c>
      <c r="J234" s="469"/>
    </row>
    <row r="235" spans="1:10" x14ac:dyDescent="0.2">
      <c r="A235" s="200">
        <f t="shared" si="17"/>
        <v>545</v>
      </c>
      <c r="B235" s="785">
        <v>283.24599999999998</v>
      </c>
      <c r="C235" s="786" t="s">
        <v>2244</v>
      </c>
      <c r="D235" s="787">
        <v>-137769183.41999999</v>
      </c>
      <c r="E235" s="249">
        <f t="shared" si="21"/>
        <v>-137769183.41999999</v>
      </c>
      <c r="F235" s="249"/>
      <c r="G235" s="249"/>
      <c r="H235" s="249"/>
      <c r="I235" s="469" t="s">
        <v>2348</v>
      </c>
      <c r="J235" s="469"/>
    </row>
    <row r="236" spans="1:10" x14ac:dyDescent="0.2">
      <c r="A236" s="200">
        <f t="shared" si="17"/>
        <v>546</v>
      </c>
      <c r="B236" s="785">
        <v>283.24599999999998</v>
      </c>
      <c r="C236" s="786" t="s">
        <v>2245</v>
      </c>
      <c r="D236" s="787">
        <v>-3971308.6</v>
      </c>
      <c r="E236" s="249">
        <f t="shared" si="21"/>
        <v>-3971308.6</v>
      </c>
      <c r="F236" s="249"/>
      <c r="G236" s="249"/>
      <c r="H236" s="249"/>
      <c r="I236" s="469" t="s">
        <v>2348</v>
      </c>
      <c r="J236" s="469"/>
    </row>
    <row r="237" spans="1:10" x14ac:dyDescent="0.2">
      <c r="A237" s="200">
        <f t="shared" si="17"/>
        <v>547</v>
      </c>
      <c r="B237" s="785">
        <v>283.24700000000001</v>
      </c>
      <c r="C237" s="786" t="s">
        <v>2246</v>
      </c>
      <c r="D237" s="787">
        <v>-100152677</v>
      </c>
      <c r="E237" s="249">
        <f t="shared" si="21"/>
        <v>-100152677</v>
      </c>
      <c r="F237" s="249"/>
      <c r="G237" s="249"/>
      <c r="H237" s="249"/>
      <c r="I237" s="469" t="s">
        <v>2348</v>
      </c>
      <c r="J237" s="469"/>
    </row>
    <row r="238" spans="1:10" x14ac:dyDescent="0.2">
      <c r="A238" s="200">
        <f t="shared" si="17"/>
        <v>548</v>
      </c>
      <c r="B238" s="785">
        <v>283.25200000000001</v>
      </c>
      <c r="C238" s="786" t="s">
        <v>2247</v>
      </c>
      <c r="D238" s="787">
        <v>-322149765.17000002</v>
      </c>
      <c r="E238" s="249">
        <f t="shared" si="21"/>
        <v>-322149765.17000002</v>
      </c>
      <c r="F238" s="249"/>
      <c r="G238" s="249"/>
      <c r="H238" s="249"/>
      <c r="I238" s="469" t="s">
        <v>2349</v>
      </c>
      <c r="J238" s="469"/>
    </row>
    <row r="239" spans="1:10" x14ac:dyDescent="0.2">
      <c r="A239" s="200">
        <f t="shared" si="17"/>
        <v>549</v>
      </c>
      <c r="B239" s="785">
        <v>283.25299999999999</v>
      </c>
      <c r="C239" s="786" t="s">
        <v>2248</v>
      </c>
      <c r="D239" s="787">
        <v>135740331</v>
      </c>
      <c r="E239" s="249">
        <f t="shared" si="21"/>
        <v>135740331</v>
      </c>
      <c r="F239" s="249"/>
      <c r="G239" s="249"/>
      <c r="H239" s="249"/>
      <c r="I239" s="469" t="s">
        <v>2349</v>
      </c>
      <c r="J239" s="469"/>
    </row>
    <row r="240" spans="1:10" x14ac:dyDescent="0.2">
      <c r="A240" s="200">
        <f t="shared" si="17"/>
        <v>550</v>
      </c>
      <c r="B240" s="785">
        <v>283.25900000000001</v>
      </c>
      <c r="C240" s="786" t="s">
        <v>2249</v>
      </c>
      <c r="D240" s="787">
        <v>-125258.52</v>
      </c>
      <c r="E240" s="249">
        <f t="shared" si="21"/>
        <v>-125258.52</v>
      </c>
      <c r="F240" s="249"/>
      <c r="G240" s="249"/>
      <c r="H240" s="249"/>
      <c r="I240" s="469" t="s">
        <v>2348</v>
      </c>
      <c r="J240" s="469"/>
    </row>
    <row r="241" spans="1:10" x14ac:dyDescent="0.2">
      <c r="A241" s="200">
        <f t="shared" si="17"/>
        <v>551</v>
      </c>
      <c r="B241" s="785">
        <v>283.25900000000001</v>
      </c>
      <c r="C241" s="786" t="s">
        <v>2250</v>
      </c>
      <c r="D241" s="787">
        <v>-49489713.039999999</v>
      </c>
      <c r="E241" s="249">
        <f t="shared" si="21"/>
        <v>-49489713.039999999</v>
      </c>
      <c r="F241" s="249"/>
      <c r="G241" s="249"/>
      <c r="H241" s="249"/>
      <c r="I241" s="469" t="s">
        <v>2348</v>
      </c>
      <c r="J241" s="469"/>
    </row>
    <row r="242" spans="1:10" x14ac:dyDescent="0.2">
      <c r="A242" s="200">
        <f t="shared" si="17"/>
        <v>552</v>
      </c>
      <c r="B242" s="785">
        <v>283.262</v>
      </c>
      <c r="C242" s="786" t="s">
        <v>2251</v>
      </c>
      <c r="D242" s="787">
        <v>-181207.4</v>
      </c>
      <c r="E242" s="249">
        <f t="shared" si="21"/>
        <v>-181207.4</v>
      </c>
      <c r="F242" s="249"/>
      <c r="G242" s="249"/>
      <c r="H242" s="249"/>
      <c r="I242" s="469" t="s">
        <v>2316</v>
      </c>
      <c r="J242" s="469"/>
    </row>
    <row r="243" spans="1:10" x14ac:dyDescent="0.2">
      <c r="A243" s="200">
        <f t="shared" si="17"/>
        <v>553</v>
      </c>
      <c r="B243" s="785">
        <v>283.31799999999998</v>
      </c>
      <c r="C243" s="786" t="s">
        <v>2252</v>
      </c>
      <c r="D243" s="787">
        <v>-1111428.25</v>
      </c>
      <c r="E243" s="249">
        <f t="shared" si="21"/>
        <v>-1111428.25</v>
      </c>
      <c r="F243" s="249"/>
      <c r="G243" s="249"/>
      <c r="H243" s="249"/>
      <c r="I243" s="469" t="s">
        <v>2347</v>
      </c>
      <c r="J243" s="469"/>
    </row>
    <row r="244" spans="1:10" x14ac:dyDescent="0.2">
      <c r="A244" s="200">
        <f t="shared" si="17"/>
        <v>554</v>
      </c>
      <c r="B244" s="785">
        <v>283.32400000000001</v>
      </c>
      <c r="C244" s="786" t="s">
        <v>2253</v>
      </c>
      <c r="D244" s="787">
        <v>10930906.810000001</v>
      </c>
      <c r="E244" s="249">
        <f t="shared" si="21"/>
        <v>10930906.810000001</v>
      </c>
      <c r="F244" s="249"/>
      <c r="G244" s="249"/>
      <c r="H244" s="249"/>
      <c r="I244" s="469" t="s">
        <v>2105</v>
      </c>
      <c r="J244" s="469"/>
    </row>
    <row r="245" spans="1:10" x14ac:dyDescent="0.2">
      <c r="A245" s="200">
        <f t="shared" si="17"/>
        <v>555</v>
      </c>
      <c r="B245" s="785">
        <v>283.32499999999999</v>
      </c>
      <c r="C245" s="786" t="s">
        <v>2254</v>
      </c>
      <c r="D245" s="787">
        <v>-5520342</v>
      </c>
      <c r="E245" s="249">
        <v>-5520342</v>
      </c>
      <c r="F245" s="249"/>
      <c r="G245" s="249"/>
      <c r="H245" s="249"/>
      <c r="I245" s="469" t="s">
        <v>2350</v>
      </c>
      <c r="J245" s="469"/>
    </row>
    <row r="246" spans="1:10" x14ac:dyDescent="0.2">
      <c r="A246" s="200">
        <f t="shared" si="17"/>
        <v>556</v>
      </c>
      <c r="B246" s="785">
        <v>283.32600000000002</v>
      </c>
      <c r="C246" s="786" t="s">
        <v>2255</v>
      </c>
      <c r="D246" s="787">
        <v>-37716435.189999998</v>
      </c>
      <c r="E246" s="249">
        <f t="shared" si="21"/>
        <v>-37716435.189999998</v>
      </c>
      <c r="F246" s="249"/>
      <c r="G246" s="249"/>
      <c r="H246" s="249"/>
      <c r="I246" s="469" t="s">
        <v>2347</v>
      </c>
      <c r="J246" s="469"/>
    </row>
    <row r="247" spans="1:10" x14ac:dyDescent="0.2">
      <c r="A247" s="200">
        <f t="shared" si="17"/>
        <v>557</v>
      </c>
      <c r="B247" s="785">
        <v>283.327</v>
      </c>
      <c r="C247" s="786" t="s">
        <v>2256</v>
      </c>
      <c r="D247" s="787">
        <v>-4079830.8</v>
      </c>
      <c r="E247" s="249">
        <f t="shared" si="21"/>
        <v>-4079830.8</v>
      </c>
      <c r="F247" s="249"/>
      <c r="G247" s="249"/>
      <c r="H247" s="249"/>
      <c r="I247" s="469" t="s">
        <v>2326</v>
      </c>
      <c r="J247" s="469"/>
    </row>
    <row r="248" spans="1:10" x14ac:dyDescent="0.2">
      <c r="A248" s="200">
        <f t="shared" si="17"/>
        <v>558</v>
      </c>
      <c r="B248" s="785">
        <v>283.33999999999997</v>
      </c>
      <c r="C248" s="786" t="s">
        <v>2257</v>
      </c>
      <c r="D248" s="787">
        <v>-115892045</v>
      </c>
      <c r="E248" s="249">
        <f t="shared" si="21"/>
        <v>-115892045</v>
      </c>
      <c r="F248" s="249"/>
      <c r="G248" s="249"/>
      <c r="H248" s="249"/>
      <c r="I248" s="469" t="s">
        <v>2351</v>
      </c>
      <c r="J248" s="469"/>
    </row>
    <row r="249" spans="1:10" x14ac:dyDescent="0.2">
      <c r="A249" s="200">
        <f t="shared" ref="A249:A278" si="22">A248+1</f>
        <v>559</v>
      </c>
      <c r="B249" s="785">
        <v>283.39</v>
      </c>
      <c r="C249" s="786" t="s">
        <v>2258</v>
      </c>
      <c r="D249" s="787">
        <v>-17446267.870000001</v>
      </c>
      <c r="E249" s="249">
        <f t="shared" si="21"/>
        <v>-17446267.870000001</v>
      </c>
      <c r="F249" s="249"/>
      <c r="G249" s="249"/>
      <c r="H249" s="249"/>
      <c r="I249" s="469" t="s">
        <v>2320</v>
      </c>
      <c r="J249" s="469"/>
    </row>
    <row r="250" spans="1:10" x14ac:dyDescent="0.2">
      <c r="A250" s="200">
        <f t="shared" si="22"/>
        <v>560</v>
      </c>
      <c r="B250" s="785">
        <v>283.39299999999997</v>
      </c>
      <c r="C250" s="786" t="s">
        <v>2259</v>
      </c>
      <c r="D250" s="787">
        <v>7453667.79</v>
      </c>
      <c r="E250" s="249">
        <f t="shared" si="21"/>
        <v>7453667.79</v>
      </c>
      <c r="F250" s="249"/>
      <c r="G250" s="249"/>
      <c r="H250" s="249"/>
      <c r="I250" s="469" t="s">
        <v>2352</v>
      </c>
      <c r="J250" s="469"/>
    </row>
    <row r="251" spans="1:10" x14ac:dyDescent="0.2">
      <c r="A251" s="200">
        <f t="shared" si="22"/>
        <v>561</v>
      </c>
      <c r="B251" s="785">
        <v>283.39499999999998</v>
      </c>
      <c r="C251" s="786" t="s">
        <v>2258</v>
      </c>
      <c r="D251" s="787">
        <v>-3355098</v>
      </c>
      <c r="E251" s="249">
        <f t="shared" si="21"/>
        <v>-3355098</v>
      </c>
      <c r="F251" s="249"/>
      <c r="G251" s="249"/>
      <c r="H251" s="249"/>
      <c r="I251" s="469" t="s">
        <v>2320</v>
      </c>
      <c r="J251" s="469"/>
    </row>
    <row r="252" spans="1:10" x14ac:dyDescent="0.2">
      <c r="A252" s="200">
        <f t="shared" si="22"/>
        <v>562</v>
      </c>
      <c r="B252" s="785">
        <v>283.41199999999998</v>
      </c>
      <c r="C252" s="786" t="s">
        <v>2260</v>
      </c>
      <c r="D252" s="787">
        <v>-27716155</v>
      </c>
      <c r="E252" s="249">
        <f t="shared" si="21"/>
        <v>-27716155</v>
      </c>
      <c r="F252" s="249"/>
      <c r="G252" s="249"/>
      <c r="H252" s="249"/>
      <c r="I252" s="469" t="s">
        <v>2353</v>
      </c>
      <c r="J252" s="469"/>
    </row>
    <row r="253" spans="1:10" x14ac:dyDescent="0.2">
      <c r="A253" s="200">
        <f t="shared" si="22"/>
        <v>563</v>
      </c>
      <c r="B253" s="785">
        <v>283.48399999999998</v>
      </c>
      <c r="C253" s="786" t="s">
        <v>2354</v>
      </c>
      <c r="D253" s="787">
        <v>-272393.18</v>
      </c>
      <c r="E253" s="249">
        <f t="shared" si="21"/>
        <v>-272393.18</v>
      </c>
      <c r="F253" s="249"/>
      <c r="G253" s="249"/>
      <c r="H253" s="249"/>
      <c r="I253" s="469" t="s">
        <v>2326</v>
      </c>
      <c r="J253" s="469"/>
    </row>
    <row r="254" spans="1:10" x14ac:dyDescent="0.2">
      <c r="A254" s="200">
        <f t="shared" si="22"/>
        <v>564</v>
      </c>
      <c r="B254" s="785">
        <v>283.52499999999998</v>
      </c>
      <c r="C254" s="786" t="s">
        <v>2261</v>
      </c>
      <c r="D254" s="787">
        <v>-695629.24</v>
      </c>
      <c r="E254" s="249">
        <f t="shared" si="21"/>
        <v>-695629.24</v>
      </c>
      <c r="F254" s="249"/>
      <c r="G254" s="249"/>
      <c r="H254" s="249"/>
      <c r="I254" s="469" t="s">
        <v>2334</v>
      </c>
      <c r="J254" s="469"/>
    </row>
    <row r="255" spans="1:10" x14ac:dyDescent="0.2">
      <c r="A255" s="200">
        <f t="shared" si="22"/>
        <v>565</v>
      </c>
      <c r="B255" s="785">
        <v>283.66899999999998</v>
      </c>
      <c r="C255" s="786" t="s">
        <v>2262</v>
      </c>
      <c r="D255" s="787">
        <v>-8708657.9800000004</v>
      </c>
      <c r="E255" s="249">
        <f t="shared" si="21"/>
        <v>-8708657.9800000004</v>
      </c>
      <c r="F255" s="249"/>
      <c r="G255" s="249"/>
      <c r="H255" s="249"/>
      <c r="I255" s="469" t="s">
        <v>2316</v>
      </c>
      <c r="J255" s="469"/>
    </row>
    <row r="256" spans="1:10" x14ac:dyDescent="0.2">
      <c r="A256" s="200">
        <f t="shared" si="22"/>
        <v>566</v>
      </c>
      <c r="B256" s="785">
        <v>283.73099999999999</v>
      </c>
      <c r="C256" s="786" t="s">
        <v>2263</v>
      </c>
      <c r="D256" s="787">
        <v>-93317290.480000004</v>
      </c>
      <c r="E256" s="249">
        <f>G329*D256</f>
        <v>-86373.977747390381</v>
      </c>
      <c r="F256" s="249"/>
      <c r="G256" s="249">
        <f>D256-E256</f>
        <v>-93230916.502252609</v>
      </c>
      <c r="H256" s="249"/>
      <c r="I256" s="667" t="s">
        <v>2860</v>
      </c>
      <c r="J256" s="1088"/>
    </row>
    <row r="257" spans="1:10" x14ac:dyDescent="0.2">
      <c r="A257" s="200">
        <f t="shared" si="22"/>
        <v>567</v>
      </c>
      <c r="B257" s="785">
        <v>283.82299999999998</v>
      </c>
      <c r="C257" s="786" t="s">
        <v>2264</v>
      </c>
      <c r="D257" s="787">
        <v>-445326</v>
      </c>
      <c r="E257" s="249">
        <f t="shared" si="21"/>
        <v>-445326</v>
      </c>
      <c r="F257" s="249"/>
      <c r="G257" s="249"/>
      <c r="H257" s="249"/>
      <c r="I257" s="469" t="s">
        <v>2355</v>
      </c>
      <c r="J257" s="469"/>
    </row>
    <row r="258" spans="1:10" x14ac:dyDescent="0.2">
      <c r="A258" s="200">
        <f t="shared" si="22"/>
        <v>568</v>
      </c>
      <c r="B258" s="785">
        <v>283.82400000000001</v>
      </c>
      <c r="C258" s="786" t="s">
        <v>2264</v>
      </c>
      <c r="D258" s="787">
        <v>-907699</v>
      </c>
      <c r="E258" s="249">
        <f t="shared" si="21"/>
        <v>-907699</v>
      </c>
      <c r="F258" s="249"/>
      <c r="G258" s="249"/>
      <c r="H258" s="249"/>
      <c r="I258" s="469" t="s">
        <v>2355</v>
      </c>
      <c r="J258" s="469"/>
    </row>
    <row r="259" spans="1:10" x14ac:dyDescent="0.2">
      <c r="A259" s="200">
        <f t="shared" si="22"/>
        <v>569</v>
      </c>
      <c r="B259" s="793" t="s">
        <v>578</v>
      </c>
      <c r="C259" s="788"/>
      <c r="D259" s="794"/>
      <c r="E259" s="249"/>
      <c r="F259" s="249"/>
      <c r="G259" s="249"/>
      <c r="H259" s="249"/>
      <c r="I259" s="469"/>
      <c r="J259" s="469"/>
    </row>
    <row r="260" spans="1:10" x14ac:dyDescent="0.2">
      <c r="A260" s="117"/>
      <c r="B260" s="795"/>
      <c r="C260" s="796"/>
      <c r="D260" s="652"/>
      <c r="E260" s="248"/>
      <c r="F260" s="248"/>
      <c r="G260" s="248"/>
      <c r="H260" s="248"/>
      <c r="I260" s="254"/>
      <c r="J260" s="254"/>
    </row>
    <row r="261" spans="1:10" x14ac:dyDescent="0.2">
      <c r="A261" s="117">
        <v>650</v>
      </c>
      <c r="B261" s="796"/>
      <c r="C261" s="796" t="s">
        <v>2265</v>
      </c>
      <c r="D261" s="652">
        <f>SUM(D184:D223)+SUM(D230:D258)</f>
        <v>-3001423623.6500001</v>
      </c>
      <c r="E261" s="652">
        <f>SUM(E184:E223)+SUM(E230:E258)</f>
        <v>-2842762928.2027793</v>
      </c>
      <c r="F261" s="652">
        <f>SUM(F184:F223)+SUM(F230:F258)</f>
        <v>-1088580.0827037292</v>
      </c>
      <c r="G261" s="652">
        <f>SUM(G184:G223)+SUM(G230:G258)</f>
        <v>-155644783.43591523</v>
      </c>
      <c r="H261" s="652">
        <f>SUM(H184:H223)+SUM(H230:H258)</f>
        <v>-1927331.9286018545</v>
      </c>
      <c r="I261" s="264" t="str">
        <f>"Sum of Above Lines beginning on Line "&amp;A184&amp;""</f>
        <v>Sum of Above Lines beginning on Line 500</v>
      </c>
      <c r="J261" s="244"/>
    </row>
    <row r="262" spans="1:10" x14ac:dyDescent="0.2">
      <c r="A262" s="117"/>
      <c r="B262" s="796"/>
      <c r="C262" s="796"/>
      <c r="D262" s="652"/>
      <c r="E262" s="652"/>
      <c r="F262" s="652"/>
      <c r="G262" s="652"/>
      <c r="H262" s="652"/>
      <c r="I262" s="780"/>
      <c r="J262" s="244"/>
    </row>
    <row r="263" spans="1:10" x14ac:dyDescent="0.2">
      <c r="A263" s="839"/>
      <c r="B263" s="895" t="s">
        <v>2502</v>
      </c>
      <c r="C263" s="796"/>
      <c r="D263" s="652"/>
      <c r="E263" s="246"/>
      <c r="F263" s="246"/>
      <c r="G263" s="246"/>
      <c r="H263" s="246"/>
      <c r="I263" s="1087" t="s">
        <v>2854</v>
      </c>
      <c r="J263" s="244"/>
    </row>
    <row r="264" spans="1:10" x14ac:dyDescent="0.2">
      <c r="A264" s="839"/>
      <c r="C264" s="88" t="s">
        <v>406</v>
      </c>
      <c r="D264" s="88" t="s">
        <v>390</v>
      </c>
      <c r="E264" s="88" t="s">
        <v>391</v>
      </c>
      <c r="F264" s="88" t="s">
        <v>392</v>
      </c>
      <c r="G264" s="88" t="s">
        <v>393</v>
      </c>
      <c r="H264" s="88" t="s">
        <v>394</v>
      </c>
      <c r="I264" s="88" t="s">
        <v>395</v>
      </c>
      <c r="J264" s="244"/>
    </row>
    <row r="265" spans="1:10" x14ac:dyDescent="0.2">
      <c r="A265" s="200">
        <v>700</v>
      </c>
      <c r="B265" s="785">
        <v>283.21100000000001</v>
      </c>
      <c r="C265" s="786" t="s">
        <v>2266</v>
      </c>
      <c r="D265" s="787">
        <f>-15960.76</f>
        <v>-15960.76</v>
      </c>
      <c r="E265" s="249">
        <f t="shared" ref="E265:E277" si="23">+D265</f>
        <v>-15960.76</v>
      </c>
      <c r="F265" s="249"/>
      <c r="G265" s="249"/>
      <c r="H265" s="249"/>
      <c r="I265" s="469" t="s">
        <v>2159</v>
      </c>
      <c r="J265" s="469"/>
    </row>
    <row r="266" spans="1:10" x14ac:dyDescent="0.2">
      <c r="A266" s="200">
        <f t="shared" si="22"/>
        <v>701</v>
      </c>
      <c r="B266" s="785">
        <v>283.22800000000001</v>
      </c>
      <c r="C266" s="786" t="s">
        <v>2267</v>
      </c>
      <c r="D266" s="787">
        <v>-520962.83</v>
      </c>
      <c r="E266" s="249">
        <f t="shared" si="23"/>
        <v>-520962.83</v>
      </c>
      <c r="F266" s="249"/>
      <c r="G266" s="249"/>
      <c r="H266" s="249"/>
      <c r="I266" s="469" t="s">
        <v>2159</v>
      </c>
      <c r="J266" s="469"/>
    </row>
    <row r="267" spans="1:10" x14ac:dyDescent="0.2">
      <c r="A267" s="200">
        <f t="shared" si="22"/>
        <v>702</v>
      </c>
      <c r="B267" s="785">
        <v>283.3</v>
      </c>
      <c r="C267" s="786" t="s">
        <v>2268</v>
      </c>
      <c r="D267" s="787">
        <v>-26164.93</v>
      </c>
      <c r="E267" s="249">
        <f t="shared" si="23"/>
        <v>-26164.93</v>
      </c>
      <c r="F267" s="249"/>
      <c r="G267" s="249"/>
      <c r="H267" s="249"/>
      <c r="I267" s="469" t="s">
        <v>2159</v>
      </c>
      <c r="J267" s="469"/>
    </row>
    <row r="268" spans="1:10" x14ac:dyDescent="0.2">
      <c r="A268" s="200">
        <f t="shared" si="22"/>
        <v>703</v>
      </c>
      <c r="B268" s="785">
        <v>283.21300000000002</v>
      </c>
      <c r="C268" s="786" t="s">
        <v>2269</v>
      </c>
      <c r="D268" s="787">
        <v>-79628.179999999993</v>
      </c>
      <c r="E268" s="249">
        <f t="shared" si="23"/>
        <v>-79628.179999999993</v>
      </c>
      <c r="F268" s="249"/>
      <c r="G268" s="249"/>
      <c r="H268" s="249"/>
      <c r="I268" s="469" t="s">
        <v>2159</v>
      </c>
      <c r="J268" s="469"/>
    </row>
    <row r="269" spans="1:10" x14ac:dyDescent="0.2">
      <c r="A269" s="200">
        <f t="shared" si="22"/>
        <v>704</v>
      </c>
      <c r="B269" s="785">
        <v>283.553</v>
      </c>
      <c r="C269" s="786" t="s">
        <v>2270</v>
      </c>
      <c r="D269" s="787">
        <v>172773.58</v>
      </c>
      <c r="E269" s="249">
        <f t="shared" si="23"/>
        <v>172773.58</v>
      </c>
      <c r="F269" s="249"/>
      <c r="G269" s="249"/>
      <c r="H269" s="249"/>
      <c r="I269" s="469" t="s">
        <v>2159</v>
      </c>
      <c r="J269" s="469"/>
    </row>
    <row r="270" spans="1:10" x14ac:dyDescent="0.2">
      <c r="A270" s="200">
        <f t="shared" si="22"/>
        <v>705</v>
      </c>
      <c r="B270" s="785">
        <v>283.226</v>
      </c>
      <c r="C270" s="786" t="s">
        <v>2271</v>
      </c>
      <c r="D270" s="787">
        <v>-166335087.16999999</v>
      </c>
      <c r="E270" s="249">
        <f t="shared" si="23"/>
        <v>-166335087.16999999</v>
      </c>
      <c r="F270" s="249"/>
      <c r="G270" s="249"/>
      <c r="H270" s="249"/>
      <c r="I270" s="469" t="s">
        <v>2159</v>
      </c>
      <c r="J270" s="469"/>
    </row>
    <row r="271" spans="1:10" x14ac:dyDescent="0.2">
      <c r="A271" s="200">
        <f t="shared" si="22"/>
        <v>706</v>
      </c>
      <c r="B271" s="785">
        <v>283.22899999999998</v>
      </c>
      <c r="C271" s="786" t="s">
        <v>2272</v>
      </c>
      <c r="D271" s="787">
        <v>1252400.53</v>
      </c>
      <c r="E271" s="249">
        <f t="shared" si="23"/>
        <v>1252400.53</v>
      </c>
      <c r="F271" s="249"/>
      <c r="G271" s="249"/>
      <c r="H271" s="249"/>
      <c r="I271" s="469" t="s">
        <v>2159</v>
      </c>
      <c r="J271" s="469"/>
    </row>
    <row r="272" spans="1:10" x14ac:dyDescent="0.2">
      <c r="A272" s="200">
        <f t="shared" si="22"/>
        <v>707</v>
      </c>
      <c r="B272" s="785">
        <v>283.24200000000002</v>
      </c>
      <c r="C272" s="786" t="s">
        <v>2273</v>
      </c>
      <c r="D272" s="787">
        <v>-1106823.21</v>
      </c>
      <c r="E272" s="249">
        <f t="shared" si="23"/>
        <v>-1106823.21</v>
      </c>
      <c r="F272" s="249"/>
      <c r="G272" s="249"/>
      <c r="H272" s="249"/>
      <c r="I272" s="469" t="s">
        <v>2159</v>
      </c>
      <c r="J272" s="469"/>
    </row>
    <row r="273" spans="1:10" x14ac:dyDescent="0.2">
      <c r="A273" s="200">
        <f t="shared" si="22"/>
        <v>708</v>
      </c>
      <c r="B273" s="785">
        <v>283.25700000000001</v>
      </c>
      <c r="C273" s="786" t="s">
        <v>2274</v>
      </c>
      <c r="D273" s="787">
        <v>-2.21</v>
      </c>
      <c r="E273" s="249">
        <f t="shared" si="23"/>
        <v>-2.21</v>
      </c>
      <c r="F273" s="249"/>
      <c r="G273" s="249"/>
      <c r="H273" s="249"/>
      <c r="I273" s="469" t="s">
        <v>2159</v>
      </c>
      <c r="J273" s="469"/>
    </row>
    <row r="274" spans="1:10" x14ac:dyDescent="0.2">
      <c r="A274" s="200">
        <f t="shared" si="22"/>
        <v>709</v>
      </c>
      <c r="B274" s="785">
        <v>283.25799999999998</v>
      </c>
      <c r="C274" s="786" t="s">
        <v>2275</v>
      </c>
      <c r="D274" s="787">
        <v>4057792</v>
      </c>
      <c r="E274" s="249">
        <f t="shared" si="23"/>
        <v>4057792</v>
      </c>
      <c r="F274" s="249"/>
      <c r="G274" s="249"/>
      <c r="H274" s="249"/>
      <c r="I274" s="469" t="s">
        <v>2159</v>
      </c>
      <c r="J274" s="469"/>
    </row>
    <row r="275" spans="1:10" x14ac:dyDescent="0.2">
      <c r="A275" s="200">
        <f t="shared" si="22"/>
        <v>710</v>
      </c>
      <c r="B275" s="785">
        <v>283.28300000000002</v>
      </c>
      <c r="C275" s="786" t="s">
        <v>2276</v>
      </c>
      <c r="D275" s="787">
        <v>-3519073.87</v>
      </c>
      <c r="E275" s="249">
        <f t="shared" si="23"/>
        <v>-3519073.87</v>
      </c>
      <c r="F275" s="249"/>
      <c r="G275" s="249"/>
      <c r="H275" s="249"/>
      <c r="I275" s="469" t="s">
        <v>2159</v>
      </c>
      <c r="J275" s="469"/>
    </row>
    <row r="276" spans="1:10" x14ac:dyDescent="0.2">
      <c r="A276" s="200">
        <f t="shared" si="22"/>
        <v>711</v>
      </c>
      <c r="B276" s="785">
        <v>283.28300000000002</v>
      </c>
      <c r="C276" s="786" t="s">
        <v>2276</v>
      </c>
      <c r="D276" s="787">
        <v>177406.72</v>
      </c>
      <c r="E276" s="249">
        <f t="shared" si="23"/>
        <v>177406.72</v>
      </c>
      <c r="F276" s="249"/>
      <c r="G276" s="249"/>
      <c r="H276" s="249"/>
      <c r="I276" s="469" t="s">
        <v>2159</v>
      </c>
      <c r="J276" s="469"/>
    </row>
    <row r="277" spans="1:10" x14ac:dyDescent="0.2">
      <c r="A277" s="200">
        <f t="shared" si="22"/>
        <v>712</v>
      </c>
      <c r="B277" s="785">
        <v>283.29500000000002</v>
      </c>
      <c r="C277" s="786" t="s">
        <v>2277</v>
      </c>
      <c r="D277" s="787">
        <v>7066.82</v>
      </c>
      <c r="E277" s="249">
        <f t="shared" si="23"/>
        <v>7066.82</v>
      </c>
      <c r="F277" s="249"/>
      <c r="G277" s="249"/>
      <c r="H277" s="249"/>
      <c r="I277" s="469" t="s">
        <v>2159</v>
      </c>
      <c r="J277" s="469"/>
    </row>
    <row r="278" spans="1:10" x14ac:dyDescent="0.2">
      <c r="A278" s="200">
        <f t="shared" si="22"/>
        <v>713</v>
      </c>
      <c r="B278" s="797" t="s">
        <v>578</v>
      </c>
      <c r="C278" s="786"/>
      <c r="D278" s="787"/>
      <c r="E278" s="249"/>
      <c r="F278" s="249"/>
      <c r="G278" s="249"/>
      <c r="H278" s="249"/>
      <c r="I278" s="469"/>
      <c r="J278" s="469"/>
    </row>
    <row r="279" spans="1:10" x14ac:dyDescent="0.2">
      <c r="A279" s="117"/>
      <c r="B279" s="790"/>
      <c r="C279" s="791"/>
      <c r="D279" s="792"/>
      <c r="E279" s="248"/>
      <c r="F279" s="248"/>
      <c r="G279" s="248"/>
      <c r="H279" s="248"/>
      <c r="I279" s="254"/>
      <c r="J279" s="254"/>
    </row>
    <row r="280" spans="1:10" x14ac:dyDescent="0.2">
      <c r="A280" s="117"/>
      <c r="B280" s="796"/>
      <c r="C280" s="88" t="s">
        <v>406</v>
      </c>
      <c r="D280" s="88" t="s">
        <v>390</v>
      </c>
      <c r="E280" s="88" t="s">
        <v>391</v>
      </c>
      <c r="F280" s="88" t="s">
        <v>392</v>
      </c>
      <c r="G280" s="88" t="s">
        <v>393</v>
      </c>
      <c r="H280" s="88" t="s">
        <v>394</v>
      </c>
      <c r="I280" s="395" t="s">
        <v>209</v>
      </c>
      <c r="J280" s="244"/>
    </row>
    <row r="281" spans="1:10" x14ac:dyDescent="0.2">
      <c r="A281" s="117">
        <v>800</v>
      </c>
      <c r="B281" s="244"/>
      <c r="C281" s="651" t="s">
        <v>2278</v>
      </c>
      <c r="D281" s="652">
        <f>SUM(D265:D278)</f>
        <v>-165936263.51000002</v>
      </c>
      <c r="E281" s="652">
        <f>SUM(E265:E278)</f>
        <v>-165936263.51000002</v>
      </c>
      <c r="F281" s="652">
        <f>SUM(F265:F278)</f>
        <v>0</v>
      </c>
      <c r="G281" s="652">
        <f>SUM(G265:G278)</f>
        <v>0</v>
      </c>
      <c r="H281" s="652">
        <f>SUM(H265:H278)</f>
        <v>0</v>
      </c>
      <c r="I281" s="621" t="str">
        <f>"Sum of Above Lines beginning on Line "&amp;A265&amp;""</f>
        <v>Sum of Above Lines beginning on Line 700</v>
      </c>
      <c r="J281" s="244"/>
    </row>
    <row r="282" spans="1:10" x14ac:dyDescent="0.2">
      <c r="A282" s="117"/>
      <c r="B282" s="244"/>
      <c r="C282" s="651"/>
      <c r="D282" s="652"/>
      <c r="E282" s="652"/>
      <c r="F282" s="652"/>
      <c r="G282" s="652"/>
      <c r="H282" s="652"/>
      <c r="I282" s="621"/>
      <c r="J282" s="244"/>
    </row>
    <row r="283" spans="1:10" x14ac:dyDescent="0.2">
      <c r="A283" s="117">
        <f>A281+1</f>
        <v>801</v>
      </c>
      <c r="B283" s="244"/>
      <c r="C283" s="651" t="s">
        <v>2279</v>
      </c>
      <c r="D283" s="652">
        <f>D261+D281</f>
        <v>-3167359887.1600003</v>
      </c>
      <c r="E283" s="652">
        <f t="shared" ref="E283:G283" si="24">E261+E281</f>
        <v>-3008699191.7127795</v>
      </c>
      <c r="F283" s="652">
        <f t="shared" si="24"/>
        <v>-1088580.0827037292</v>
      </c>
      <c r="G283" s="652">
        <f t="shared" si="24"/>
        <v>-155644783.43591523</v>
      </c>
      <c r="H283" s="652">
        <f>H261+H281</f>
        <v>-1927331.9286018545</v>
      </c>
      <c r="I283" s="1090" t="str">
        <f>"Line "&amp;A261&amp;" + Line "&amp;A281&amp;""</f>
        <v>Line 650 + Line 800</v>
      </c>
      <c r="J283" s="244"/>
    </row>
    <row r="284" spans="1:10" x14ac:dyDescent="0.2">
      <c r="A284" s="802">
        <f>+A283+1</f>
        <v>802</v>
      </c>
      <c r="B284" s="883"/>
      <c r="C284" s="883" t="s">
        <v>2357</v>
      </c>
      <c r="D284" s="1196"/>
      <c r="E284" s="1196"/>
      <c r="F284" s="910"/>
      <c r="G284" s="1091">
        <f>'27-Allocators'!$G$28</f>
        <v>0.1006119155303325</v>
      </c>
      <c r="H284" s="1091">
        <f>'27-Allocators'!$G$15</f>
        <v>4.0090597826729017E-2</v>
      </c>
      <c r="I284" s="1089" t="str">
        <f>"27-Allocators Lines "&amp;'27-Allocators'!A28&amp;" and "&amp;'27-Allocators'!A15&amp;" respectively."</f>
        <v>27-Allocators Lines 22 and 9 respectively.</v>
      </c>
      <c r="J284" s="244"/>
    </row>
    <row r="285" spans="1:10" x14ac:dyDescent="0.2">
      <c r="A285" s="802">
        <f>+A284+1</f>
        <v>803</v>
      </c>
      <c r="B285" s="883"/>
      <c r="C285" s="883" t="s">
        <v>2361</v>
      </c>
      <c r="D285" s="901">
        <f>SUM(F285:H285)</f>
        <v>-16825567.775723118</v>
      </c>
      <c r="E285" s="901"/>
      <c r="F285" s="904">
        <f>+F283</f>
        <v>-1088580.0827037292</v>
      </c>
      <c r="G285" s="904">
        <f>+G283*G284</f>
        <v>-15659719.803791197</v>
      </c>
      <c r="H285" s="904">
        <f>+H283*H284</f>
        <v>-77267.88922819095</v>
      </c>
      <c r="I285" s="779" t="str">
        <f>"Line "&amp;A283&amp;" * Line "&amp;A284&amp;" for Cols 5 and 6.  Col. 4 100% ISO."</f>
        <v>Line 801 * Line 802 for Cols 5 and 6.  Col. 4 100% ISO.</v>
      </c>
      <c r="J285" s="244"/>
    </row>
    <row r="286" spans="1:10" x14ac:dyDescent="0.2">
      <c r="A286" s="117"/>
      <c r="B286" s="244"/>
      <c r="C286" s="905" t="s">
        <v>2360</v>
      </c>
      <c r="D286" s="652"/>
      <c r="E286" s="652"/>
      <c r="F286" s="652"/>
      <c r="G286" s="652"/>
      <c r="H286" s="652"/>
      <c r="I286" s="779"/>
      <c r="J286" s="246"/>
    </row>
    <row r="287" spans="1:10" x14ac:dyDescent="0.2">
      <c r="A287" s="117"/>
      <c r="B287" s="244"/>
      <c r="C287" s="651"/>
      <c r="D287" s="652"/>
      <c r="E287" s="652"/>
      <c r="F287" s="652"/>
      <c r="G287" s="652"/>
      <c r="H287" s="652"/>
      <c r="I287" s="779"/>
      <c r="J287" s="244"/>
    </row>
    <row r="288" spans="1:10" x14ac:dyDescent="0.2">
      <c r="A288" s="117">
        <f>A285+1</f>
        <v>804</v>
      </c>
      <c r="C288" s="883" t="s">
        <v>2305</v>
      </c>
      <c r="D288" s="906">
        <v>-3167359887</v>
      </c>
      <c r="E288" s="907" t="str">
        <f>"Must match amount on Line "&amp;A283&amp;", Col. 2"</f>
        <v>Must match amount on Line 801, Col. 2</v>
      </c>
      <c r="F288" s="901"/>
      <c r="G288" s="901"/>
      <c r="H288" s="901"/>
      <c r="I288" s="264" t="s">
        <v>1515</v>
      </c>
    </row>
    <row r="289" spans="1:10" x14ac:dyDescent="0.2">
      <c r="A289" s="649"/>
      <c r="B289" s="805"/>
      <c r="C289" s="805"/>
      <c r="D289" s="805"/>
      <c r="E289" s="805"/>
      <c r="F289" s="805"/>
      <c r="G289" s="805"/>
      <c r="H289" s="805"/>
      <c r="I289" s="653"/>
      <c r="J289" s="805"/>
    </row>
    <row r="290" spans="1:10" x14ac:dyDescent="0.2">
      <c r="A290" s="649"/>
      <c r="B290" s="882" t="s">
        <v>2394</v>
      </c>
      <c r="C290" s="805"/>
      <c r="D290" s="805"/>
      <c r="E290" s="805"/>
      <c r="F290" s="805"/>
      <c r="G290" s="805"/>
      <c r="H290" s="805"/>
      <c r="I290" s="805"/>
      <c r="J290" s="805"/>
    </row>
    <row r="291" spans="1:10" x14ac:dyDescent="0.2">
      <c r="A291" s="649"/>
      <c r="B291" s="882"/>
      <c r="C291" s="805"/>
      <c r="D291" s="805"/>
      <c r="E291" s="805"/>
      <c r="F291" s="805"/>
      <c r="G291" s="805"/>
      <c r="H291" s="805"/>
      <c r="I291" s="805"/>
      <c r="J291" s="805"/>
    </row>
    <row r="292" spans="1:10" x14ac:dyDescent="0.2">
      <c r="A292" s="117"/>
      <c r="B292" s="882"/>
      <c r="C292" s="88" t="s">
        <v>406</v>
      </c>
      <c r="D292" s="88" t="s">
        <v>390</v>
      </c>
      <c r="E292" s="88" t="s">
        <v>391</v>
      </c>
      <c r="F292" s="88" t="s">
        <v>392</v>
      </c>
      <c r="G292" s="88" t="s">
        <v>393</v>
      </c>
      <c r="H292" s="88" t="s">
        <v>394</v>
      </c>
      <c r="I292" s="88" t="s">
        <v>395</v>
      </c>
      <c r="J292" s="805"/>
    </row>
    <row r="293" spans="1:10" x14ac:dyDescent="0.2">
      <c r="A293" s="117"/>
      <c r="B293" s="886"/>
      <c r="C293" s="886"/>
      <c r="D293" s="912" t="s">
        <v>2072</v>
      </c>
      <c r="E293" s="912" t="s">
        <v>2073</v>
      </c>
      <c r="F293" s="912"/>
      <c r="G293" s="912"/>
      <c r="H293" s="912" t="s">
        <v>1583</v>
      </c>
      <c r="I293" s="244"/>
      <c r="J293" s="805"/>
    </row>
    <row r="294" spans="1:10" x14ac:dyDescent="0.2">
      <c r="A294" s="117"/>
      <c r="B294" s="890" t="s">
        <v>646</v>
      </c>
      <c r="C294" s="834" t="s">
        <v>2450</v>
      </c>
      <c r="D294" s="913" t="s">
        <v>2076</v>
      </c>
      <c r="E294" s="913" t="s">
        <v>2077</v>
      </c>
      <c r="F294" s="913" t="s">
        <v>2078</v>
      </c>
      <c r="G294" s="913" t="s">
        <v>2079</v>
      </c>
      <c r="H294" s="913" t="s">
        <v>2066</v>
      </c>
      <c r="I294" s="890" t="s">
        <v>114</v>
      </c>
      <c r="J294" s="805"/>
    </row>
    <row r="295" spans="1:10" x14ac:dyDescent="0.2">
      <c r="A295" s="649"/>
      <c r="B295" s="805"/>
      <c r="C295" s="805"/>
      <c r="D295" s="805"/>
      <c r="E295" s="805"/>
      <c r="F295" s="805"/>
      <c r="G295" s="805"/>
      <c r="H295" s="805"/>
      <c r="I295" s="805"/>
      <c r="J295" s="805"/>
    </row>
    <row r="296" spans="1:10" x14ac:dyDescent="0.2">
      <c r="A296" s="117">
        <f>A288+1</f>
        <v>805</v>
      </c>
      <c r="B296" s="813">
        <v>236</v>
      </c>
      <c r="C296" s="651" t="s">
        <v>2356</v>
      </c>
      <c r="D296" s="738">
        <v>-138839008</v>
      </c>
      <c r="E296" s="738"/>
      <c r="F296" s="738"/>
      <c r="G296" s="738"/>
      <c r="H296" s="667"/>
      <c r="I296" s="648" t="s">
        <v>2391</v>
      </c>
      <c r="J296" s="651"/>
    </row>
    <row r="297" spans="1:10" x14ac:dyDescent="0.2">
      <c r="A297" s="117">
        <f>A296+1</f>
        <v>806</v>
      </c>
      <c r="B297" s="813"/>
      <c r="C297" s="651" t="s">
        <v>2390</v>
      </c>
      <c r="D297" s="738">
        <v>54808538</v>
      </c>
      <c r="E297" s="738"/>
      <c r="F297" s="738"/>
      <c r="G297" s="738"/>
      <c r="H297" s="667"/>
      <c r="I297" s="648" t="s">
        <v>246</v>
      </c>
      <c r="J297" s="651"/>
    </row>
    <row r="298" spans="1:10" x14ac:dyDescent="0.2">
      <c r="A298" s="117">
        <f t="shared" ref="A298:A299" si="25">A297+1</f>
        <v>807</v>
      </c>
      <c r="B298" s="813"/>
      <c r="C298" s="651" t="s">
        <v>2393</v>
      </c>
      <c r="D298" s="709">
        <f>D296+D297</f>
        <v>-84030470</v>
      </c>
      <c r="G298" s="709"/>
      <c r="H298" s="651"/>
      <c r="I298" s="779" t="str">
        <f>"Line "&amp;A296&amp;" + Line "&amp;A297&amp;""</f>
        <v>Line 805 + Line 806</v>
      </c>
      <c r="J298" s="651"/>
    </row>
    <row r="299" spans="1:10" x14ac:dyDescent="0.2">
      <c r="A299" s="117">
        <f t="shared" si="25"/>
        <v>808</v>
      </c>
      <c r="B299" s="805"/>
      <c r="C299" s="883" t="s">
        <v>2458</v>
      </c>
      <c r="D299" s="837"/>
      <c r="E299" s="709"/>
      <c r="F299" s="709"/>
      <c r="G299" s="903">
        <f>'27-Allocators'!$G$28</f>
        <v>0.1006119155303325</v>
      </c>
      <c r="H299" s="814"/>
      <c r="I299" s="653" t="s">
        <v>323</v>
      </c>
      <c r="J299" s="649"/>
    </row>
    <row r="300" spans="1:10" x14ac:dyDescent="0.2">
      <c r="A300" s="117">
        <f>+A299+1</f>
        <v>809</v>
      </c>
      <c r="B300" s="650"/>
      <c r="C300" s="649" t="s">
        <v>2450</v>
      </c>
      <c r="D300" s="901">
        <f>E300+G300</f>
        <v>84030470</v>
      </c>
      <c r="E300" s="904">
        <f>-(D298+G300)</f>
        <v>75576003.450385869</v>
      </c>
      <c r="F300" s="904"/>
      <c r="G300" s="904">
        <f>-(D298*G299)</f>
        <v>8454466.5496141389</v>
      </c>
      <c r="H300" s="904"/>
      <c r="I300" s="779" t="str">
        <f>"- Line "&amp;A298&amp;" * Line "&amp;A299&amp;""</f>
        <v>- Line 807 * Line 808</v>
      </c>
      <c r="J300" s="649"/>
    </row>
    <row r="301" spans="1:10" x14ac:dyDescent="0.2">
      <c r="A301" s="802"/>
      <c r="B301" s="883"/>
      <c r="C301" s="914" t="s">
        <v>2460</v>
      </c>
      <c r="D301" s="901"/>
      <c r="E301" s="901"/>
      <c r="F301" s="901"/>
      <c r="G301" s="915"/>
      <c r="H301" s="915"/>
      <c r="I301" s="804" t="s">
        <v>2459</v>
      </c>
      <c r="J301" s="805"/>
    </row>
    <row r="302" spans="1:10" x14ac:dyDescent="0.2">
      <c r="A302" s="117"/>
      <c r="B302" s="650"/>
      <c r="C302" s="905"/>
      <c r="D302" s="901"/>
      <c r="E302" s="901"/>
      <c r="F302" s="901"/>
      <c r="G302" s="901"/>
      <c r="H302" s="901"/>
      <c r="I302" s="805"/>
      <c r="J302" s="805"/>
    </row>
    <row r="303" spans="1:10" x14ac:dyDescent="0.2">
      <c r="A303" s="649"/>
      <c r="B303" s="805"/>
      <c r="C303" s="815" t="s">
        <v>2395</v>
      </c>
      <c r="D303" s="805"/>
      <c r="E303" s="805"/>
      <c r="F303" s="805"/>
      <c r="G303" s="805"/>
      <c r="H303" s="805"/>
      <c r="I303" s="805"/>
      <c r="J303" s="805"/>
    </row>
    <row r="304" spans="1:10" x14ac:dyDescent="0.2">
      <c r="B304"/>
      <c r="C304" s="1070" t="s">
        <v>3161</v>
      </c>
      <c r="D304" s="920"/>
      <c r="E304" s="920"/>
      <c r="F304" s="920"/>
      <c r="G304" s="920"/>
      <c r="H304"/>
      <c r="I304"/>
      <c r="J304"/>
    </row>
    <row r="305" spans="2:10" x14ac:dyDescent="0.2">
      <c r="B305"/>
      <c r="C305" s="1070" t="s">
        <v>3154</v>
      </c>
      <c r="D305" s="920"/>
      <c r="E305" s="920"/>
      <c r="F305" s="920"/>
      <c r="G305" s="920"/>
      <c r="H305"/>
      <c r="I305"/>
      <c r="J305"/>
    </row>
    <row r="306" spans="2:10" x14ac:dyDescent="0.2">
      <c r="B306"/>
      <c r="C306" s="1070" t="s">
        <v>3155</v>
      </c>
      <c r="D306" s="920"/>
      <c r="E306" s="920"/>
      <c r="F306" s="920"/>
      <c r="G306" s="920"/>
      <c r="H306"/>
      <c r="I306"/>
      <c r="J306"/>
    </row>
    <row r="307" spans="2:10" x14ac:dyDescent="0.2">
      <c r="B307"/>
      <c r="C307" s="254" t="str">
        <f>"Note 3:  Allocate 'Remaining Amount of FIT Payable' based on Transmission Plant Allocation Factor (27-Allocators, Line "&amp;'27-Allocators'!A28&amp;")"</f>
        <v>Note 3:  Allocate 'Remaining Amount of FIT Payable' based on Transmission Plant Allocation Factor (27-Allocators, Line 22)</v>
      </c>
      <c r="D307" s="920"/>
      <c r="E307" s="920"/>
      <c r="F307" s="920"/>
      <c r="G307" s="920"/>
      <c r="H307"/>
      <c r="I307"/>
      <c r="J307"/>
    </row>
    <row r="308" spans="2:10" x14ac:dyDescent="0.2">
      <c r="B308"/>
      <c r="C308" s="244" t="s">
        <v>2392</v>
      </c>
      <c r="H308"/>
      <c r="I308"/>
      <c r="J308"/>
    </row>
    <row r="309" spans="2:10" x14ac:dyDescent="0.2">
      <c r="B309"/>
      <c r="C309" s="254" t="s">
        <v>2861</v>
      </c>
      <c r="D309" s="254"/>
      <c r="E309" s="254"/>
      <c r="F309" s="254"/>
      <c r="G309" s="254"/>
      <c r="J309"/>
    </row>
    <row r="310" spans="2:10" x14ac:dyDescent="0.2">
      <c r="B310"/>
      <c r="C310" s="254" t="s">
        <v>2862</v>
      </c>
      <c r="D310" s="254"/>
      <c r="E310" s="254"/>
      <c r="F310" s="254"/>
      <c r="G310" s="254"/>
      <c r="J310"/>
    </row>
    <row r="311" spans="2:10" x14ac:dyDescent="0.2">
      <c r="B311"/>
      <c r="C311" s="254"/>
      <c r="D311" s="254"/>
      <c r="E311" s="254"/>
      <c r="F311" s="254"/>
      <c r="G311" s="254"/>
      <c r="J311"/>
    </row>
    <row r="312" spans="2:10" x14ac:dyDescent="0.2">
      <c r="B312"/>
      <c r="C312" s="254" t="s">
        <v>2863</v>
      </c>
      <c r="D312" s="254"/>
      <c r="E312" s="254"/>
      <c r="F312" s="254"/>
      <c r="G312" s="254"/>
      <c r="J312"/>
    </row>
    <row r="313" spans="2:10" x14ac:dyDescent="0.2">
      <c r="B313"/>
      <c r="C313" s="254" t="s">
        <v>2864</v>
      </c>
      <c r="D313" s="254"/>
      <c r="E313" s="254"/>
      <c r="F313" s="254"/>
      <c r="G313" s="254"/>
      <c r="J313"/>
    </row>
    <row r="314" spans="2:10" x14ac:dyDescent="0.2">
      <c r="B314"/>
      <c r="C314" s="254" t="s">
        <v>2865</v>
      </c>
      <c r="D314" s="254"/>
      <c r="E314" s="254"/>
      <c r="F314" s="254"/>
      <c r="G314" s="254"/>
      <c r="J314"/>
    </row>
    <row r="315" spans="2:10" x14ac:dyDescent="0.2">
      <c r="B315"/>
      <c r="C315" s="14"/>
      <c r="D315" s="14"/>
      <c r="E315" s="117" t="s">
        <v>199</v>
      </c>
      <c r="F315" s="14"/>
      <c r="G315" s="1071" t="s">
        <v>75</v>
      </c>
      <c r="J315"/>
    </row>
    <row r="316" spans="2:10" x14ac:dyDescent="0.2">
      <c r="B316"/>
      <c r="C316" s="14"/>
      <c r="D316" s="14"/>
      <c r="E316" s="131" t="s">
        <v>200</v>
      </c>
      <c r="F316" s="14"/>
      <c r="G316" s="131" t="s">
        <v>201</v>
      </c>
      <c r="J316"/>
    </row>
    <row r="317" spans="2:10" ht="15" x14ac:dyDescent="0.25">
      <c r="B317"/>
      <c r="C317" s="1093" t="s">
        <v>2866</v>
      </c>
      <c r="D317" s="1094"/>
      <c r="E317" s="651" t="s">
        <v>325</v>
      </c>
      <c r="F317" s="1094"/>
      <c r="G317" s="916">
        <v>1108772407</v>
      </c>
      <c r="I317" s="917"/>
      <c r="J317"/>
    </row>
    <row r="318" spans="2:10" ht="15" x14ac:dyDescent="0.25">
      <c r="B318"/>
      <c r="C318" s="1095" t="s">
        <v>2867</v>
      </c>
      <c r="D318" s="1094"/>
      <c r="E318" s="651" t="s">
        <v>2868</v>
      </c>
      <c r="F318" s="1094"/>
      <c r="G318" s="918">
        <v>550504</v>
      </c>
      <c r="I318" s="917"/>
      <c r="J318"/>
    </row>
    <row r="319" spans="2:10" ht="15" x14ac:dyDescent="0.25">
      <c r="B319"/>
      <c r="C319" s="1095" t="s">
        <v>2869</v>
      </c>
      <c r="D319" s="1094"/>
      <c r="E319" s="651" t="s">
        <v>2870</v>
      </c>
      <c r="F319" s="1094"/>
      <c r="G319" s="919">
        <v>1185120</v>
      </c>
      <c r="I319" s="917"/>
      <c r="J319"/>
    </row>
    <row r="320" spans="2:10" ht="15" x14ac:dyDescent="0.25">
      <c r="B320"/>
      <c r="C320" s="1093" t="s">
        <v>2871</v>
      </c>
      <c r="D320" s="1094"/>
      <c r="E320" s="651" t="s">
        <v>2872</v>
      </c>
      <c r="F320" s="1094"/>
      <c r="G320" s="1092">
        <f>SUM(G317:G319)</f>
        <v>1110508031</v>
      </c>
      <c r="J320"/>
    </row>
    <row r="321" spans="2:10" x14ac:dyDescent="0.2">
      <c r="B321"/>
      <c r="C321" s="120" t="s">
        <v>2873</v>
      </c>
      <c r="D321" s="14"/>
      <c r="E321" s="868" t="s">
        <v>2874</v>
      </c>
      <c r="F321" s="14"/>
      <c r="G321" s="70">
        <f>(G318+G319)/G320</f>
        <v>1.5629099038906456E-3</v>
      </c>
      <c r="J321"/>
    </row>
    <row r="322" spans="2:10" x14ac:dyDescent="0.2">
      <c r="B322"/>
      <c r="C322" s="1066" t="s">
        <v>2875</v>
      </c>
      <c r="D322" s="920"/>
      <c r="E322" s="920"/>
      <c r="F322" s="920"/>
      <c r="G322" s="920"/>
      <c r="J322"/>
    </row>
    <row r="323" spans="2:10" x14ac:dyDescent="0.2">
      <c r="B323"/>
      <c r="C323" s="14"/>
      <c r="D323" s="14"/>
      <c r="E323" s="117" t="s">
        <v>199</v>
      </c>
      <c r="F323" s="14"/>
      <c r="G323" s="1071" t="s">
        <v>75</v>
      </c>
      <c r="J323"/>
    </row>
    <row r="324" spans="2:10" x14ac:dyDescent="0.2">
      <c r="B324"/>
      <c r="C324" s="14"/>
      <c r="D324" s="14"/>
      <c r="E324" s="131" t="s">
        <v>200</v>
      </c>
      <c r="F324" s="14"/>
      <c r="G324" s="131" t="s">
        <v>201</v>
      </c>
      <c r="J324"/>
    </row>
    <row r="325" spans="2:10" ht="15" x14ac:dyDescent="0.25">
      <c r="B325"/>
      <c r="C325" s="648" t="s">
        <v>2876</v>
      </c>
      <c r="D325" s="1094"/>
      <c r="E325" s="1094" t="s">
        <v>36</v>
      </c>
      <c r="F325" s="1094"/>
      <c r="G325" s="916">
        <v>33240647007</v>
      </c>
      <c r="I325" s="917"/>
      <c r="J325"/>
    </row>
    <row r="326" spans="2:10" ht="15" x14ac:dyDescent="0.25">
      <c r="B326"/>
      <c r="C326" s="1095" t="s">
        <v>2877</v>
      </c>
      <c r="D326" s="1094"/>
      <c r="E326" s="1094" t="s">
        <v>2878</v>
      </c>
      <c r="F326" s="1094"/>
      <c r="G326" s="918">
        <v>4101394</v>
      </c>
      <c r="J326"/>
    </row>
    <row r="327" spans="2:10" ht="15" x14ac:dyDescent="0.25">
      <c r="B327"/>
      <c r="C327" s="1095" t="s">
        <v>2879</v>
      </c>
      <c r="D327" s="1094"/>
      <c r="E327" s="1094" t="s">
        <v>2880</v>
      </c>
      <c r="F327" s="1094"/>
      <c r="G327" s="919">
        <v>26694473</v>
      </c>
      <c r="I327" s="917"/>
      <c r="J327"/>
    </row>
    <row r="328" spans="2:10" ht="15" x14ac:dyDescent="0.25">
      <c r="B328"/>
      <c r="C328" s="648" t="s">
        <v>2881</v>
      </c>
      <c r="D328" s="1094"/>
      <c r="E328" s="651" t="s">
        <v>2882</v>
      </c>
      <c r="F328" s="1094"/>
      <c r="G328" s="1092">
        <f>SUM(G325:G327)</f>
        <v>33271442874</v>
      </c>
      <c r="J328"/>
    </row>
    <row r="329" spans="2:10" x14ac:dyDescent="0.2">
      <c r="B329"/>
      <c r="C329" s="120" t="s">
        <v>2883</v>
      </c>
      <c r="D329" s="14"/>
      <c r="E329" s="868" t="s">
        <v>2884</v>
      </c>
      <c r="F329" s="14"/>
      <c r="G329" s="70">
        <f>(G326+G327)/G328</f>
        <v>9.255945742006115E-4</v>
      </c>
      <c r="J329"/>
    </row>
    <row r="330" spans="2:10" x14ac:dyDescent="0.2">
      <c r="B330"/>
      <c r="C330" s="254" t="s">
        <v>3163</v>
      </c>
      <c r="D330" s="920"/>
      <c r="E330" s="920"/>
      <c r="F330" s="920"/>
      <c r="G330" s="920"/>
      <c r="H330" s="920"/>
      <c r="I330" s="920"/>
      <c r="J330" s="14"/>
    </row>
    <row r="331" spans="2:10" x14ac:dyDescent="0.2">
      <c r="B331"/>
      <c r="C331" s="254" t="s">
        <v>3058</v>
      </c>
      <c r="D331" s="920"/>
      <c r="E331" s="920"/>
      <c r="F331" s="920"/>
      <c r="G331" s="920"/>
      <c r="H331" s="920"/>
      <c r="I331" s="920"/>
      <c r="J331" s="14"/>
    </row>
    <row r="332" spans="2:10" x14ac:dyDescent="0.2">
      <c r="B332"/>
      <c r="C332" s="254" t="s">
        <v>3059</v>
      </c>
      <c r="D332" s="920"/>
      <c r="E332" s="920"/>
      <c r="F332" s="920"/>
      <c r="G332" s="920"/>
      <c r="H332" s="920"/>
      <c r="I332" s="920"/>
      <c r="J332" s="14"/>
    </row>
    <row r="333" spans="2:10" x14ac:dyDescent="0.2">
      <c r="B333"/>
      <c r="C333" s="254" t="s">
        <v>3164</v>
      </c>
      <c r="D333" s="920"/>
      <c r="E333" s="920"/>
      <c r="F333" s="920"/>
      <c r="G333" s="920"/>
      <c r="H333" s="920"/>
      <c r="I333" s="920"/>
      <c r="J333" s="14"/>
    </row>
    <row r="334" spans="2:10" x14ac:dyDescent="0.2">
      <c r="C334" s="651" t="s">
        <v>3165</v>
      </c>
      <c r="D334" s="1096"/>
      <c r="E334" s="1096"/>
      <c r="F334" s="1096"/>
      <c r="G334" s="1096"/>
      <c r="H334" s="1096"/>
      <c r="I334" s="1096"/>
      <c r="J334" s="920"/>
    </row>
    <row r="337" spans="3:3" ht="15.75" x14ac:dyDescent="0.25">
      <c r="C337" s="875"/>
    </row>
  </sheetData>
  <protectedRanges>
    <protectedRange password="F1C4" sqref="D20:E30 H32:J32 F32:F34 F25:F30 B45:E46 F45 B43 B47:D47 B58:E59 F58 D65 F65 B32:E32 B31:D31 B89 H34:J34 H33 J33 H35 J35 I49 I59 I160 I39:I40 I185 I187:I189 I191 I35:I37 I43:I45 I52 I63:I64 I71 I79:I90 I154:I155 I193:I211 I219:I220 I223 I230:I237 I240:I243 I245:I255 I94:I111 I213:I216 B7:C12 F20 E15:E19 D14:D15 D17:D18 B14:C30 B13 B34:E35 B33:D33" name="AAReport1_23_1_1_2"/>
    <protectedRange password="F1C4" sqref="D19" name="AAReport1_23_1_1_1_1"/>
  </protectedRanges>
  <phoneticPr fontId="10" type="noConversion"/>
  <conditionalFormatting sqref="B210">
    <cfRule type="expression" dxfId="10" priority="4" stopIfTrue="1">
      <formula>Formulas</formula>
    </cfRule>
  </conditionalFormatting>
  <conditionalFormatting sqref="B184:B209 B265:B279 D265:D279 D230:D258 B230:B258 B211:B224 D184:D224">
    <cfRule type="expression" dxfId="9" priority="5" stopIfTrue="1">
      <formula>Formulas</formula>
    </cfRule>
  </conditionalFormatting>
  <conditionalFormatting sqref="C184:C209 C265:C279 C230:C258 C211:C224">
    <cfRule type="expression" dxfId="8" priority="3" stopIfTrue="1">
      <formula>#REF!&lt;&gt;""</formula>
    </cfRule>
  </conditionalFormatting>
  <conditionalFormatting sqref="C210">
    <cfRule type="expression" dxfId="7" priority="2" stopIfTrue="1">
      <formula>#REF!&lt;&gt;""</formula>
    </cfRule>
  </conditionalFormatting>
  <conditionalFormatting sqref="C159">
    <cfRule type="expression" dxfId="6" priority="1" stopIfTrue="1">
      <formula>#REF!&lt;&gt;""</formula>
    </cfRule>
  </conditionalFormatting>
  <pageMargins left="0.75" right="0.75" top="1" bottom="1" header="0.5" footer="0.5"/>
  <pageSetup scale="65" orientation="landscape" cellComments="asDisplayed" r:id="rId1"/>
  <headerFooter alignWithMargins="0">
    <oddHeader>&amp;CSchedule 9
ADIT
&amp;"Arial,Bold"Exhibit G-1</oddHeader>
    <oddFooter>&amp;R&amp;A</oddFooter>
  </headerFooter>
  <rowBreaks count="6" manualBreakCount="6">
    <brk id="24" max="16383" man="1"/>
    <brk id="73" max="16383" man="1"/>
    <brk id="115" max="16383" man="1"/>
    <brk id="169" max="16383" man="1"/>
    <brk id="224" max="16383" man="1"/>
    <brk id="2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1"/>
  <sheetViews>
    <sheetView zoomScale="90" zoomScaleNormal="90" workbookViewId="0"/>
  </sheetViews>
  <sheetFormatPr defaultRowHeight="12.75" x14ac:dyDescent="0.2"/>
  <cols>
    <col min="1" max="1" width="4.7109375" customWidth="1"/>
    <col min="2" max="2" width="12.7109375" customWidth="1"/>
    <col min="3" max="3" width="8.7109375" customWidth="1"/>
    <col min="4" max="4" width="13.5703125" bestFit="1" customWidth="1"/>
    <col min="5" max="5" width="18.7109375" customWidth="1"/>
    <col min="6" max="6" width="16.140625" customWidth="1"/>
    <col min="7" max="7" width="13.42578125" customWidth="1"/>
    <col min="8" max="8" width="13.42578125" bestFit="1" customWidth="1"/>
    <col min="9" max="9" width="17.140625" customWidth="1"/>
    <col min="10" max="10" width="15.42578125" customWidth="1"/>
    <col min="11" max="11" width="17.28515625" customWidth="1"/>
    <col min="12" max="12" width="14.7109375" bestFit="1" customWidth="1"/>
    <col min="13" max="13" width="13.140625" bestFit="1" customWidth="1"/>
  </cols>
  <sheetData>
    <row r="1" spans="1:12" x14ac:dyDescent="0.2">
      <c r="A1" s="1" t="s">
        <v>609</v>
      </c>
      <c r="K1" s="1"/>
    </row>
    <row r="2" spans="1:12" x14ac:dyDescent="0.2">
      <c r="A2" s="1"/>
      <c r="K2" s="1"/>
    </row>
    <row r="3" spans="1:12" x14ac:dyDescent="0.2">
      <c r="A3" s="1"/>
      <c r="B3" s="649" t="s">
        <v>1058</v>
      </c>
      <c r="K3" s="1"/>
    </row>
    <row r="4" spans="1:12" x14ac:dyDescent="0.2">
      <c r="B4" s="649" t="s">
        <v>613</v>
      </c>
      <c r="K4" s="1"/>
      <c r="L4" s="649"/>
    </row>
    <row r="5" spans="1:12" x14ac:dyDescent="0.2">
      <c r="B5" s="649"/>
      <c r="K5" s="1"/>
    </row>
    <row r="6" spans="1:12" x14ac:dyDescent="0.2">
      <c r="A6" s="649"/>
      <c r="B6" s="1" t="s">
        <v>1530</v>
      </c>
      <c r="K6" s="1"/>
    </row>
    <row r="7" spans="1:12" x14ac:dyDescent="0.2">
      <c r="A7" s="649"/>
      <c r="B7" s="1"/>
      <c r="D7" s="88" t="s">
        <v>406</v>
      </c>
      <c r="E7" s="88" t="s">
        <v>390</v>
      </c>
      <c r="F7" s="88" t="s">
        <v>391</v>
      </c>
      <c r="G7" s="88" t="s">
        <v>392</v>
      </c>
      <c r="H7" s="88" t="s">
        <v>393</v>
      </c>
      <c r="I7" s="88" t="s">
        <v>394</v>
      </c>
      <c r="J7" s="385"/>
      <c r="K7" s="1"/>
      <c r="L7" s="88"/>
    </row>
    <row r="8" spans="1:12" x14ac:dyDescent="0.2">
      <c r="D8" s="650" t="s">
        <v>1094</v>
      </c>
      <c r="J8" s="14"/>
      <c r="K8" s="14"/>
    </row>
    <row r="9" spans="1:12" x14ac:dyDescent="0.2">
      <c r="D9" s="722" t="s">
        <v>617</v>
      </c>
      <c r="J9" s="14"/>
      <c r="K9" s="14"/>
    </row>
    <row r="10" spans="1:12" x14ac:dyDescent="0.2">
      <c r="B10" s="839"/>
      <c r="J10" s="14"/>
      <c r="K10" s="14"/>
    </row>
    <row r="11" spans="1:12" x14ac:dyDescent="0.2">
      <c r="B11" s="839"/>
      <c r="D11" s="839" t="s">
        <v>20</v>
      </c>
      <c r="F11" s="839" t="s">
        <v>386</v>
      </c>
      <c r="G11" s="839" t="s">
        <v>389</v>
      </c>
      <c r="H11" s="839"/>
      <c r="I11" s="839"/>
      <c r="J11" s="117"/>
      <c r="K11" s="649"/>
    </row>
    <row r="12" spans="1:12" x14ac:dyDescent="0.2">
      <c r="A12" s="53" t="s">
        <v>372</v>
      </c>
      <c r="B12" s="921" t="s">
        <v>222</v>
      </c>
      <c r="C12" s="921" t="s">
        <v>223</v>
      </c>
      <c r="D12" s="3" t="s">
        <v>611</v>
      </c>
      <c r="E12" s="3" t="s">
        <v>260</v>
      </c>
      <c r="F12" s="3" t="s">
        <v>387</v>
      </c>
      <c r="G12" s="3" t="s">
        <v>388</v>
      </c>
      <c r="H12" s="3" t="s">
        <v>614</v>
      </c>
      <c r="I12" s="3" t="s">
        <v>615</v>
      </c>
      <c r="J12" s="131"/>
      <c r="K12" s="649"/>
    </row>
    <row r="13" spans="1:12" x14ac:dyDescent="0.2">
      <c r="A13" s="839">
        <v>1</v>
      </c>
      <c r="B13" s="922" t="s">
        <v>210</v>
      </c>
      <c r="C13" s="923">
        <v>2009</v>
      </c>
      <c r="D13" s="7">
        <f>SUM(E13:I13)+SUM(D33:G33)</f>
        <v>162123247.34999999</v>
      </c>
      <c r="E13" s="766">
        <v>125528276.55</v>
      </c>
      <c r="F13" s="113">
        <v>36594970.799999997</v>
      </c>
      <c r="G13" s="113">
        <v>0</v>
      </c>
      <c r="H13" s="113">
        <v>0</v>
      </c>
      <c r="I13" s="113">
        <v>0</v>
      </c>
      <c r="J13" s="924"/>
    </row>
    <row r="14" spans="1:12" x14ac:dyDescent="0.2">
      <c r="A14" s="839">
        <f>A13+1</f>
        <v>2</v>
      </c>
      <c r="B14" s="922" t="s">
        <v>211</v>
      </c>
      <c r="C14" s="923">
        <v>2010</v>
      </c>
      <c r="D14" s="7">
        <f t="shared" ref="D14:D25" si="0">SUM(E14:I14)+SUM(D34:G34)</f>
        <v>174876495.34999999</v>
      </c>
      <c r="E14" s="766">
        <v>138491130.31</v>
      </c>
      <c r="F14" s="113">
        <v>36385365.039999999</v>
      </c>
      <c r="G14" s="113">
        <v>0</v>
      </c>
      <c r="H14" s="113">
        <v>0</v>
      </c>
      <c r="I14" s="113">
        <v>0</v>
      </c>
      <c r="J14" s="924"/>
    </row>
    <row r="15" spans="1:12" x14ac:dyDescent="0.2">
      <c r="A15" s="839">
        <f t="shared" ref="A15:A26" si="1">A14+1</f>
        <v>3</v>
      </c>
      <c r="B15" s="925" t="s">
        <v>212</v>
      </c>
      <c r="C15" s="923">
        <v>2010</v>
      </c>
      <c r="D15" s="7">
        <f t="shared" si="0"/>
        <v>197686688.09</v>
      </c>
      <c r="E15" s="766">
        <v>161217489.81</v>
      </c>
      <c r="F15" s="113">
        <v>36469198.280000001</v>
      </c>
      <c r="G15" s="113">
        <v>0</v>
      </c>
      <c r="H15" s="113">
        <v>0</v>
      </c>
      <c r="I15" s="113">
        <v>0</v>
      </c>
      <c r="J15" s="924"/>
    </row>
    <row r="16" spans="1:12" x14ac:dyDescent="0.2">
      <c r="A16" s="839">
        <f t="shared" si="1"/>
        <v>4</v>
      </c>
      <c r="B16" s="925" t="s">
        <v>225</v>
      </c>
      <c r="C16" s="923">
        <v>2010</v>
      </c>
      <c r="D16" s="7">
        <f t="shared" si="0"/>
        <v>215338171.31999999</v>
      </c>
      <c r="E16" s="766">
        <v>177606628.31999999</v>
      </c>
      <c r="F16" s="113">
        <v>37731543</v>
      </c>
      <c r="G16" s="113">
        <v>0</v>
      </c>
      <c r="H16" s="113">
        <v>0</v>
      </c>
      <c r="I16" s="113">
        <v>0</v>
      </c>
      <c r="J16" s="924"/>
    </row>
    <row r="17" spans="1:11" x14ac:dyDescent="0.2">
      <c r="A17" s="839">
        <f t="shared" si="1"/>
        <v>5</v>
      </c>
      <c r="B17" s="922" t="s">
        <v>213</v>
      </c>
      <c r="C17" s="923">
        <v>2010</v>
      </c>
      <c r="D17" s="7">
        <f t="shared" si="0"/>
        <v>245462601.95999998</v>
      </c>
      <c r="E17" s="766">
        <v>206825887.41999999</v>
      </c>
      <c r="F17" s="113">
        <v>38636714.539999999</v>
      </c>
      <c r="G17" s="113">
        <v>0</v>
      </c>
      <c r="H17" s="113">
        <v>0</v>
      </c>
      <c r="I17" s="113">
        <v>0</v>
      </c>
      <c r="J17" s="924"/>
    </row>
    <row r="18" spans="1:11" x14ac:dyDescent="0.2">
      <c r="A18" s="839">
        <f t="shared" si="1"/>
        <v>6</v>
      </c>
      <c r="B18" s="925" t="s">
        <v>214</v>
      </c>
      <c r="C18" s="923">
        <v>2010</v>
      </c>
      <c r="D18" s="7">
        <f t="shared" si="0"/>
        <v>280341550.19999999</v>
      </c>
      <c r="E18" s="766">
        <v>240319999.25999999</v>
      </c>
      <c r="F18" s="113">
        <v>40021550.939999998</v>
      </c>
      <c r="G18" s="113">
        <v>0</v>
      </c>
      <c r="H18" s="113">
        <v>0</v>
      </c>
      <c r="I18" s="113">
        <v>0</v>
      </c>
      <c r="J18" s="924"/>
    </row>
    <row r="19" spans="1:11" x14ac:dyDescent="0.2">
      <c r="A19" s="839">
        <f t="shared" si="1"/>
        <v>7</v>
      </c>
      <c r="B19" s="925" t="s">
        <v>215</v>
      </c>
      <c r="C19" s="923">
        <v>2010</v>
      </c>
      <c r="D19" s="7">
        <f t="shared" si="0"/>
        <v>295361981.29000002</v>
      </c>
      <c r="E19" s="766">
        <v>261950967.59999999</v>
      </c>
      <c r="F19" s="113">
        <v>33411013.690000001</v>
      </c>
      <c r="G19" s="113">
        <v>0</v>
      </c>
      <c r="H19" s="113">
        <v>0</v>
      </c>
      <c r="I19" s="113">
        <v>0</v>
      </c>
      <c r="J19" s="924"/>
    </row>
    <row r="20" spans="1:11" x14ac:dyDescent="0.2">
      <c r="A20" s="839">
        <f t="shared" si="1"/>
        <v>8</v>
      </c>
      <c r="B20" s="922" t="s">
        <v>216</v>
      </c>
      <c r="C20" s="923">
        <v>2010</v>
      </c>
      <c r="D20" s="7">
        <f t="shared" si="0"/>
        <v>351889161.67000002</v>
      </c>
      <c r="E20" s="766">
        <v>317477599.41000003</v>
      </c>
      <c r="F20" s="113">
        <v>34411562.259999998</v>
      </c>
      <c r="G20" s="113">
        <v>0</v>
      </c>
      <c r="H20" s="113">
        <v>0</v>
      </c>
      <c r="I20" s="113">
        <v>0</v>
      </c>
      <c r="J20" s="924"/>
    </row>
    <row r="21" spans="1:11" x14ac:dyDescent="0.2">
      <c r="A21" s="839">
        <f t="shared" si="1"/>
        <v>9</v>
      </c>
      <c r="B21" s="925" t="s">
        <v>217</v>
      </c>
      <c r="C21" s="923">
        <v>2010</v>
      </c>
      <c r="D21" s="7">
        <f t="shared" si="0"/>
        <v>389243840.92000002</v>
      </c>
      <c r="E21" s="766">
        <v>353565781.12</v>
      </c>
      <c r="F21" s="113">
        <v>35678059.799999997</v>
      </c>
      <c r="G21" s="113">
        <v>0</v>
      </c>
      <c r="H21" s="113">
        <v>0</v>
      </c>
      <c r="I21" s="113">
        <v>0</v>
      </c>
      <c r="J21" s="924"/>
    </row>
    <row r="22" spans="1:11" x14ac:dyDescent="0.2">
      <c r="A22" s="839">
        <f t="shared" si="1"/>
        <v>10</v>
      </c>
      <c r="B22" s="925" t="s">
        <v>218</v>
      </c>
      <c r="C22" s="923">
        <v>2010</v>
      </c>
      <c r="D22" s="7">
        <f t="shared" si="0"/>
        <v>425372826.28000003</v>
      </c>
      <c r="E22" s="766">
        <v>387718493.99000001</v>
      </c>
      <c r="F22" s="113">
        <v>37654332.289999999</v>
      </c>
      <c r="G22" s="113">
        <v>0</v>
      </c>
      <c r="H22" s="113">
        <v>0</v>
      </c>
      <c r="I22" s="113">
        <v>0</v>
      </c>
      <c r="J22" s="924"/>
    </row>
    <row r="23" spans="1:11" x14ac:dyDescent="0.2">
      <c r="A23" s="839">
        <f t="shared" si="1"/>
        <v>11</v>
      </c>
      <c r="B23" s="922" t="s">
        <v>219</v>
      </c>
      <c r="C23" s="923">
        <v>2010</v>
      </c>
      <c r="D23" s="7">
        <f t="shared" si="0"/>
        <v>467298948.94</v>
      </c>
      <c r="E23" s="766">
        <v>425932656.70999998</v>
      </c>
      <c r="F23" s="113">
        <v>41366292.229999997</v>
      </c>
      <c r="G23" s="113">
        <v>0</v>
      </c>
      <c r="H23" s="113">
        <v>0</v>
      </c>
      <c r="I23" s="113">
        <v>0</v>
      </c>
      <c r="J23" s="924"/>
    </row>
    <row r="24" spans="1:11" x14ac:dyDescent="0.2">
      <c r="A24" s="839">
        <f t="shared" si="1"/>
        <v>12</v>
      </c>
      <c r="B24" s="922" t="s">
        <v>220</v>
      </c>
      <c r="C24" s="923">
        <v>2010</v>
      </c>
      <c r="D24" s="7">
        <f t="shared" si="0"/>
        <v>526330781.23000002</v>
      </c>
      <c r="E24" s="766">
        <v>484201829.30000001</v>
      </c>
      <c r="F24" s="113">
        <v>42128951.93</v>
      </c>
      <c r="G24" s="113">
        <v>0</v>
      </c>
      <c r="H24" s="113">
        <v>0</v>
      </c>
      <c r="I24" s="113">
        <v>0</v>
      </c>
      <c r="J24" s="924"/>
    </row>
    <row r="25" spans="1:11" x14ac:dyDescent="0.2">
      <c r="A25" s="839">
        <f t="shared" si="1"/>
        <v>13</v>
      </c>
      <c r="B25" s="922" t="s">
        <v>210</v>
      </c>
      <c r="C25" s="923">
        <v>2010</v>
      </c>
      <c r="D25" s="95">
        <f t="shared" si="0"/>
        <v>638080992.50999999</v>
      </c>
      <c r="E25" s="488">
        <v>581251930.19000006</v>
      </c>
      <c r="F25" s="123">
        <v>46741390.93</v>
      </c>
      <c r="G25" s="123">
        <v>9549455.3900000006</v>
      </c>
      <c r="H25" s="123">
        <v>0</v>
      </c>
      <c r="I25" s="123">
        <v>538216</v>
      </c>
      <c r="J25" s="924"/>
    </row>
    <row r="26" spans="1:11" x14ac:dyDescent="0.2">
      <c r="A26" s="839">
        <f t="shared" si="1"/>
        <v>14</v>
      </c>
      <c r="B26" s="922"/>
      <c r="C26" s="926" t="s">
        <v>612</v>
      </c>
      <c r="D26" s="763">
        <f t="shared" ref="D26:I26" si="2">SUM(D13:D25)/13</f>
        <v>336108252.85461545</v>
      </c>
      <c r="E26" s="763">
        <f>SUM(E13:E25)/13</f>
        <v>297083743.84538466</v>
      </c>
      <c r="F26" s="763">
        <f t="shared" si="2"/>
        <v>38248534.286923081</v>
      </c>
      <c r="G26" s="763">
        <f t="shared" si="2"/>
        <v>734573.49153846153</v>
      </c>
      <c r="H26" s="763">
        <f t="shared" si="2"/>
        <v>0</v>
      </c>
      <c r="I26" s="763">
        <f t="shared" si="2"/>
        <v>41401.230769230766</v>
      </c>
      <c r="J26" s="924"/>
      <c r="K26" s="924"/>
    </row>
    <row r="27" spans="1:11" x14ac:dyDescent="0.2">
      <c r="A27" s="839"/>
      <c r="B27" s="922"/>
      <c r="C27" s="926"/>
      <c r="D27" s="763"/>
      <c r="E27" s="763"/>
      <c r="F27" s="763"/>
      <c r="G27" s="763"/>
      <c r="H27" s="763"/>
      <c r="I27" s="924"/>
      <c r="J27" s="653"/>
      <c r="K27" s="924"/>
    </row>
    <row r="28" spans="1:11" x14ac:dyDescent="0.2">
      <c r="A28" s="839"/>
      <c r="B28" s="922"/>
      <c r="C28" s="926"/>
      <c r="D28" s="88" t="s">
        <v>395</v>
      </c>
      <c r="E28" s="88" t="s">
        <v>610</v>
      </c>
      <c r="F28" s="88" t="s">
        <v>1059</v>
      </c>
      <c r="G28" s="88" t="s">
        <v>1076</v>
      </c>
      <c r="H28" s="88" t="s">
        <v>1079</v>
      </c>
      <c r="I28" s="88" t="s">
        <v>1097</v>
      </c>
      <c r="J28" s="653"/>
      <c r="K28" s="924"/>
    </row>
    <row r="29" spans="1:11" x14ac:dyDescent="0.2">
      <c r="A29" s="839"/>
      <c r="B29" s="922"/>
      <c r="C29" s="926"/>
      <c r="E29" s="386" t="s">
        <v>1098</v>
      </c>
      <c r="F29" s="386"/>
      <c r="G29" s="386"/>
      <c r="H29" s="763"/>
      <c r="I29" s="924"/>
      <c r="J29" s="653"/>
      <c r="K29" s="924"/>
    </row>
    <row r="30" spans="1:11" x14ac:dyDescent="0.2">
      <c r="B30" s="839"/>
      <c r="D30" s="839" t="s">
        <v>1095</v>
      </c>
      <c r="E30" s="839" t="s">
        <v>1099</v>
      </c>
      <c r="F30" s="386"/>
      <c r="G30" s="386"/>
      <c r="H30" s="763"/>
      <c r="I30" s="924"/>
      <c r="J30" s="653"/>
      <c r="K30" s="924"/>
    </row>
    <row r="31" spans="1:11" x14ac:dyDescent="0.2">
      <c r="B31" s="839"/>
      <c r="D31" s="839" t="s">
        <v>486</v>
      </c>
      <c r="E31" s="839" t="s">
        <v>486</v>
      </c>
      <c r="F31" s="386" t="s">
        <v>1101</v>
      </c>
      <c r="G31" s="386" t="s">
        <v>1102</v>
      </c>
      <c r="H31" s="763"/>
      <c r="I31" s="924"/>
      <c r="J31" s="924"/>
      <c r="K31" s="924"/>
    </row>
    <row r="32" spans="1:11" x14ac:dyDescent="0.2">
      <c r="A32" s="53" t="s">
        <v>372</v>
      </c>
      <c r="B32" s="921" t="s">
        <v>222</v>
      </c>
      <c r="C32" s="921" t="s">
        <v>223</v>
      </c>
      <c r="D32" s="3" t="s">
        <v>1096</v>
      </c>
      <c r="E32" s="3" t="s">
        <v>1096</v>
      </c>
      <c r="F32" s="387" t="s">
        <v>1100</v>
      </c>
      <c r="G32" s="387" t="s">
        <v>1103</v>
      </c>
      <c r="H32" s="388"/>
      <c r="I32" s="388"/>
      <c r="J32" s="924"/>
      <c r="K32" s="924"/>
    </row>
    <row r="33" spans="1:11" x14ac:dyDescent="0.2">
      <c r="A33" s="839">
        <f>+A26+1</f>
        <v>15</v>
      </c>
      <c r="B33" s="922" t="s">
        <v>210</v>
      </c>
      <c r="C33" s="923">
        <v>2009</v>
      </c>
      <c r="D33" s="113">
        <v>0</v>
      </c>
      <c r="E33" s="113">
        <v>0</v>
      </c>
      <c r="F33" s="113">
        <v>0</v>
      </c>
      <c r="G33" s="113">
        <v>0</v>
      </c>
      <c r="H33" s="927" t="s">
        <v>88</v>
      </c>
      <c r="I33" s="927" t="s">
        <v>88</v>
      </c>
      <c r="J33" s="924"/>
      <c r="K33" s="924"/>
    </row>
    <row r="34" spans="1:11" x14ac:dyDescent="0.2">
      <c r="A34" s="839">
        <f>A33+1</f>
        <v>16</v>
      </c>
      <c r="B34" s="922" t="s">
        <v>211</v>
      </c>
      <c r="C34" s="923">
        <v>2010</v>
      </c>
      <c r="D34" s="113">
        <v>0</v>
      </c>
      <c r="E34" s="113">
        <v>0</v>
      </c>
      <c r="F34" s="113">
        <v>0</v>
      </c>
      <c r="G34" s="113">
        <v>0</v>
      </c>
      <c r="H34" s="927" t="s">
        <v>88</v>
      </c>
      <c r="I34" s="927" t="s">
        <v>88</v>
      </c>
      <c r="J34" s="924"/>
      <c r="K34" s="924"/>
    </row>
    <row r="35" spans="1:11" x14ac:dyDescent="0.2">
      <c r="A35" s="839">
        <f t="shared" ref="A35:A46" si="3">A34+1</f>
        <v>17</v>
      </c>
      <c r="B35" s="925" t="s">
        <v>212</v>
      </c>
      <c r="C35" s="923">
        <v>2010</v>
      </c>
      <c r="D35" s="113">
        <v>0</v>
      </c>
      <c r="E35" s="113">
        <v>0</v>
      </c>
      <c r="F35" s="113">
        <v>0</v>
      </c>
      <c r="G35" s="113">
        <v>0</v>
      </c>
      <c r="H35" s="927" t="s">
        <v>88</v>
      </c>
      <c r="I35" s="927" t="s">
        <v>88</v>
      </c>
      <c r="J35" s="924"/>
      <c r="K35" s="924"/>
    </row>
    <row r="36" spans="1:11" x14ac:dyDescent="0.2">
      <c r="A36" s="839">
        <f t="shared" si="3"/>
        <v>18</v>
      </c>
      <c r="B36" s="925" t="s">
        <v>225</v>
      </c>
      <c r="C36" s="923">
        <v>2010</v>
      </c>
      <c r="D36" s="113">
        <v>0</v>
      </c>
      <c r="E36" s="113">
        <v>0</v>
      </c>
      <c r="F36" s="113">
        <v>0</v>
      </c>
      <c r="G36" s="113">
        <v>0</v>
      </c>
      <c r="H36" s="927" t="s">
        <v>88</v>
      </c>
      <c r="I36" s="927" t="s">
        <v>88</v>
      </c>
      <c r="J36" s="924"/>
      <c r="K36" s="924"/>
    </row>
    <row r="37" spans="1:11" x14ac:dyDescent="0.2">
      <c r="A37" s="839">
        <f t="shared" si="3"/>
        <v>19</v>
      </c>
      <c r="B37" s="922" t="s">
        <v>213</v>
      </c>
      <c r="C37" s="923">
        <v>2010</v>
      </c>
      <c r="D37" s="113">
        <v>0</v>
      </c>
      <c r="E37" s="113">
        <v>0</v>
      </c>
      <c r="F37" s="113">
        <v>0</v>
      </c>
      <c r="G37" s="113">
        <v>0</v>
      </c>
      <c r="H37" s="927" t="s">
        <v>88</v>
      </c>
      <c r="I37" s="927" t="s">
        <v>88</v>
      </c>
      <c r="J37" s="924"/>
      <c r="K37" s="924"/>
    </row>
    <row r="38" spans="1:11" x14ac:dyDescent="0.2">
      <c r="A38" s="839">
        <f t="shared" si="3"/>
        <v>20</v>
      </c>
      <c r="B38" s="925" t="s">
        <v>214</v>
      </c>
      <c r="C38" s="923">
        <v>2010</v>
      </c>
      <c r="D38" s="113">
        <v>0</v>
      </c>
      <c r="E38" s="113">
        <v>0</v>
      </c>
      <c r="F38" s="113">
        <v>0</v>
      </c>
      <c r="G38" s="113">
        <v>0</v>
      </c>
      <c r="H38" s="927" t="s">
        <v>88</v>
      </c>
      <c r="I38" s="927" t="s">
        <v>88</v>
      </c>
      <c r="J38" s="924"/>
      <c r="K38" s="924"/>
    </row>
    <row r="39" spans="1:11" x14ac:dyDescent="0.2">
      <c r="A39" s="839">
        <f t="shared" si="3"/>
        <v>21</v>
      </c>
      <c r="B39" s="925" t="s">
        <v>215</v>
      </c>
      <c r="C39" s="923">
        <v>2010</v>
      </c>
      <c r="D39" s="113">
        <v>0</v>
      </c>
      <c r="E39" s="113">
        <v>0</v>
      </c>
      <c r="F39" s="113">
        <v>0</v>
      </c>
      <c r="G39" s="113">
        <v>0</v>
      </c>
      <c r="H39" s="927" t="s">
        <v>88</v>
      </c>
      <c r="I39" s="927" t="s">
        <v>88</v>
      </c>
      <c r="J39" s="924"/>
      <c r="K39" s="924"/>
    </row>
    <row r="40" spans="1:11" x14ac:dyDescent="0.2">
      <c r="A40" s="839">
        <f t="shared" si="3"/>
        <v>22</v>
      </c>
      <c r="B40" s="922" t="s">
        <v>216</v>
      </c>
      <c r="C40" s="923">
        <v>2010</v>
      </c>
      <c r="D40" s="113">
        <v>0</v>
      </c>
      <c r="E40" s="113">
        <v>0</v>
      </c>
      <c r="F40" s="113">
        <v>0</v>
      </c>
      <c r="G40" s="113">
        <v>0</v>
      </c>
      <c r="H40" s="927" t="s">
        <v>88</v>
      </c>
      <c r="I40" s="927" t="s">
        <v>88</v>
      </c>
      <c r="J40" s="924"/>
      <c r="K40" s="924"/>
    </row>
    <row r="41" spans="1:11" x14ac:dyDescent="0.2">
      <c r="A41" s="839">
        <f t="shared" si="3"/>
        <v>23</v>
      </c>
      <c r="B41" s="925" t="s">
        <v>217</v>
      </c>
      <c r="C41" s="923">
        <v>2010</v>
      </c>
      <c r="D41" s="113">
        <v>0</v>
      </c>
      <c r="E41" s="113">
        <v>0</v>
      </c>
      <c r="F41" s="113">
        <v>0</v>
      </c>
      <c r="G41" s="113">
        <v>0</v>
      </c>
      <c r="H41" s="927" t="s">
        <v>88</v>
      </c>
      <c r="I41" s="927" t="s">
        <v>88</v>
      </c>
      <c r="J41" s="924"/>
      <c r="K41" s="924"/>
    </row>
    <row r="42" spans="1:11" x14ac:dyDescent="0.2">
      <c r="A42" s="839">
        <f t="shared" si="3"/>
        <v>24</v>
      </c>
      <c r="B42" s="925" t="s">
        <v>218</v>
      </c>
      <c r="C42" s="923">
        <v>2010</v>
      </c>
      <c r="D42" s="113">
        <v>0</v>
      </c>
      <c r="E42" s="113">
        <v>0</v>
      </c>
      <c r="F42" s="113">
        <v>0</v>
      </c>
      <c r="G42" s="113">
        <v>0</v>
      </c>
      <c r="H42" s="927" t="s">
        <v>88</v>
      </c>
      <c r="I42" s="927" t="s">
        <v>88</v>
      </c>
      <c r="J42" s="924"/>
      <c r="K42" s="924"/>
    </row>
    <row r="43" spans="1:11" x14ac:dyDescent="0.2">
      <c r="A43" s="839">
        <f t="shared" si="3"/>
        <v>25</v>
      </c>
      <c r="B43" s="922" t="s">
        <v>219</v>
      </c>
      <c r="C43" s="923">
        <v>2010</v>
      </c>
      <c r="D43" s="113">
        <v>0</v>
      </c>
      <c r="E43" s="113">
        <v>0</v>
      </c>
      <c r="F43" s="113">
        <v>0</v>
      </c>
      <c r="G43" s="113">
        <v>0</v>
      </c>
      <c r="H43" s="927" t="s">
        <v>88</v>
      </c>
      <c r="I43" s="927" t="s">
        <v>88</v>
      </c>
      <c r="J43" s="924"/>
      <c r="K43" s="924"/>
    </row>
    <row r="44" spans="1:11" x14ac:dyDescent="0.2">
      <c r="A44" s="839">
        <f t="shared" si="3"/>
        <v>26</v>
      </c>
      <c r="B44" s="922" t="s">
        <v>220</v>
      </c>
      <c r="C44" s="923">
        <v>2010</v>
      </c>
      <c r="D44" s="113">
        <v>0</v>
      </c>
      <c r="E44" s="113">
        <v>0</v>
      </c>
      <c r="F44" s="113">
        <v>0</v>
      </c>
      <c r="G44" s="113">
        <v>0</v>
      </c>
      <c r="H44" s="927" t="s">
        <v>88</v>
      </c>
      <c r="I44" s="927" t="s">
        <v>88</v>
      </c>
      <c r="J44" s="924"/>
      <c r="K44" s="924"/>
    </row>
    <row r="45" spans="1:11" x14ac:dyDescent="0.2">
      <c r="A45" s="839">
        <f t="shared" si="3"/>
        <v>27</v>
      </c>
      <c r="B45" s="922" t="s">
        <v>210</v>
      </c>
      <c r="C45" s="923">
        <v>2010</v>
      </c>
      <c r="D45" s="123">
        <v>0</v>
      </c>
      <c r="E45" s="123">
        <v>0</v>
      </c>
      <c r="F45" s="123">
        <v>0</v>
      </c>
      <c r="G45" s="123">
        <v>0</v>
      </c>
      <c r="H45" s="927" t="s">
        <v>88</v>
      </c>
      <c r="I45" s="927" t="s">
        <v>88</v>
      </c>
      <c r="J45" s="924"/>
      <c r="K45" s="924"/>
    </row>
    <row r="46" spans="1:11" x14ac:dyDescent="0.2">
      <c r="A46" s="839">
        <f t="shared" si="3"/>
        <v>28</v>
      </c>
      <c r="B46" s="922"/>
      <c r="C46" s="926" t="s">
        <v>612</v>
      </c>
      <c r="D46" s="763">
        <f>SUM(D33:D45)/13</f>
        <v>0</v>
      </c>
      <c r="E46" s="763">
        <f>SUM(E33:E45)/13</f>
        <v>0</v>
      </c>
      <c r="F46" s="763">
        <f>SUM(F33:F45)/13</f>
        <v>0</v>
      </c>
      <c r="G46" s="763">
        <f>SUM(G33:G45)/13</f>
        <v>0</v>
      </c>
      <c r="H46" s="928" t="s">
        <v>88</v>
      </c>
      <c r="I46" s="928" t="s">
        <v>88</v>
      </c>
      <c r="J46" s="924"/>
      <c r="K46" s="924"/>
    </row>
    <row r="48" spans="1:11" x14ac:dyDescent="0.2">
      <c r="B48" s="929" t="s">
        <v>2902</v>
      </c>
    </row>
    <row r="49" spans="1:11" x14ac:dyDescent="0.2">
      <c r="B49" s="929"/>
      <c r="D49" s="957" t="s">
        <v>406</v>
      </c>
      <c r="E49" s="957" t="s">
        <v>390</v>
      </c>
      <c r="F49" s="957" t="s">
        <v>391</v>
      </c>
      <c r="G49" s="957" t="s">
        <v>392</v>
      </c>
      <c r="H49" s="957" t="s">
        <v>393</v>
      </c>
      <c r="I49" s="957" t="s">
        <v>394</v>
      </c>
      <c r="J49" s="957" t="s">
        <v>395</v>
      </c>
      <c r="K49" s="957" t="s">
        <v>610</v>
      </c>
    </row>
    <row r="50" spans="1:11" s="958" customFormat="1" x14ac:dyDescent="0.2">
      <c r="D50" s="650" t="s">
        <v>246</v>
      </c>
      <c r="E50" s="650" t="s">
        <v>246</v>
      </c>
      <c r="F50" s="650" t="s">
        <v>246</v>
      </c>
      <c r="G50" s="650" t="s">
        <v>246</v>
      </c>
      <c r="H50" s="650" t="s">
        <v>246</v>
      </c>
      <c r="I50" s="650" t="s">
        <v>246</v>
      </c>
      <c r="J50" s="650" t="s">
        <v>246</v>
      </c>
      <c r="K50" s="650" t="s">
        <v>246</v>
      </c>
    </row>
    <row r="51" spans="1:11" x14ac:dyDescent="0.2">
      <c r="G51" s="839" t="s">
        <v>2903</v>
      </c>
      <c r="K51" s="959"/>
    </row>
    <row r="52" spans="1:11" x14ac:dyDescent="0.2">
      <c r="A52" s="959"/>
      <c r="B52" s="959"/>
      <c r="C52" s="959"/>
      <c r="D52" s="959" t="s">
        <v>228</v>
      </c>
      <c r="E52" s="959" t="s">
        <v>2886</v>
      </c>
      <c r="F52" s="959" t="s">
        <v>2904</v>
      </c>
      <c r="G52" s="959" t="s">
        <v>226</v>
      </c>
      <c r="H52" s="959" t="s">
        <v>2905</v>
      </c>
      <c r="I52" s="960" t="s">
        <v>2906</v>
      </c>
      <c r="J52" s="959" t="s">
        <v>228</v>
      </c>
      <c r="K52" s="959" t="s">
        <v>19</v>
      </c>
    </row>
    <row r="53" spans="1:11" x14ac:dyDescent="0.2">
      <c r="A53" s="53" t="s">
        <v>372</v>
      </c>
      <c r="B53" s="921" t="s">
        <v>222</v>
      </c>
      <c r="C53" s="921" t="s">
        <v>223</v>
      </c>
      <c r="D53" s="957" t="s">
        <v>2907</v>
      </c>
      <c r="E53" s="957" t="s">
        <v>2887</v>
      </c>
      <c r="F53" s="957" t="s">
        <v>2908</v>
      </c>
      <c r="G53" s="957" t="s">
        <v>2909</v>
      </c>
      <c r="H53" s="957" t="s">
        <v>2910</v>
      </c>
      <c r="I53" s="957" t="s">
        <v>2911</v>
      </c>
      <c r="J53" s="957" t="s">
        <v>2912</v>
      </c>
      <c r="K53" s="3" t="s">
        <v>2913</v>
      </c>
    </row>
    <row r="54" spans="1:11" x14ac:dyDescent="0.2">
      <c r="A54" s="839">
        <f>A46+1</f>
        <v>29</v>
      </c>
      <c r="B54" s="922" t="s">
        <v>210</v>
      </c>
      <c r="C54" s="923">
        <f>C16</f>
        <v>2010</v>
      </c>
      <c r="D54" s="966" t="s">
        <v>88</v>
      </c>
      <c r="E54" s="966" t="s">
        <v>88</v>
      </c>
      <c r="F54" s="966" t="s">
        <v>88</v>
      </c>
      <c r="G54" s="966" t="s">
        <v>88</v>
      </c>
      <c r="H54" s="966" t="s">
        <v>88</v>
      </c>
      <c r="I54" s="966" t="s">
        <v>88</v>
      </c>
      <c r="J54" s="7">
        <f>D25</f>
        <v>638080992.50999999</v>
      </c>
      <c r="K54" s="966" t="s">
        <v>88</v>
      </c>
    </row>
    <row r="55" spans="1:11" x14ac:dyDescent="0.2">
      <c r="A55" s="839">
        <f>A54+1</f>
        <v>30</v>
      </c>
      <c r="B55" s="922" t="s">
        <v>211</v>
      </c>
      <c r="C55" s="923">
        <f>C54+1</f>
        <v>2011</v>
      </c>
      <c r="D55" s="7">
        <f>D86+D114+D142+D172+D200+D228+D258+D286+D314+D344</f>
        <v>27822363.449999999</v>
      </c>
      <c r="E55" s="7">
        <f t="shared" ref="D55:K70" si="4">E86+E114+E142+E172+E200+E228+E258+E286+E314+E344</f>
        <v>2086677.2587499998</v>
      </c>
      <c r="F55" s="7">
        <f t="shared" si="4"/>
        <v>29909040.708749998</v>
      </c>
      <c r="G55" s="7">
        <f t="shared" si="4"/>
        <v>0</v>
      </c>
      <c r="H55" s="7">
        <f t="shared" si="4"/>
        <v>0</v>
      </c>
      <c r="I55" s="7">
        <f t="shared" si="4"/>
        <v>0</v>
      </c>
      <c r="J55" s="7">
        <f t="shared" si="4"/>
        <v>667990033.21875</v>
      </c>
      <c r="K55" s="7">
        <f t="shared" si="4"/>
        <v>29909040.708749998</v>
      </c>
    </row>
    <row r="56" spans="1:11" x14ac:dyDescent="0.2">
      <c r="A56" s="839">
        <f t="shared" ref="A56:A75" si="5">A55+1</f>
        <v>31</v>
      </c>
      <c r="B56" s="925" t="s">
        <v>212</v>
      </c>
      <c r="C56" s="923">
        <f>C55</f>
        <v>2011</v>
      </c>
      <c r="D56" s="7">
        <f t="shared" si="4"/>
        <v>45305918.25</v>
      </c>
      <c r="E56" s="7">
        <f t="shared" si="4"/>
        <v>3397943.8687500004</v>
      </c>
      <c r="F56" s="7">
        <f t="shared" si="4"/>
        <v>48703862.118749999</v>
      </c>
      <c r="G56" s="7">
        <f t="shared" si="4"/>
        <v>0</v>
      </c>
      <c r="H56" s="7">
        <f t="shared" si="4"/>
        <v>0</v>
      </c>
      <c r="I56" s="7">
        <f t="shared" si="4"/>
        <v>0</v>
      </c>
      <c r="J56" s="7">
        <f t="shared" si="4"/>
        <v>716693895.3375001</v>
      </c>
      <c r="K56" s="7">
        <f t="shared" si="4"/>
        <v>79151118.827499986</v>
      </c>
    </row>
    <row r="57" spans="1:11" x14ac:dyDescent="0.2">
      <c r="A57" s="839">
        <f t="shared" si="5"/>
        <v>32</v>
      </c>
      <c r="B57" s="925" t="s">
        <v>225</v>
      </c>
      <c r="C57" s="923">
        <f t="shared" ref="C57:C66" si="6">C56</f>
        <v>2011</v>
      </c>
      <c r="D57" s="7">
        <f t="shared" si="4"/>
        <v>54804978.599999972</v>
      </c>
      <c r="E57" s="7">
        <f t="shared" si="4"/>
        <v>4110373.3949999972</v>
      </c>
      <c r="F57" s="7">
        <f t="shared" si="4"/>
        <v>58915351.994999968</v>
      </c>
      <c r="G57" s="7">
        <f t="shared" si="4"/>
        <v>0</v>
      </c>
      <c r="H57" s="7">
        <f t="shared" si="4"/>
        <v>0</v>
      </c>
      <c r="I57" s="7">
        <f t="shared" si="4"/>
        <v>0</v>
      </c>
      <c r="J57" s="7">
        <f t="shared" si="4"/>
        <v>775609247.33249998</v>
      </c>
      <c r="K57" s="7">
        <f t="shared" si="4"/>
        <v>137528254.8224999</v>
      </c>
    </row>
    <row r="58" spans="1:11" x14ac:dyDescent="0.2">
      <c r="A58" s="839">
        <f t="shared" si="5"/>
        <v>33</v>
      </c>
      <c r="B58" s="922" t="s">
        <v>213</v>
      </c>
      <c r="C58" s="923">
        <f t="shared" si="6"/>
        <v>2011</v>
      </c>
      <c r="D58" s="7">
        <f t="shared" si="4"/>
        <v>73372061.689510435</v>
      </c>
      <c r="E58" s="7">
        <f t="shared" si="4"/>
        <v>5502904.6267132815</v>
      </c>
      <c r="F58" s="7">
        <f t="shared" si="4"/>
        <v>78874966.316223726</v>
      </c>
      <c r="G58" s="7">
        <f t="shared" si="4"/>
        <v>0</v>
      </c>
      <c r="H58" s="7">
        <f t="shared" si="4"/>
        <v>0</v>
      </c>
      <c r="I58" s="7">
        <f t="shared" si="4"/>
        <v>0</v>
      </c>
      <c r="J58" s="7">
        <f t="shared" si="4"/>
        <v>854484213.64872372</v>
      </c>
      <c r="K58" s="7">
        <f t="shared" si="4"/>
        <v>216403221.13872361</v>
      </c>
    </row>
    <row r="59" spans="1:11" x14ac:dyDescent="0.2">
      <c r="A59" s="839">
        <f t="shared" si="5"/>
        <v>34</v>
      </c>
      <c r="B59" s="925" t="s">
        <v>214</v>
      </c>
      <c r="C59" s="923">
        <f t="shared" si="6"/>
        <v>2011</v>
      </c>
      <c r="D59" s="7">
        <f t="shared" si="4"/>
        <v>55369286.514675014</v>
      </c>
      <c r="E59" s="7">
        <f t="shared" si="4"/>
        <v>4152696.4886006252</v>
      </c>
      <c r="F59" s="7">
        <f t="shared" si="4"/>
        <v>59521983.003275633</v>
      </c>
      <c r="G59" s="7">
        <f t="shared" si="4"/>
        <v>1434520.61</v>
      </c>
      <c r="H59" s="7">
        <f t="shared" si="4"/>
        <v>1026462.54</v>
      </c>
      <c r="I59" s="7">
        <f t="shared" si="4"/>
        <v>30604.355250000004</v>
      </c>
      <c r="J59" s="7">
        <f t="shared" si="4"/>
        <v>912541071.68674922</v>
      </c>
      <c r="K59" s="7">
        <f t="shared" si="4"/>
        <v>274460079.17674923</v>
      </c>
    </row>
    <row r="60" spans="1:11" x14ac:dyDescent="0.2">
      <c r="A60" s="839">
        <f t="shared" si="5"/>
        <v>35</v>
      </c>
      <c r="B60" s="925" t="s">
        <v>1920</v>
      </c>
      <c r="C60" s="923">
        <f t="shared" si="6"/>
        <v>2011</v>
      </c>
      <c r="D60" s="7">
        <f t="shared" si="4"/>
        <v>62599697.467703559</v>
      </c>
      <c r="E60" s="7">
        <f t="shared" si="4"/>
        <v>4694977.310077766</v>
      </c>
      <c r="F60" s="7">
        <f t="shared" si="4"/>
        <v>67294674.777781323</v>
      </c>
      <c r="G60" s="7">
        <f t="shared" si="4"/>
        <v>0</v>
      </c>
      <c r="H60" s="7">
        <f t="shared" si="4"/>
        <v>0</v>
      </c>
      <c r="I60" s="7">
        <f t="shared" si="4"/>
        <v>0</v>
      </c>
      <c r="J60" s="7">
        <f t="shared" si="4"/>
        <v>979835746.46453059</v>
      </c>
      <c r="K60" s="7">
        <f t="shared" si="4"/>
        <v>341754753.9545306</v>
      </c>
    </row>
    <row r="61" spans="1:11" x14ac:dyDescent="0.2">
      <c r="A61" s="839">
        <f t="shared" si="5"/>
        <v>36</v>
      </c>
      <c r="B61" s="922" t="s">
        <v>216</v>
      </c>
      <c r="C61" s="923">
        <f t="shared" si="6"/>
        <v>2011</v>
      </c>
      <c r="D61" s="7">
        <f t="shared" si="4"/>
        <v>44402703.660275191</v>
      </c>
      <c r="E61" s="7">
        <f t="shared" si="4"/>
        <v>3330202.7745206393</v>
      </c>
      <c r="F61" s="7">
        <f t="shared" si="4"/>
        <v>47732906.434795842</v>
      </c>
      <c r="G61" s="7">
        <f t="shared" si="4"/>
        <v>1213616.2600000002</v>
      </c>
      <c r="H61" s="7">
        <f t="shared" si="4"/>
        <v>1213616.26</v>
      </c>
      <c r="I61" s="7">
        <f t="shared" si="4"/>
        <v>1.7462298274040222E-11</v>
      </c>
      <c r="J61" s="7">
        <f t="shared" si="4"/>
        <v>1026355036.6393266</v>
      </c>
      <c r="K61" s="7">
        <f t="shared" si="4"/>
        <v>388274044.12932652</v>
      </c>
    </row>
    <row r="62" spans="1:11" x14ac:dyDescent="0.2">
      <c r="A62" s="839">
        <f t="shared" si="5"/>
        <v>37</v>
      </c>
      <c r="B62" s="925" t="s">
        <v>217</v>
      </c>
      <c r="C62" s="923">
        <f t="shared" si="6"/>
        <v>2011</v>
      </c>
      <c r="D62" s="7">
        <f t="shared" si="4"/>
        <v>36619404.642313398</v>
      </c>
      <c r="E62" s="7">
        <f t="shared" si="4"/>
        <v>2746455.3481735047</v>
      </c>
      <c r="F62" s="7">
        <f t="shared" si="4"/>
        <v>39365859.990486905</v>
      </c>
      <c r="G62" s="7">
        <f t="shared" si="4"/>
        <v>0</v>
      </c>
      <c r="H62" s="7">
        <f t="shared" si="4"/>
        <v>0</v>
      </c>
      <c r="I62" s="7">
        <f t="shared" si="4"/>
        <v>0</v>
      </c>
      <c r="J62" s="7">
        <f t="shared" si="4"/>
        <v>1065720896.6298134</v>
      </c>
      <c r="K62" s="7">
        <f t="shared" si="4"/>
        <v>427639904.11981344</v>
      </c>
    </row>
    <row r="63" spans="1:11" x14ac:dyDescent="0.2">
      <c r="A63" s="839">
        <f t="shared" si="5"/>
        <v>38</v>
      </c>
      <c r="B63" s="925" t="s">
        <v>218</v>
      </c>
      <c r="C63" s="923">
        <f t="shared" si="6"/>
        <v>2011</v>
      </c>
      <c r="D63" s="7">
        <f t="shared" si="4"/>
        <v>37808707.46812138</v>
      </c>
      <c r="E63" s="7">
        <f t="shared" si="4"/>
        <v>2835653.0601091031</v>
      </c>
      <c r="F63" s="7">
        <f t="shared" si="4"/>
        <v>40644360.528230488</v>
      </c>
      <c r="G63" s="7">
        <f t="shared" si="4"/>
        <v>0</v>
      </c>
      <c r="H63" s="7">
        <f t="shared" si="4"/>
        <v>0</v>
      </c>
      <c r="I63" s="7">
        <f t="shared" si="4"/>
        <v>0</v>
      </c>
      <c r="J63" s="7">
        <f t="shared" si="4"/>
        <v>1106365257.1580436</v>
      </c>
      <c r="K63" s="7">
        <f t="shared" si="4"/>
        <v>468284264.64804393</v>
      </c>
    </row>
    <row r="64" spans="1:11" x14ac:dyDescent="0.2">
      <c r="A64" s="839">
        <f t="shared" si="5"/>
        <v>39</v>
      </c>
      <c r="B64" s="922" t="s">
        <v>221</v>
      </c>
      <c r="C64" s="923">
        <f t="shared" si="6"/>
        <v>2011</v>
      </c>
      <c r="D64" s="7">
        <f t="shared" si="4"/>
        <v>54722930.181289412</v>
      </c>
      <c r="E64" s="7">
        <f t="shared" si="4"/>
        <v>4104219.7635967056</v>
      </c>
      <c r="F64" s="7">
        <f t="shared" si="4"/>
        <v>58827149.944886118</v>
      </c>
      <c r="G64" s="7">
        <f t="shared" si="4"/>
        <v>0</v>
      </c>
      <c r="H64" s="7">
        <f t="shared" si="4"/>
        <v>0</v>
      </c>
      <c r="I64" s="7">
        <f t="shared" si="4"/>
        <v>0</v>
      </c>
      <c r="J64" s="7">
        <f t="shared" si="4"/>
        <v>1165192407.1029298</v>
      </c>
      <c r="K64" s="7">
        <f t="shared" si="4"/>
        <v>527111414.59292996</v>
      </c>
    </row>
    <row r="65" spans="1:11" x14ac:dyDescent="0.2">
      <c r="A65" s="839">
        <f t="shared" si="5"/>
        <v>40</v>
      </c>
      <c r="B65" s="922" t="s">
        <v>220</v>
      </c>
      <c r="C65" s="923">
        <f t="shared" si="6"/>
        <v>2011</v>
      </c>
      <c r="D65" s="7">
        <f t="shared" si="4"/>
        <v>54103658.477853887</v>
      </c>
      <c r="E65" s="7">
        <f t="shared" si="4"/>
        <v>4057774.3858390418</v>
      </c>
      <c r="F65" s="7">
        <f t="shared" si="4"/>
        <v>58161432.863692932</v>
      </c>
      <c r="G65" s="7">
        <f t="shared" si="4"/>
        <v>0</v>
      </c>
      <c r="H65" s="7">
        <f t="shared" si="4"/>
        <v>0</v>
      </c>
      <c r="I65" s="7">
        <f t="shared" si="4"/>
        <v>0</v>
      </c>
      <c r="J65" s="7">
        <f t="shared" si="4"/>
        <v>1223353839.9666226</v>
      </c>
      <c r="K65" s="7">
        <f t="shared" si="4"/>
        <v>585272847.45662284</v>
      </c>
    </row>
    <row r="66" spans="1:11" x14ac:dyDescent="0.2">
      <c r="A66" s="839">
        <f t="shared" si="5"/>
        <v>41</v>
      </c>
      <c r="B66" s="922" t="s">
        <v>210</v>
      </c>
      <c r="C66" s="923">
        <f t="shared" si="6"/>
        <v>2011</v>
      </c>
      <c r="D66" s="7">
        <f t="shared" si="4"/>
        <v>79158647.839535922</v>
      </c>
      <c r="E66" s="7">
        <f t="shared" si="4"/>
        <v>5936898.5879651932</v>
      </c>
      <c r="F66" s="7">
        <f t="shared" si="4"/>
        <v>85095546.427501097</v>
      </c>
      <c r="G66" s="7">
        <f t="shared" si="4"/>
        <v>14616252.726075016</v>
      </c>
      <c r="H66" s="7">
        <f t="shared" si="4"/>
        <v>7504295.6900000004</v>
      </c>
      <c r="I66" s="7">
        <f t="shared" si="4"/>
        <v>533396.7777056261</v>
      </c>
      <c r="J66" s="7">
        <f t="shared" si="4"/>
        <v>1293299736.8903434</v>
      </c>
      <c r="K66" s="7">
        <f t="shared" si="4"/>
        <v>655218744.38034344</v>
      </c>
    </row>
    <row r="67" spans="1:11" x14ac:dyDescent="0.2">
      <c r="A67" s="839">
        <f t="shared" si="5"/>
        <v>42</v>
      </c>
      <c r="B67" s="922" t="s">
        <v>211</v>
      </c>
      <c r="C67" s="923">
        <f>C66+1</f>
        <v>2012</v>
      </c>
      <c r="D67" s="7">
        <f t="shared" si="4"/>
        <v>62994045.400593087</v>
      </c>
      <c r="E67" s="7">
        <f t="shared" si="4"/>
        <v>4724553.4050444812</v>
      </c>
      <c r="F67" s="7">
        <f t="shared" si="4"/>
        <v>67718598.805637568</v>
      </c>
      <c r="G67" s="7">
        <f t="shared" si="4"/>
        <v>134784.70000000016</v>
      </c>
      <c r="H67" s="7">
        <f t="shared" si="4"/>
        <v>0</v>
      </c>
      <c r="I67" s="7">
        <f t="shared" si="4"/>
        <v>10108.852500000012</v>
      </c>
      <c r="J67" s="7">
        <f t="shared" si="4"/>
        <v>1360873442.143481</v>
      </c>
      <c r="K67" s="7">
        <f t="shared" si="4"/>
        <v>722792449.63348126</v>
      </c>
    </row>
    <row r="68" spans="1:11" x14ac:dyDescent="0.2">
      <c r="A68" s="839">
        <f t="shared" si="5"/>
        <v>43</v>
      </c>
      <c r="B68" s="925" t="s">
        <v>212</v>
      </c>
      <c r="C68" s="923">
        <f>C67</f>
        <v>2012</v>
      </c>
      <c r="D68" s="7">
        <f t="shared" si="4"/>
        <v>62217842.980967373</v>
      </c>
      <c r="E68" s="7">
        <f t="shared" si="4"/>
        <v>4666338.2235725531</v>
      </c>
      <c r="F68" s="7">
        <f t="shared" si="4"/>
        <v>66884181.204539925</v>
      </c>
      <c r="G68" s="7">
        <f t="shared" si="4"/>
        <v>91544.999999998254</v>
      </c>
      <c r="H68" s="7">
        <f t="shared" si="4"/>
        <v>0</v>
      </c>
      <c r="I68" s="7">
        <f t="shared" si="4"/>
        <v>6865.874999999869</v>
      </c>
      <c r="J68" s="7">
        <f t="shared" si="4"/>
        <v>1427659212.473021</v>
      </c>
      <c r="K68" s="7">
        <f t="shared" si="4"/>
        <v>789578219.96302104</v>
      </c>
    </row>
    <row r="69" spans="1:11" x14ac:dyDescent="0.2">
      <c r="A69" s="839">
        <f t="shared" si="5"/>
        <v>44</v>
      </c>
      <c r="B69" s="925" t="s">
        <v>225</v>
      </c>
      <c r="C69" s="923">
        <f t="shared" ref="C69:C75" si="7">C68</f>
        <v>2012</v>
      </c>
      <c r="D69" s="7">
        <f t="shared" si="4"/>
        <v>97206935.131617472</v>
      </c>
      <c r="E69" s="7">
        <f t="shared" si="4"/>
        <v>7290520.1348713096</v>
      </c>
      <c r="F69" s="7">
        <f t="shared" si="4"/>
        <v>104497455.26648878</v>
      </c>
      <c r="G69" s="7">
        <f t="shared" si="4"/>
        <v>151081049.87491083</v>
      </c>
      <c r="H69" s="7">
        <f t="shared" si="4"/>
        <v>59914750.149999999</v>
      </c>
      <c r="I69" s="7">
        <f t="shared" si="4"/>
        <v>6837472.4793683114</v>
      </c>
      <c r="J69" s="7">
        <f t="shared" si="4"/>
        <v>1374238145.3852305</v>
      </c>
      <c r="K69" s="7">
        <f t="shared" si="4"/>
        <v>736157152.87523055</v>
      </c>
    </row>
    <row r="70" spans="1:11" x14ac:dyDescent="0.2">
      <c r="A70" s="839">
        <f t="shared" si="5"/>
        <v>45</v>
      </c>
      <c r="B70" s="922" t="s">
        <v>213</v>
      </c>
      <c r="C70" s="923">
        <f t="shared" si="7"/>
        <v>2012</v>
      </c>
      <c r="D70" s="7">
        <f t="shared" si="4"/>
        <v>79910826.099022478</v>
      </c>
      <c r="E70" s="7">
        <f t="shared" si="4"/>
        <v>5993311.9574266849</v>
      </c>
      <c r="F70" s="7">
        <f t="shared" si="4"/>
        <v>85904138.05644916</v>
      </c>
      <c r="G70" s="7">
        <f t="shared" si="4"/>
        <v>6759122.1769067049</v>
      </c>
      <c r="H70" s="7">
        <f t="shared" si="4"/>
        <v>0</v>
      </c>
      <c r="I70" s="7">
        <f t="shared" si="4"/>
        <v>506934.16326800286</v>
      </c>
      <c r="J70" s="7">
        <f t="shared" si="4"/>
        <v>1452876227.1015055</v>
      </c>
      <c r="K70" s="7">
        <f t="shared" si="4"/>
        <v>814795234.59150529</v>
      </c>
    </row>
    <row r="71" spans="1:11" x14ac:dyDescent="0.2">
      <c r="A71" s="839">
        <f t="shared" si="5"/>
        <v>46</v>
      </c>
      <c r="B71" s="925" t="s">
        <v>214</v>
      </c>
      <c r="C71" s="923">
        <f t="shared" si="7"/>
        <v>2012</v>
      </c>
      <c r="D71" s="7">
        <f t="shared" ref="D71:K75" si="8">D102+D130+D158+D188+D216+D244+D274+D302+D330+D360</f>
        <v>95491445.880143076</v>
      </c>
      <c r="E71" s="7">
        <f t="shared" si="8"/>
        <v>7161858.4410107313</v>
      </c>
      <c r="F71" s="7">
        <f t="shared" si="8"/>
        <v>102653304.32115379</v>
      </c>
      <c r="G71" s="7">
        <f t="shared" si="8"/>
        <v>421118694.04496974</v>
      </c>
      <c r="H71" s="7">
        <f t="shared" si="8"/>
        <v>241404065.09</v>
      </c>
      <c r="I71" s="7">
        <f t="shared" si="8"/>
        <v>13478597.171622729</v>
      </c>
      <c r="J71" s="7">
        <f t="shared" si="8"/>
        <v>1120932240.2060666</v>
      </c>
      <c r="K71" s="7">
        <f t="shared" si="8"/>
        <v>482851247.69606656</v>
      </c>
    </row>
    <row r="72" spans="1:11" x14ac:dyDescent="0.2">
      <c r="A72" s="839">
        <f t="shared" si="5"/>
        <v>47</v>
      </c>
      <c r="B72" s="925" t="s">
        <v>1920</v>
      </c>
      <c r="C72" s="923">
        <f t="shared" si="7"/>
        <v>2012</v>
      </c>
      <c r="D72" s="7">
        <f t="shared" si="8"/>
        <v>75083331.706672773</v>
      </c>
      <c r="E72" s="7">
        <f t="shared" si="8"/>
        <v>5631249.8780004587</v>
      </c>
      <c r="F72" s="7">
        <f t="shared" si="8"/>
        <v>80714581.584673241</v>
      </c>
      <c r="G72" s="7">
        <f t="shared" si="8"/>
        <v>3011160.6194962515</v>
      </c>
      <c r="H72" s="7">
        <f t="shared" si="8"/>
        <v>0</v>
      </c>
      <c r="I72" s="7">
        <f t="shared" si="8"/>
        <v>225837.04646221886</v>
      </c>
      <c r="J72" s="7">
        <f t="shared" si="8"/>
        <v>1198409824.1247814</v>
      </c>
      <c r="K72" s="7">
        <f t="shared" si="8"/>
        <v>560328831.6147815</v>
      </c>
    </row>
    <row r="73" spans="1:11" x14ac:dyDescent="0.2">
      <c r="A73" s="839">
        <f t="shared" si="5"/>
        <v>48</v>
      </c>
      <c r="B73" s="922" t="s">
        <v>216</v>
      </c>
      <c r="C73" s="923">
        <f t="shared" si="7"/>
        <v>2012</v>
      </c>
      <c r="D73" s="7">
        <f t="shared" si="8"/>
        <v>90633268.944457501</v>
      </c>
      <c r="E73" s="7">
        <f t="shared" si="8"/>
        <v>6797495.1708343122</v>
      </c>
      <c r="F73" s="7">
        <f t="shared" si="8"/>
        <v>97430764.115291804</v>
      </c>
      <c r="G73" s="7">
        <f t="shared" si="8"/>
        <v>1863382.6219465118</v>
      </c>
      <c r="H73" s="7">
        <f t="shared" si="8"/>
        <v>0</v>
      </c>
      <c r="I73" s="7">
        <f t="shared" si="8"/>
        <v>139753.69664598838</v>
      </c>
      <c r="J73" s="7">
        <f t="shared" si="8"/>
        <v>1293837451.9214809</v>
      </c>
      <c r="K73" s="7">
        <f t="shared" si="8"/>
        <v>655756459.41148078</v>
      </c>
    </row>
    <row r="74" spans="1:11" x14ac:dyDescent="0.2">
      <c r="A74" s="839">
        <f t="shared" si="5"/>
        <v>49</v>
      </c>
      <c r="B74" s="925" t="s">
        <v>217</v>
      </c>
      <c r="C74" s="923">
        <f t="shared" si="7"/>
        <v>2012</v>
      </c>
      <c r="D74" s="7">
        <f t="shared" si="8"/>
        <v>76355285.28661412</v>
      </c>
      <c r="E74" s="7">
        <f t="shared" si="8"/>
        <v>5726646.3964960584</v>
      </c>
      <c r="F74" s="7">
        <f t="shared" si="8"/>
        <v>82081931.683110178</v>
      </c>
      <c r="G74" s="7">
        <f t="shared" si="8"/>
        <v>1604547.5278727245</v>
      </c>
      <c r="H74" s="7">
        <f t="shared" si="8"/>
        <v>0</v>
      </c>
      <c r="I74" s="7">
        <f t="shared" si="8"/>
        <v>120341.06459045433</v>
      </c>
      <c r="J74" s="7">
        <f t="shared" si="8"/>
        <v>1374194495.0121279</v>
      </c>
      <c r="K74" s="7">
        <f t="shared" si="8"/>
        <v>736113502.50212765</v>
      </c>
    </row>
    <row r="75" spans="1:11" x14ac:dyDescent="0.2">
      <c r="A75" s="839">
        <f t="shared" si="5"/>
        <v>50</v>
      </c>
      <c r="B75" s="925" t="s">
        <v>218</v>
      </c>
      <c r="C75" s="923">
        <f t="shared" si="7"/>
        <v>2012</v>
      </c>
      <c r="D75" s="7">
        <f>D106+D134+D162+D192+D220+D248+D278+D306+D334+D364</f>
        <v>64671826.092849538</v>
      </c>
      <c r="E75" s="7">
        <f t="shared" si="8"/>
        <v>4850386.9569637142</v>
      </c>
      <c r="F75" s="7">
        <f t="shared" si="8"/>
        <v>69522213.049813256</v>
      </c>
      <c r="G75" s="7">
        <f t="shared" si="8"/>
        <v>7506526.65516333</v>
      </c>
      <c r="H75" s="7">
        <f t="shared" si="8"/>
        <v>0</v>
      </c>
      <c r="I75" s="7">
        <f t="shared" si="8"/>
        <v>562989.49913724978</v>
      </c>
      <c r="J75" s="7">
        <f t="shared" si="8"/>
        <v>1435647191.9076405</v>
      </c>
      <c r="K75" s="95">
        <f t="shared" si="8"/>
        <v>797566199.39764035</v>
      </c>
    </row>
    <row r="76" spans="1:11" x14ac:dyDescent="0.2">
      <c r="A76" s="839">
        <f>A75+1</f>
        <v>51</v>
      </c>
      <c r="C76" s="961" t="s">
        <v>2309</v>
      </c>
      <c r="K76" s="77">
        <f>AVERAGE(K63:K75)</f>
        <v>656294351.44332886</v>
      </c>
    </row>
    <row r="78" spans="1:11" x14ac:dyDescent="0.2">
      <c r="B78" s="929" t="s">
        <v>2914</v>
      </c>
    </row>
    <row r="79" spans="1:11" s="962" customFormat="1" x14ac:dyDescent="0.2">
      <c r="B79" s="963" t="s">
        <v>2915</v>
      </c>
      <c r="D79" s="1206" t="s">
        <v>260</v>
      </c>
      <c r="E79" s="1206"/>
    </row>
    <row r="80" spans="1:11" s="957" customFormat="1" x14ac:dyDescent="0.2">
      <c r="D80" s="957" t="s">
        <v>406</v>
      </c>
      <c r="E80" s="957" t="s">
        <v>390</v>
      </c>
      <c r="F80" s="957" t="s">
        <v>391</v>
      </c>
      <c r="G80" s="957" t="s">
        <v>392</v>
      </c>
      <c r="H80" s="957" t="s">
        <v>393</v>
      </c>
      <c r="I80" s="957" t="s">
        <v>394</v>
      </c>
      <c r="J80" s="957" t="s">
        <v>395</v>
      </c>
      <c r="K80" s="957" t="s">
        <v>610</v>
      </c>
    </row>
    <row r="81" spans="1:11" s="962" customFormat="1" ht="25.9" customHeight="1" x14ac:dyDescent="0.2">
      <c r="D81" s="964"/>
      <c r="E81" s="965" t="s">
        <v>2956</v>
      </c>
      <c r="F81" s="966" t="s">
        <v>2916</v>
      </c>
      <c r="G81" s="665"/>
      <c r="H81" s="964"/>
      <c r="I81" s="965" t="s">
        <v>2957</v>
      </c>
      <c r="J81" s="965" t="s">
        <v>2917</v>
      </c>
      <c r="K81" s="965" t="s">
        <v>2918</v>
      </c>
    </row>
    <row r="82" spans="1:11" s="962" customFormat="1" x14ac:dyDescent="0.2">
      <c r="D82" s="964"/>
      <c r="E82" s="967"/>
      <c r="F82" s="967"/>
      <c r="G82" s="839" t="str">
        <f>G51</f>
        <v>Unloaded</v>
      </c>
      <c r="H82" s="964"/>
      <c r="I82" s="967"/>
      <c r="J82" s="967"/>
      <c r="K82" s="839"/>
    </row>
    <row r="83" spans="1:11" s="959" customFormat="1" x14ac:dyDescent="0.2">
      <c r="D83" s="959" t="str">
        <f>D$52</f>
        <v>Forecast</v>
      </c>
      <c r="E83" s="959" t="str">
        <f t="shared" ref="E83:J83" si="9">E$52</f>
        <v>Corporate</v>
      </c>
      <c r="F83" s="959" t="str">
        <f t="shared" si="9"/>
        <v xml:space="preserve">Total </v>
      </c>
      <c r="G83" s="839" t="str">
        <f t="shared" ref="G83:G84" si="10">G52</f>
        <v>Total</v>
      </c>
      <c r="H83" s="959" t="str">
        <f t="shared" si="9"/>
        <v>Prior Period</v>
      </c>
      <c r="I83" s="959" t="str">
        <f t="shared" si="9"/>
        <v>Over Heads</v>
      </c>
      <c r="J83" s="959" t="str">
        <f t="shared" si="9"/>
        <v>Forecast</v>
      </c>
      <c r="K83" s="839" t="str">
        <f>K$52</f>
        <v>Forecast Period</v>
      </c>
    </row>
    <row r="84" spans="1:11" s="962" customFormat="1" x14ac:dyDescent="0.2">
      <c r="A84" s="53" t="s">
        <v>372</v>
      </c>
      <c r="B84" s="921" t="s">
        <v>222</v>
      </c>
      <c r="C84" s="921" t="s">
        <v>223</v>
      </c>
      <c r="D84" s="957" t="str">
        <f>D$53</f>
        <v>Expenditures</v>
      </c>
      <c r="E84" s="957" t="str">
        <f t="shared" ref="E84:J84" si="11">E$53</f>
        <v>Overheads</v>
      </c>
      <c r="F84" s="957" t="str">
        <f t="shared" si="11"/>
        <v>CWIP Exp</v>
      </c>
      <c r="G84" s="3" t="str">
        <f t="shared" si="10"/>
        <v>Plant Adds</v>
      </c>
      <c r="H84" s="957" t="str">
        <f t="shared" si="11"/>
        <v>CWIP Closed</v>
      </c>
      <c r="I84" s="957" t="str">
        <f t="shared" si="11"/>
        <v>Closed to PIS</v>
      </c>
      <c r="J84" s="957" t="str">
        <f t="shared" si="11"/>
        <v>Period CWIP</v>
      </c>
      <c r="K84" s="957" t="str">
        <f>K$53</f>
        <v>Incremental CWIP</v>
      </c>
    </row>
    <row r="85" spans="1:11" s="962" customFormat="1" x14ac:dyDescent="0.2">
      <c r="A85" s="839">
        <f>A76+1</f>
        <v>52</v>
      </c>
      <c r="B85" s="922" t="s">
        <v>210</v>
      </c>
      <c r="C85" s="923">
        <f>C45</f>
        <v>2010</v>
      </c>
      <c r="D85" s="966" t="s">
        <v>88</v>
      </c>
      <c r="E85" s="966" t="s">
        <v>88</v>
      </c>
      <c r="F85" s="966" t="s">
        <v>88</v>
      </c>
      <c r="G85" s="966" t="s">
        <v>88</v>
      </c>
      <c r="H85" s="966" t="s">
        <v>88</v>
      </c>
      <c r="I85" s="966" t="s">
        <v>88</v>
      </c>
      <c r="J85" s="65">
        <f>E25</f>
        <v>581251930.19000006</v>
      </c>
      <c r="K85" s="966" t="s">
        <v>88</v>
      </c>
    </row>
    <row r="86" spans="1:11" s="962" customFormat="1" x14ac:dyDescent="0.2">
      <c r="A86" s="839">
        <f>A85+1</f>
        <v>53</v>
      </c>
      <c r="B86" s="922" t="s">
        <v>211</v>
      </c>
      <c r="C86" s="923">
        <f>C85+1</f>
        <v>2011</v>
      </c>
      <c r="D86" s="113">
        <v>26160445.969999999</v>
      </c>
      <c r="E86" s="65">
        <f>D86*'16-PlantAdditions'!$E$94</f>
        <v>1962033.4477499998</v>
      </c>
      <c r="F86" s="65">
        <f>E86+D86</f>
        <v>28122479.417749997</v>
      </c>
      <c r="G86" s="113">
        <v>0</v>
      </c>
      <c r="H86" s="113">
        <v>0</v>
      </c>
      <c r="I86" s="65">
        <f>(G86-H86)*'16-PlantAdditions'!$E$94</f>
        <v>0</v>
      </c>
      <c r="J86" s="65">
        <f>J85+F86-G86-I86</f>
        <v>609374409.60775006</v>
      </c>
      <c r="K86" s="65">
        <f>J86-J85</f>
        <v>28122479.417750001</v>
      </c>
    </row>
    <row r="87" spans="1:11" s="962" customFormat="1" x14ac:dyDescent="0.2">
      <c r="A87" s="839">
        <f t="shared" ref="A87:A106" si="12">A86+1</f>
        <v>54</v>
      </c>
      <c r="B87" s="925" t="s">
        <v>212</v>
      </c>
      <c r="C87" s="923">
        <f>C86</f>
        <v>2011</v>
      </c>
      <c r="D87" s="113">
        <v>42992173.920000002</v>
      </c>
      <c r="E87" s="65">
        <f>D87*'16-PlantAdditions'!$E$94</f>
        <v>3224413.0440000002</v>
      </c>
      <c r="F87" s="65">
        <f t="shared" ref="F87:F106" si="13">E87+D87</f>
        <v>46216586.964000002</v>
      </c>
      <c r="G87" s="113">
        <v>0</v>
      </c>
      <c r="H87" s="113">
        <v>0</v>
      </c>
      <c r="I87" s="65">
        <f>(G87-H87)*'16-PlantAdditions'!$E$94</f>
        <v>0</v>
      </c>
      <c r="J87" s="65">
        <f t="shared" ref="J87:J106" si="14">J86+F87-G87-I87</f>
        <v>655590996.57175004</v>
      </c>
      <c r="K87" s="65">
        <f>J87-J85</f>
        <v>74339066.381749988</v>
      </c>
    </row>
    <row r="88" spans="1:11" s="962" customFormat="1" x14ac:dyDescent="0.2">
      <c r="A88" s="839">
        <f t="shared" si="12"/>
        <v>55</v>
      </c>
      <c r="B88" s="925" t="s">
        <v>225</v>
      </c>
      <c r="C88" s="923">
        <f t="shared" ref="C88:C97" si="15">C87</f>
        <v>2011</v>
      </c>
      <c r="D88" s="113">
        <v>50925256.239999972</v>
      </c>
      <c r="E88" s="65">
        <f>D88*'16-PlantAdditions'!$E$94</f>
        <v>3819394.2179999975</v>
      </c>
      <c r="F88" s="65">
        <f t="shared" si="13"/>
        <v>54744650.457999967</v>
      </c>
      <c r="G88" s="113">
        <v>0</v>
      </c>
      <c r="H88" s="113">
        <v>0</v>
      </c>
      <c r="I88" s="65">
        <f>(G88-H88)*'16-PlantAdditions'!$E$94</f>
        <v>0</v>
      </c>
      <c r="J88" s="65">
        <f t="shared" si="14"/>
        <v>710335647.02974999</v>
      </c>
      <c r="K88" s="65">
        <f>J88-J85</f>
        <v>129083716.83974993</v>
      </c>
    </row>
    <row r="89" spans="1:11" s="962" customFormat="1" x14ac:dyDescent="0.2">
      <c r="A89" s="839">
        <f t="shared" si="12"/>
        <v>56</v>
      </c>
      <c r="B89" s="922" t="s">
        <v>213</v>
      </c>
      <c r="C89" s="923">
        <f t="shared" si="15"/>
        <v>2011</v>
      </c>
      <c r="D89" s="113">
        <v>67274063.479074374</v>
      </c>
      <c r="E89" s="65">
        <f>D89*'16-PlantAdditions'!$E$94</f>
        <v>5045554.7609305782</v>
      </c>
      <c r="F89" s="65">
        <f t="shared" si="13"/>
        <v>72319618.240004957</v>
      </c>
      <c r="G89" s="113">
        <v>0</v>
      </c>
      <c r="H89" s="113">
        <v>0</v>
      </c>
      <c r="I89" s="65">
        <f>(G89-H89)*'16-PlantAdditions'!$E$94</f>
        <v>0</v>
      </c>
      <c r="J89" s="65">
        <f t="shared" si="14"/>
        <v>782655265.26975489</v>
      </c>
      <c r="K89" s="65">
        <f>J89-J85</f>
        <v>201403335.07975483</v>
      </c>
    </row>
    <row r="90" spans="1:11" s="962" customFormat="1" x14ac:dyDescent="0.2">
      <c r="A90" s="839">
        <f t="shared" si="12"/>
        <v>57</v>
      </c>
      <c r="B90" s="925" t="s">
        <v>214</v>
      </c>
      <c r="C90" s="923">
        <f t="shared" si="15"/>
        <v>2011</v>
      </c>
      <c r="D90" s="113">
        <v>51928822.24423895</v>
      </c>
      <c r="E90" s="65">
        <f>D90*'16-PlantAdditions'!$E$94</f>
        <v>3894661.668317921</v>
      </c>
      <c r="F90" s="65">
        <f t="shared" si="13"/>
        <v>55823483.912556872</v>
      </c>
      <c r="G90" s="113">
        <v>1434520.61</v>
      </c>
      <c r="H90" s="113">
        <v>1026462.54</v>
      </c>
      <c r="I90" s="65">
        <f>(G90-H90)*'16-PlantAdditions'!$E$94</f>
        <v>30604.355250000004</v>
      </c>
      <c r="J90" s="65">
        <f t="shared" si="14"/>
        <v>837013624.21706176</v>
      </c>
      <c r="K90" s="65">
        <f>J90-J85</f>
        <v>255761694.0270617</v>
      </c>
    </row>
    <row r="91" spans="1:11" s="962" customFormat="1" x14ac:dyDescent="0.2">
      <c r="A91" s="839">
        <f t="shared" si="12"/>
        <v>58</v>
      </c>
      <c r="B91" s="925" t="s">
        <v>1920</v>
      </c>
      <c r="C91" s="923">
        <f t="shared" si="15"/>
        <v>2011</v>
      </c>
      <c r="D91" s="113">
        <v>46895827.448064633</v>
      </c>
      <c r="E91" s="65">
        <f>D91*'16-PlantAdditions'!$E$94</f>
        <v>3517187.0586048472</v>
      </c>
      <c r="F91" s="65">
        <f t="shared" si="13"/>
        <v>50413014.506669477</v>
      </c>
      <c r="G91" s="113">
        <v>0</v>
      </c>
      <c r="H91" s="113">
        <v>0</v>
      </c>
      <c r="I91" s="65">
        <f>(G91-H91)*'16-PlantAdditions'!$E$94</f>
        <v>0</v>
      </c>
      <c r="J91" s="65">
        <f t="shared" si="14"/>
        <v>887426638.72373128</v>
      </c>
      <c r="K91" s="65">
        <f>J91-J85</f>
        <v>306174708.53373122</v>
      </c>
    </row>
    <row r="92" spans="1:11" s="962" customFormat="1" x14ac:dyDescent="0.2">
      <c r="A92" s="839">
        <f t="shared" si="12"/>
        <v>59</v>
      </c>
      <c r="B92" s="922" t="s">
        <v>216</v>
      </c>
      <c r="C92" s="923">
        <f t="shared" si="15"/>
        <v>2011</v>
      </c>
      <c r="D92" s="113">
        <v>35916000.616382733</v>
      </c>
      <c r="E92" s="65">
        <f>D92*'16-PlantAdditions'!$E$94</f>
        <v>2693700.046228705</v>
      </c>
      <c r="F92" s="65">
        <f t="shared" si="13"/>
        <v>38609700.66261144</v>
      </c>
      <c r="G92" s="113">
        <v>1213616.2600000002</v>
      </c>
      <c r="H92" s="113">
        <v>1213616.26</v>
      </c>
      <c r="I92" s="65">
        <f>(G92-H92)*'16-PlantAdditions'!$E$94</f>
        <v>1.7462298274040222E-11</v>
      </c>
      <c r="J92" s="65">
        <f t="shared" si="14"/>
        <v>924822723.12634277</v>
      </c>
      <c r="K92" s="65">
        <f>J92-J85</f>
        <v>343570792.93634272</v>
      </c>
    </row>
    <row r="93" spans="1:11" s="962" customFormat="1" x14ac:dyDescent="0.2">
      <c r="A93" s="839">
        <f t="shared" si="12"/>
        <v>60</v>
      </c>
      <c r="B93" s="925" t="s">
        <v>217</v>
      </c>
      <c r="C93" s="923">
        <f t="shared" si="15"/>
        <v>2011</v>
      </c>
      <c r="D93" s="113">
        <v>27571314.448208436</v>
      </c>
      <c r="E93" s="65">
        <f>D93*'16-PlantAdditions'!$E$94</f>
        <v>2067848.5836156327</v>
      </c>
      <c r="F93" s="65">
        <f t="shared" si="13"/>
        <v>29639163.031824067</v>
      </c>
      <c r="G93" s="113">
        <v>0</v>
      </c>
      <c r="H93" s="113">
        <v>0</v>
      </c>
      <c r="I93" s="65">
        <f>(G93-H93)*'16-PlantAdditions'!$E$94</f>
        <v>0</v>
      </c>
      <c r="J93" s="65">
        <f t="shared" si="14"/>
        <v>954461886.15816689</v>
      </c>
      <c r="K93" s="65">
        <f>J93-J85</f>
        <v>373209955.96816683</v>
      </c>
    </row>
    <row r="94" spans="1:11" s="962" customFormat="1" x14ac:dyDescent="0.2">
      <c r="A94" s="839">
        <f t="shared" si="12"/>
        <v>61</v>
      </c>
      <c r="B94" s="925" t="s">
        <v>218</v>
      </c>
      <c r="C94" s="923">
        <f t="shared" si="15"/>
        <v>2011</v>
      </c>
      <c r="D94" s="113">
        <v>31755658.073803928</v>
      </c>
      <c r="E94" s="65">
        <f>D94*'16-PlantAdditions'!$E$94</f>
        <v>2381674.3555352944</v>
      </c>
      <c r="F94" s="65">
        <f t="shared" si="13"/>
        <v>34137332.429339223</v>
      </c>
      <c r="G94" s="113">
        <v>0</v>
      </c>
      <c r="H94" s="113">
        <v>0</v>
      </c>
      <c r="I94" s="65">
        <f>(G94-H94)*'16-PlantAdditions'!$E$94</f>
        <v>0</v>
      </c>
      <c r="J94" s="65">
        <f t="shared" si="14"/>
        <v>988599218.58750606</v>
      </c>
      <c r="K94" s="65">
        <f>J94-J85</f>
        <v>407347288.397506</v>
      </c>
    </row>
    <row r="95" spans="1:11" s="962" customFormat="1" x14ac:dyDescent="0.2">
      <c r="A95" s="839">
        <f t="shared" si="12"/>
        <v>62</v>
      </c>
      <c r="B95" s="922" t="s">
        <v>221</v>
      </c>
      <c r="C95" s="923">
        <f t="shared" si="15"/>
        <v>2011</v>
      </c>
      <c r="D95" s="113">
        <v>39289011.870263614</v>
      </c>
      <c r="E95" s="65">
        <f>D95*'16-PlantAdditions'!$E$94</f>
        <v>2946675.8902697708</v>
      </c>
      <c r="F95" s="65">
        <f t="shared" si="13"/>
        <v>42235687.760533385</v>
      </c>
      <c r="G95" s="113">
        <v>0</v>
      </c>
      <c r="H95" s="113">
        <v>0</v>
      </c>
      <c r="I95" s="65">
        <f>(G95-H95)*'16-PlantAdditions'!$E$94</f>
        <v>0</v>
      </c>
      <c r="J95" s="65">
        <f t="shared" si="14"/>
        <v>1030834906.3480394</v>
      </c>
      <c r="K95" s="65">
        <f>J95-J85</f>
        <v>449582976.15803933</v>
      </c>
    </row>
    <row r="96" spans="1:11" s="962" customFormat="1" x14ac:dyDescent="0.2">
      <c r="A96" s="839">
        <f t="shared" si="12"/>
        <v>63</v>
      </c>
      <c r="B96" s="922" t="s">
        <v>220</v>
      </c>
      <c r="C96" s="923">
        <f t="shared" si="15"/>
        <v>2011</v>
      </c>
      <c r="D96" s="113">
        <v>37699581.01682809</v>
      </c>
      <c r="E96" s="65">
        <f>D96*'16-PlantAdditions'!$E$94</f>
        <v>2827468.5762621067</v>
      </c>
      <c r="F96" s="65">
        <f t="shared" si="13"/>
        <v>40527049.593090199</v>
      </c>
      <c r="G96" s="113">
        <v>0</v>
      </c>
      <c r="H96" s="113">
        <v>0</v>
      </c>
      <c r="I96" s="65">
        <f>(G96-H96)*'16-PlantAdditions'!$E$94</f>
        <v>0</v>
      </c>
      <c r="J96" s="65">
        <f t="shared" si="14"/>
        <v>1071361955.9411296</v>
      </c>
      <c r="K96" s="65">
        <f>J96-J85</f>
        <v>490110025.75112951</v>
      </c>
    </row>
    <row r="97" spans="1:11" s="962" customFormat="1" x14ac:dyDescent="0.2">
      <c r="A97" s="839">
        <f t="shared" si="12"/>
        <v>64</v>
      </c>
      <c r="B97" s="922" t="s">
        <v>210</v>
      </c>
      <c r="C97" s="923">
        <f t="shared" si="15"/>
        <v>2011</v>
      </c>
      <c r="D97" s="113">
        <v>55368610.398510121</v>
      </c>
      <c r="E97" s="65">
        <f>D97*'16-PlantAdditions'!$E$94</f>
        <v>4152645.7798882588</v>
      </c>
      <c r="F97" s="65">
        <f t="shared" si="13"/>
        <v>59521256.178398378</v>
      </c>
      <c r="G97" s="113">
        <v>14616252.726075016</v>
      </c>
      <c r="H97" s="113">
        <v>7504295.6900000004</v>
      </c>
      <c r="I97" s="65">
        <f>(G97-H97)*'16-PlantAdditions'!$E$94</f>
        <v>533396.7777056261</v>
      </c>
      <c r="J97" s="65">
        <f t="shared" si="14"/>
        <v>1115733562.6157475</v>
      </c>
      <c r="K97" s="65">
        <f>J97-J85</f>
        <v>534481632.42574739</v>
      </c>
    </row>
    <row r="98" spans="1:11" s="962" customFormat="1" x14ac:dyDescent="0.2">
      <c r="A98" s="839">
        <f t="shared" si="12"/>
        <v>65</v>
      </c>
      <c r="B98" s="922" t="s">
        <v>211</v>
      </c>
      <c r="C98" s="923">
        <f>C97+1</f>
        <v>2012</v>
      </c>
      <c r="D98" s="113">
        <v>39352099.854759753</v>
      </c>
      <c r="E98" s="65">
        <f>D98*'16-PlantAdditions'!$E$94</f>
        <v>2951407.4891069815</v>
      </c>
      <c r="F98" s="65">
        <f t="shared" si="13"/>
        <v>42303507.343866736</v>
      </c>
      <c r="G98" s="113">
        <v>134784.70000000016</v>
      </c>
      <c r="H98" s="113">
        <v>0</v>
      </c>
      <c r="I98" s="65">
        <f>(G98-H98)*'16-PlantAdditions'!$E$94</f>
        <v>10108.852500000012</v>
      </c>
      <c r="J98" s="65">
        <f t="shared" si="14"/>
        <v>1157892176.4071143</v>
      </c>
      <c r="K98" s="65">
        <f>J98-J85</f>
        <v>576640246.21711421</v>
      </c>
    </row>
    <row r="99" spans="1:11" s="962" customFormat="1" x14ac:dyDescent="0.2">
      <c r="A99" s="839">
        <f t="shared" si="12"/>
        <v>66</v>
      </c>
      <c r="B99" s="925" t="s">
        <v>212</v>
      </c>
      <c r="C99" s="923">
        <f>C98</f>
        <v>2012</v>
      </c>
      <c r="D99" s="113">
        <v>30369876.015134044</v>
      </c>
      <c r="E99" s="65">
        <f>D99*'16-PlantAdditions'!$E$94</f>
        <v>2277740.7011350533</v>
      </c>
      <c r="F99" s="65">
        <f t="shared" si="13"/>
        <v>32647616.716269098</v>
      </c>
      <c r="G99" s="113">
        <v>91544.999999998254</v>
      </c>
      <c r="H99" s="113">
        <v>0</v>
      </c>
      <c r="I99" s="65">
        <f>(G99-H99)*'16-PlantAdditions'!$E$94</f>
        <v>6865.874999999869</v>
      </c>
      <c r="J99" s="65">
        <f t="shared" si="14"/>
        <v>1190441382.2483833</v>
      </c>
      <c r="K99" s="65">
        <f>J99-J85</f>
        <v>609189452.05838323</v>
      </c>
    </row>
    <row r="100" spans="1:11" s="962" customFormat="1" x14ac:dyDescent="0.2">
      <c r="A100" s="839">
        <f t="shared" si="12"/>
        <v>67</v>
      </c>
      <c r="B100" s="925" t="s">
        <v>225</v>
      </c>
      <c r="C100" s="923">
        <f t="shared" ref="C100:C106" si="16">C99</f>
        <v>2012</v>
      </c>
      <c r="D100" s="113">
        <v>58671592.443284132</v>
      </c>
      <c r="E100" s="65">
        <f>D100*'16-PlantAdditions'!$E$94</f>
        <v>4400369.4332463099</v>
      </c>
      <c r="F100" s="65">
        <f t="shared" si="13"/>
        <v>63071961.876530439</v>
      </c>
      <c r="G100" s="113">
        <v>151081049.87491083</v>
      </c>
      <c r="H100" s="113">
        <v>59914750.149999999</v>
      </c>
      <c r="I100" s="65">
        <f>(G100-H100)*'16-PlantAdditions'!$E$94</f>
        <v>6837472.4793683114</v>
      </c>
      <c r="J100" s="65">
        <f t="shared" si="14"/>
        <v>1095594821.7706347</v>
      </c>
      <c r="K100" s="65">
        <f>J100-J85</f>
        <v>514342891.58063459</v>
      </c>
    </row>
    <row r="101" spans="1:11" s="962" customFormat="1" x14ac:dyDescent="0.2">
      <c r="A101" s="839">
        <f t="shared" si="12"/>
        <v>68</v>
      </c>
      <c r="B101" s="922" t="s">
        <v>213</v>
      </c>
      <c r="C101" s="923">
        <f t="shared" si="16"/>
        <v>2012</v>
      </c>
      <c r="D101" s="113">
        <v>35532738.954855807</v>
      </c>
      <c r="E101" s="65">
        <f>D101*'16-PlantAdditions'!$E$94</f>
        <v>2664955.4216141854</v>
      </c>
      <c r="F101" s="65">
        <f t="shared" si="13"/>
        <v>38197694.376469992</v>
      </c>
      <c r="G101" s="113">
        <v>6759122.1769067049</v>
      </c>
      <c r="H101" s="113">
        <v>0</v>
      </c>
      <c r="I101" s="65">
        <f>(G101-H101)*'16-PlantAdditions'!$E$94</f>
        <v>506934.16326800286</v>
      </c>
      <c r="J101" s="65">
        <f t="shared" si="14"/>
        <v>1126526459.8069301</v>
      </c>
      <c r="K101" s="65">
        <f>J101-J85</f>
        <v>545274529.61693001</v>
      </c>
    </row>
    <row r="102" spans="1:11" s="962" customFormat="1" x14ac:dyDescent="0.2">
      <c r="A102" s="839">
        <f t="shared" si="12"/>
        <v>69</v>
      </c>
      <c r="B102" s="925" t="s">
        <v>214</v>
      </c>
      <c r="C102" s="923">
        <f t="shared" si="16"/>
        <v>2012</v>
      </c>
      <c r="D102" s="113">
        <v>32128720.783476397</v>
      </c>
      <c r="E102" s="65">
        <f>D102*'16-PlantAdditions'!$E$94</f>
        <v>2409654.0587607296</v>
      </c>
      <c r="F102" s="65">
        <f t="shared" si="13"/>
        <v>34538374.84223713</v>
      </c>
      <c r="G102" s="113">
        <v>421118694.04496974</v>
      </c>
      <c r="H102" s="113">
        <v>241404065.09</v>
      </c>
      <c r="I102" s="65">
        <f>(G102-H102)*'16-PlantAdditions'!$E$94</f>
        <v>13478597.171622729</v>
      </c>
      <c r="J102" s="65">
        <f t="shared" si="14"/>
        <v>726467543.43257475</v>
      </c>
      <c r="K102" s="65">
        <f>J102-J85</f>
        <v>145215613.24257469</v>
      </c>
    </row>
    <row r="103" spans="1:11" s="962" customFormat="1" x14ac:dyDescent="0.2">
      <c r="A103" s="839">
        <f t="shared" si="12"/>
        <v>70</v>
      </c>
      <c r="B103" s="925" t="s">
        <v>1920</v>
      </c>
      <c r="C103" s="923">
        <f t="shared" si="16"/>
        <v>2012</v>
      </c>
      <c r="D103" s="113">
        <v>23546524.440006111</v>
      </c>
      <c r="E103" s="65">
        <f>D103*'16-PlantAdditions'!$E$94</f>
        <v>1765989.3330004583</v>
      </c>
      <c r="F103" s="65">
        <f t="shared" si="13"/>
        <v>25312513.77300657</v>
      </c>
      <c r="G103" s="113">
        <v>3011160.6194962515</v>
      </c>
      <c r="H103" s="113">
        <v>0</v>
      </c>
      <c r="I103" s="65">
        <f>(G103-H103)*'16-PlantAdditions'!$E$94</f>
        <v>225837.04646221886</v>
      </c>
      <c r="J103" s="65">
        <f t="shared" si="14"/>
        <v>748543059.5396229</v>
      </c>
      <c r="K103" s="65">
        <f>J103-J85</f>
        <v>167291129.34962285</v>
      </c>
    </row>
    <row r="104" spans="1:11" s="962" customFormat="1" x14ac:dyDescent="0.2">
      <c r="A104" s="839">
        <f t="shared" si="12"/>
        <v>71</v>
      </c>
      <c r="B104" s="922" t="s">
        <v>216</v>
      </c>
      <c r="C104" s="923">
        <f t="shared" si="16"/>
        <v>2012</v>
      </c>
      <c r="D104" s="113">
        <v>23593853.032790836</v>
      </c>
      <c r="E104" s="65">
        <f>D104*'16-PlantAdditions'!$E$94</f>
        <v>1769538.9774593126</v>
      </c>
      <c r="F104" s="65">
        <f t="shared" si="13"/>
        <v>25363392.010250147</v>
      </c>
      <c r="G104" s="113">
        <v>1863382.6219465118</v>
      </c>
      <c r="H104" s="113">
        <v>0</v>
      </c>
      <c r="I104" s="65">
        <f>(G104-H104)*'16-PlantAdditions'!$E$94</f>
        <v>139753.69664598838</v>
      </c>
      <c r="J104" s="65">
        <f t="shared" si="14"/>
        <v>771903315.23128057</v>
      </c>
      <c r="K104" s="65">
        <f>J104-J85</f>
        <v>190651385.04128051</v>
      </c>
    </row>
    <row r="105" spans="1:11" s="962" customFormat="1" x14ac:dyDescent="0.2">
      <c r="A105" s="839">
        <f t="shared" si="12"/>
        <v>72</v>
      </c>
      <c r="B105" s="925" t="s">
        <v>217</v>
      </c>
      <c r="C105" s="923">
        <f t="shared" si="16"/>
        <v>2012</v>
      </c>
      <c r="D105" s="113">
        <v>24286586.80994745</v>
      </c>
      <c r="E105" s="65">
        <f>D105*'16-PlantAdditions'!$E$94</f>
        <v>1821494.0107460588</v>
      </c>
      <c r="F105" s="65">
        <f t="shared" si="13"/>
        <v>26108080.820693508</v>
      </c>
      <c r="G105" s="113">
        <v>1604547.5278727245</v>
      </c>
      <c r="H105" s="113">
        <v>0</v>
      </c>
      <c r="I105" s="65">
        <f>(G105-H105)*'16-PlantAdditions'!$E$94</f>
        <v>120341.06459045433</v>
      </c>
      <c r="J105" s="65">
        <f t="shared" si="14"/>
        <v>796286507.45951092</v>
      </c>
      <c r="K105" s="65">
        <f>J105-J85</f>
        <v>215034577.26951087</v>
      </c>
    </row>
    <row r="106" spans="1:11" s="962" customFormat="1" x14ac:dyDescent="0.2">
      <c r="A106" s="839">
        <f t="shared" si="12"/>
        <v>73</v>
      </c>
      <c r="B106" s="925" t="s">
        <v>218</v>
      </c>
      <c r="C106" s="923">
        <f t="shared" si="16"/>
        <v>2012</v>
      </c>
      <c r="D106" s="113">
        <v>18903464.841182869</v>
      </c>
      <c r="E106" s="65">
        <f>D106*'16-PlantAdditions'!$E$94</f>
        <v>1417759.8630887151</v>
      </c>
      <c r="F106" s="65">
        <f t="shared" si="13"/>
        <v>20321224.704271585</v>
      </c>
      <c r="G106" s="113">
        <v>1520282.3051633313</v>
      </c>
      <c r="H106" s="113">
        <v>0</v>
      </c>
      <c r="I106" s="65">
        <f>(G106-H106)*'16-PlantAdditions'!$E$94</f>
        <v>114021.17288724985</v>
      </c>
      <c r="J106" s="65">
        <f t="shared" si="14"/>
        <v>814973428.68573189</v>
      </c>
      <c r="K106" s="118">
        <f>J106-J85</f>
        <v>233721498.49573183</v>
      </c>
    </row>
    <row r="107" spans="1:11" s="962" customFormat="1" x14ac:dyDescent="0.2">
      <c r="A107" s="839">
        <f>A106+1</f>
        <v>74</v>
      </c>
      <c r="B107"/>
      <c r="C107" s="961" t="s">
        <v>2309</v>
      </c>
      <c r="D107"/>
      <c r="E107"/>
      <c r="F107"/>
      <c r="G107"/>
      <c r="H107"/>
      <c r="I107"/>
      <c r="J107"/>
      <c r="K107" s="77">
        <f>AVERAGE(K94:K106)</f>
        <v>390683326.58493894</v>
      </c>
    </row>
    <row r="108" spans="1:11" s="962" customFormat="1" x14ac:dyDescent="0.2">
      <c r="A108" s="839"/>
      <c r="B108"/>
      <c r="C108" s="961"/>
      <c r="D108"/>
      <c r="E108"/>
      <c r="F108"/>
      <c r="G108"/>
      <c r="H108"/>
      <c r="I108"/>
      <c r="J108"/>
      <c r="K108" s="77"/>
    </row>
    <row r="109" spans="1:11" s="962" customFormat="1" x14ac:dyDescent="0.2">
      <c r="B109" s="963" t="s">
        <v>2919</v>
      </c>
      <c r="D109" s="1206" t="s">
        <v>2920</v>
      </c>
      <c r="E109" s="1206"/>
    </row>
    <row r="110" spans="1:11" s="962" customFormat="1" x14ac:dyDescent="0.2">
      <c r="D110" s="964"/>
      <c r="E110" s="964"/>
      <c r="F110" s="964"/>
      <c r="G110" s="839" t="str">
        <f>G51</f>
        <v>Unloaded</v>
      </c>
      <c r="H110" s="964"/>
      <c r="I110" s="964"/>
    </row>
    <row r="111" spans="1:11" s="962" customFormat="1" x14ac:dyDescent="0.2">
      <c r="A111" s="959"/>
      <c r="B111" s="959"/>
      <c r="C111" s="959"/>
      <c r="D111" s="959" t="str">
        <f>D$52</f>
        <v>Forecast</v>
      </c>
      <c r="E111" s="959" t="str">
        <f t="shared" ref="E111:J111" si="17">E$52</f>
        <v>Corporate</v>
      </c>
      <c r="F111" s="959" t="str">
        <f t="shared" si="17"/>
        <v xml:space="preserve">Total </v>
      </c>
      <c r="G111" s="839" t="str">
        <f t="shared" ref="G111:G112" si="18">G52</f>
        <v>Total</v>
      </c>
      <c r="H111" s="959" t="str">
        <f t="shared" si="17"/>
        <v>Prior Period</v>
      </c>
      <c r="I111" s="959" t="str">
        <f t="shared" si="17"/>
        <v>Over Heads</v>
      </c>
      <c r="J111" s="959" t="str">
        <f t="shared" si="17"/>
        <v>Forecast</v>
      </c>
      <c r="K111" s="839" t="str">
        <f>K$52</f>
        <v>Forecast Period</v>
      </c>
    </row>
    <row r="112" spans="1:11" s="962" customFormat="1" x14ac:dyDescent="0.2">
      <c r="A112" s="53" t="s">
        <v>372</v>
      </c>
      <c r="B112" s="921" t="s">
        <v>222</v>
      </c>
      <c r="C112" s="921" t="s">
        <v>223</v>
      </c>
      <c r="D112" s="957" t="str">
        <f>D$53</f>
        <v>Expenditures</v>
      </c>
      <c r="E112" s="957" t="str">
        <f t="shared" ref="E112:J112" si="19">E$53</f>
        <v>Overheads</v>
      </c>
      <c r="F112" s="957" t="str">
        <f t="shared" si="19"/>
        <v>CWIP Exp</v>
      </c>
      <c r="G112" s="3" t="str">
        <f t="shared" si="18"/>
        <v>Plant Adds</v>
      </c>
      <c r="H112" s="957" t="str">
        <f t="shared" si="19"/>
        <v>CWIP Closed</v>
      </c>
      <c r="I112" s="957" t="str">
        <f t="shared" si="19"/>
        <v>Closed to PIS</v>
      </c>
      <c r="J112" s="957" t="str">
        <f t="shared" si="19"/>
        <v>Period CWIP</v>
      </c>
      <c r="K112" s="957" t="str">
        <f>K$53</f>
        <v>Incremental CWIP</v>
      </c>
    </row>
    <row r="113" spans="1:11" s="962" customFormat="1" x14ac:dyDescent="0.2">
      <c r="A113" s="839">
        <f>A107+1</f>
        <v>75</v>
      </c>
      <c r="B113" s="922" t="s">
        <v>210</v>
      </c>
      <c r="C113" s="923">
        <f>C85</f>
        <v>2010</v>
      </c>
      <c r="D113" s="966" t="s">
        <v>88</v>
      </c>
      <c r="E113" s="966" t="s">
        <v>88</v>
      </c>
      <c r="F113" s="966" t="s">
        <v>88</v>
      </c>
      <c r="G113" s="966" t="s">
        <v>88</v>
      </c>
      <c r="H113" s="966" t="s">
        <v>88</v>
      </c>
      <c r="I113" s="966" t="s">
        <v>88</v>
      </c>
      <c r="J113" s="65">
        <f>F25</f>
        <v>46741390.93</v>
      </c>
      <c r="K113" s="966" t="s">
        <v>88</v>
      </c>
    </row>
    <row r="114" spans="1:11" s="962" customFormat="1" x14ac:dyDescent="0.2">
      <c r="A114" s="839">
        <f>A113+1</f>
        <v>76</v>
      </c>
      <c r="B114" s="922" t="s">
        <v>211</v>
      </c>
      <c r="C114" s="923">
        <f>C113+1</f>
        <v>2011</v>
      </c>
      <c r="D114" s="113">
        <v>1290657.5900000003</v>
      </c>
      <c r="E114" s="65">
        <f>D114*'16-PlantAdditions'!$E$94</f>
        <v>96799.319250000015</v>
      </c>
      <c r="F114" s="65">
        <f>E114+D114</f>
        <v>1387456.9092500003</v>
      </c>
      <c r="G114" s="113">
        <v>0</v>
      </c>
      <c r="H114" s="113">
        <v>0</v>
      </c>
      <c r="I114" s="65">
        <f>(G114-H114)*'16-PlantAdditions'!$E$94</f>
        <v>0</v>
      </c>
      <c r="J114" s="65">
        <f>J113+F114-G114-I114</f>
        <v>48128847.839249998</v>
      </c>
      <c r="K114" s="65">
        <f>J114-J113</f>
        <v>1387456.9092499986</v>
      </c>
    </row>
    <row r="115" spans="1:11" s="962" customFormat="1" x14ac:dyDescent="0.2">
      <c r="A115" s="839">
        <f t="shared" ref="A115:A134" si="20">A114+1</f>
        <v>77</v>
      </c>
      <c r="B115" s="925" t="s">
        <v>212</v>
      </c>
      <c r="C115" s="923">
        <f>C114</f>
        <v>2011</v>
      </c>
      <c r="D115" s="113">
        <v>1661305.6099999999</v>
      </c>
      <c r="E115" s="65">
        <f>D115*'16-PlantAdditions'!$E$94</f>
        <v>124597.92074999999</v>
      </c>
      <c r="F115" s="65">
        <f t="shared" ref="F115:F134" si="21">E115+D115</f>
        <v>1785903.5307499999</v>
      </c>
      <c r="G115" s="113">
        <v>0</v>
      </c>
      <c r="H115" s="113">
        <v>0</v>
      </c>
      <c r="I115" s="65">
        <f>(G115-H115)*'16-PlantAdditions'!$E$94</f>
        <v>0</v>
      </c>
      <c r="J115" s="65">
        <f t="shared" ref="J115:J134" si="22">J114+F115-G115-I115</f>
        <v>49914751.369999997</v>
      </c>
      <c r="K115" s="65">
        <f>J115-J113</f>
        <v>3173360.4399999976</v>
      </c>
    </row>
    <row r="116" spans="1:11" s="962" customFormat="1" x14ac:dyDescent="0.2">
      <c r="A116" s="839">
        <f t="shared" si="20"/>
        <v>78</v>
      </c>
      <c r="B116" s="925" t="s">
        <v>225</v>
      </c>
      <c r="C116" s="923">
        <f t="shared" ref="C116:C125" si="23">C115</f>
        <v>2011</v>
      </c>
      <c r="D116" s="113">
        <v>2840648.5100000002</v>
      </c>
      <c r="E116" s="65">
        <f>D116*'16-PlantAdditions'!$E$94</f>
        <v>213048.63825000002</v>
      </c>
      <c r="F116" s="65">
        <f t="shared" si="21"/>
        <v>3053697.1482500001</v>
      </c>
      <c r="G116" s="113">
        <v>0</v>
      </c>
      <c r="H116" s="113">
        <v>0</v>
      </c>
      <c r="I116" s="65">
        <f>(G116-H116)*'16-PlantAdditions'!$E$94</f>
        <v>0</v>
      </c>
      <c r="J116" s="65">
        <f t="shared" si="22"/>
        <v>52968448.518249996</v>
      </c>
      <c r="K116" s="65">
        <f>J116-J113</f>
        <v>6227057.5882499963</v>
      </c>
    </row>
    <row r="117" spans="1:11" s="962" customFormat="1" x14ac:dyDescent="0.2">
      <c r="A117" s="839">
        <f t="shared" si="20"/>
        <v>79</v>
      </c>
      <c r="B117" s="922" t="s">
        <v>213</v>
      </c>
      <c r="C117" s="923">
        <f t="shared" si="23"/>
        <v>2011</v>
      </c>
      <c r="D117" s="113">
        <v>2303441.888888889</v>
      </c>
      <c r="E117" s="65">
        <f>D117*'16-PlantAdditions'!$E$94</f>
        <v>172758.14166666666</v>
      </c>
      <c r="F117" s="65">
        <f t="shared" si="21"/>
        <v>2476200.0305555556</v>
      </c>
      <c r="G117" s="113">
        <v>0</v>
      </c>
      <c r="H117" s="113">
        <v>0</v>
      </c>
      <c r="I117" s="65">
        <f>(G117-H117)*'16-PlantAdditions'!$E$94</f>
        <v>0</v>
      </c>
      <c r="J117" s="65">
        <f t="shared" si="22"/>
        <v>55444648.54880555</v>
      </c>
      <c r="K117" s="65">
        <f>J117-J113</f>
        <v>8703257.61880555</v>
      </c>
    </row>
    <row r="118" spans="1:11" s="962" customFormat="1" x14ac:dyDescent="0.2">
      <c r="A118" s="839">
        <f t="shared" si="20"/>
        <v>80</v>
      </c>
      <c r="B118" s="925" t="s">
        <v>214</v>
      </c>
      <c r="C118" s="923">
        <f t="shared" si="23"/>
        <v>2011</v>
      </c>
      <c r="D118" s="113">
        <v>1093941.888888889</v>
      </c>
      <c r="E118" s="65">
        <f>D118*'16-PlantAdditions'!$E$94</f>
        <v>82045.641666666677</v>
      </c>
      <c r="F118" s="65">
        <f t="shared" si="21"/>
        <v>1175987.5305555556</v>
      </c>
      <c r="G118" s="113">
        <v>0</v>
      </c>
      <c r="H118" s="113">
        <v>0</v>
      </c>
      <c r="I118" s="65">
        <f>(G118-H118)*'16-PlantAdditions'!$E$94</f>
        <v>0</v>
      </c>
      <c r="J118" s="65">
        <f t="shared" si="22"/>
        <v>56620636.079361103</v>
      </c>
      <c r="K118" s="65">
        <f>J118-J113</f>
        <v>9879245.1493611038</v>
      </c>
    </row>
    <row r="119" spans="1:11" s="962" customFormat="1" x14ac:dyDescent="0.2">
      <c r="A119" s="839">
        <f t="shared" si="20"/>
        <v>81</v>
      </c>
      <c r="B119" s="925" t="s">
        <v>1920</v>
      </c>
      <c r="C119" s="923">
        <f t="shared" si="23"/>
        <v>2011</v>
      </c>
      <c r="D119" s="113">
        <v>13600518.026204962</v>
      </c>
      <c r="E119" s="65">
        <f>D119*'16-PlantAdditions'!$E$94</f>
        <v>1020038.8519653721</v>
      </c>
      <c r="F119" s="65">
        <f t="shared" si="21"/>
        <v>14620556.878170334</v>
      </c>
      <c r="G119" s="113">
        <v>0</v>
      </c>
      <c r="H119" s="113">
        <v>0</v>
      </c>
      <c r="I119" s="65">
        <f>(G119-H119)*'16-PlantAdditions'!$E$94</f>
        <v>0</v>
      </c>
      <c r="J119" s="65">
        <f t="shared" si="22"/>
        <v>71241192.957531437</v>
      </c>
      <c r="K119" s="65">
        <f>J119-J113</f>
        <v>24499802.027531438</v>
      </c>
    </row>
    <row r="120" spans="1:11" s="962" customFormat="1" x14ac:dyDescent="0.2">
      <c r="A120" s="839">
        <f t="shared" si="20"/>
        <v>82</v>
      </c>
      <c r="B120" s="922" t="s">
        <v>216</v>
      </c>
      <c r="C120" s="923">
        <f t="shared" si="23"/>
        <v>2011</v>
      </c>
      <c r="D120" s="113">
        <v>3562021.8598924605</v>
      </c>
      <c r="E120" s="65">
        <f>D120*'16-PlantAdditions'!$E$94</f>
        <v>267151.6394919345</v>
      </c>
      <c r="F120" s="65">
        <f t="shared" si="21"/>
        <v>3829173.4993843948</v>
      </c>
      <c r="G120" s="113">
        <v>0</v>
      </c>
      <c r="H120" s="113">
        <v>0</v>
      </c>
      <c r="I120" s="65">
        <f>(G120-H120)*'16-PlantAdditions'!$E$94</f>
        <v>0</v>
      </c>
      <c r="J120" s="65">
        <f t="shared" si="22"/>
        <v>75070366.456915826</v>
      </c>
      <c r="K120" s="65">
        <f>J120-J113</f>
        <v>28328975.526915826</v>
      </c>
    </row>
    <row r="121" spans="1:11" s="962" customFormat="1" x14ac:dyDescent="0.2">
      <c r="A121" s="839">
        <f t="shared" si="20"/>
        <v>83</v>
      </c>
      <c r="B121" s="925" t="s">
        <v>217</v>
      </c>
      <c r="C121" s="923">
        <f t="shared" si="23"/>
        <v>2011</v>
      </c>
      <c r="D121" s="113">
        <v>2994924.1601049607</v>
      </c>
      <c r="E121" s="65">
        <f>D121*'16-PlantAdditions'!$E$94</f>
        <v>224619.31200787204</v>
      </c>
      <c r="F121" s="65">
        <f t="shared" si="21"/>
        <v>3219543.4721128326</v>
      </c>
      <c r="G121" s="113">
        <v>0</v>
      </c>
      <c r="H121" s="113">
        <v>0</v>
      </c>
      <c r="I121" s="65">
        <f>(G121-H121)*'16-PlantAdditions'!$E$94</f>
        <v>0</v>
      </c>
      <c r="J121" s="65">
        <f t="shared" si="22"/>
        <v>78289909.92902866</v>
      </c>
      <c r="K121" s="65">
        <f>J121-J113</f>
        <v>31548518.99902866</v>
      </c>
    </row>
    <row r="122" spans="1:11" s="962" customFormat="1" x14ac:dyDescent="0.2">
      <c r="A122" s="839">
        <f t="shared" si="20"/>
        <v>84</v>
      </c>
      <c r="B122" s="925" t="s">
        <v>218</v>
      </c>
      <c r="C122" s="923">
        <f t="shared" si="23"/>
        <v>2011</v>
      </c>
      <c r="D122" s="113">
        <v>2452826.4603174604</v>
      </c>
      <c r="E122" s="65">
        <f>D122*'16-PlantAdditions'!$E$94</f>
        <v>183961.98452380951</v>
      </c>
      <c r="F122" s="65">
        <f t="shared" si="21"/>
        <v>2636788.4448412699</v>
      </c>
      <c r="G122" s="113">
        <v>0</v>
      </c>
      <c r="H122" s="113">
        <v>0</v>
      </c>
      <c r="I122" s="65">
        <f>(G122-H122)*'16-PlantAdditions'!$E$94</f>
        <v>0</v>
      </c>
      <c r="J122" s="65">
        <f t="shared" si="22"/>
        <v>80926698.373869926</v>
      </c>
      <c r="K122" s="65">
        <f>J122-J113</f>
        <v>34185307.443869926</v>
      </c>
    </row>
    <row r="123" spans="1:11" s="962" customFormat="1" x14ac:dyDescent="0.2">
      <c r="A123" s="839">
        <f t="shared" si="20"/>
        <v>85</v>
      </c>
      <c r="B123" s="922" t="s">
        <v>221</v>
      </c>
      <c r="C123" s="923">
        <f t="shared" si="23"/>
        <v>2011</v>
      </c>
      <c r="D123" s="113">
        <v>12497206.777025796</v>
      </c>
      <c r="E123" s="65">
        <f>D123*'16-PlantAdditions'!$E$94</f>
        <v>937290.50827693474</v>
      </c>
      <c r="F123" s="65">
        <f t="shared" si="21"/>
        <v>13434497.285302732</v>
      </c>
      <c r="G123" s="113">
        <v>0</v>
      </c>
      <c r="H123" s="113">
        <v>0</v>
      </c>
      <c r="I123" s="65">
        <f>(G123-H123)*'16-PlantAdditions'!$E$94</f>
        <v>0</v>
      </c>
      <c r="J123" s="65">
        <f t="shared" si="22"/>
        <v>94361195.659172654</v>
      </c>
      <c r="K123" s="65">
        <f>J123-J113</f>
        <v>47619804.729172654</v>
      </c>
    </row>
    <row r="124" spans="1:11" s="962" customFormat="1" x14ac:dyDescent="0.2">
      <c r="A124" s="839">
        <f t="shared" si="20"/>
        <v>86</v>
      </c>
      <c r="B124" s="922" t="s">
        <v>220</v>
      </c>
      <c r="C124" s="923">
        <f t="shared" si="23"/>
        <v>2011</v>
      </c>
      <c r="D124" s="113">
        <v>12399206.777025796</v>
      </c>
      <c r="E124" s="65">
        <f>D124*'16-PlantAdditions'!$E$94</f>
        <v>929940.50827693474</v>
      </c>
      <c r="F124" s="65">
        <f t="shared" si="21"/>
        <v>13329147.285302732</v>
      </c>
      <c r="G124" s="113">
        <v>0</v>
      </c>
      <c r="H124" s="113">
        <v>0</v>
      </c>
      <c r="I124" s="65">
        <f>(G124-H124)*'16-PlantAdditions'!$E$94</f>
        <v>0</v>
      </c>
      <c r="J124" s="65">
        <f t="shared" si="22"/>
        <v>107690342.94447538</v>
      </c>
      <c r="K124" s="65">
        <f>J124-J113</f>
        <v>60948952.014475383</v>
      </c>
    </row>
    <row r="125" spans="1:11" s="962" customFormat="1" x14ac:dyDescent="0.2">
      <c r="A125" s="839">
        <f t="shared" si="20"/>
        <v>87</v>
      </c>
      <c r="B125" s="922" t="s">
        <v>210</v>
      </c>
      <c r="C125" s="923">
        <f t="shared" si="23"/>
        <v>2011</v>
      </c>
      <c r="D125" s="113">
        <v>13439731.777025795</v>
      </c>
      <c r="E125" s="65">
        <f>D125*'16-PlantAdditions'!$E$94</f>
        <v>1007979.8832769345</v>
      </c>
      <c r="F125" s="65">
        <f t="shared" si="21"/>
        <v>14447711.660302728</v>
      </c>
      <c r="G125" s="113">
        <v>0</v>
      </c>
      <c r="H125" s="113">
        <v>0</v>
      </c>
      <c r="I125" s="65">
        <f>(G125-H125)*'16-PlantAdditions'!$E$94</f>
        <v>0</v>
      </c>
      <c r="J125" s="65">
        <f t="shared" si="22"/>
        <v>122138054.60477811</v>
      </c>
      <c r="K125" s="65">
        <f>J125-J113</f>
        <v>75396663.674778104</v>
      </c>
    </row>
    <row r="126" spans="1:11" s="962" customFormat="1" x14ac:dyDescent="0.2">
      <c r="A126" s="839">
        <f t="shared" si="20"/>
        <v>88</v>
      </c>
      <c r="B126" s="922" t="s">
        <v>211</v>
      </c>
      <c r="C126" s="923">
        <f>C125+1</f>
        <v>2012</v>
      </c>
      <c r="D126" s="113">
        <v>9043516.1708333343</v>
      </c>
      <c r="E126" s="65">
        <f>D126*'16-PlantAdditions'!$E$94</f>
        <v>678263.71281250007</v>
      </c>
      <c r="F126" s="65">
        <f t="shared" si="21"/>
        <v>9721779.8836458344</v>
      </c>
      <c r="G126" s="113">
        <v>0</v>
      </c>
      <c r="H126" s="113">
        <v>0</v>
      </c>
      <c r="I126" s="65">
        <f>(G126-H126)*'16-PlantAdditions'!$E$94</f>
        <v>0</v>
      </c>
      <c r="J126" s="65">
        <f t="shared" si="22"/>
        <v>131859834.48842394</v>
      </c>
      <c r="K126" s="65">
        <f>J126-J113</f>
        <v>85118443.558423936</v>
      </c>
    </row>
    <row r="127" spans="1:11" s="962" customFormat="1" x14ac:dyDescent="0.2">
      <c r="A127" s="839">
        <f t="shared" si="20"/>
        <v>89</v>
      </c>
      <c r="B127" s="925" t="s">
        <v>212</v>
      </c>
      <c r="C127" s="923">
        <f>C126</f>
        <v>2012</v>
      </c>
      <c r="D127" s="113">
        <v>12945008.290833332</v>
      </c>
      <c r="E127" s="65">
        <f>D127*'16-PlantAdditions'!$E$94</f>
        <v>970875.62181249983</v>
      </c>
      <c r="F127" s="65">
        <f t="shared" si="21"/>
        <v>13915883.912645832</v>
      </c>
      <c r="G127" s="113">
        <v>0</v>
      </c>
      <c r="H127" s="113">
        <v>0</v>
      </c>
      <c r="I127" s="65">
        <f>(G127-H127)*'16-PlantAdditions'!$E$94</f>
        <v>0</v>
      </c>
      <c r="J127" s="65">
        <f t="shared" si="22"/>
        <v>145775718.40106976</v>
      </c>
      <c r="K127" s="65">
        <f>J127-J113</f>
        <v>99034327.471069753</v>
      </c>
    </row>
    <row r="128" spans="1:11" s="962" customFormat="1" x14ac:dyDescent="0.2">
      <c r="A128" s="839">
        <f t="shared" si="20"/>
        <v>90</v>
      </c>
      <c r="B128" s="925" t="s">
        <v>225</v>
      </c>
      <c r="C128" s="923">
        <f t="shared" ref="C128:C134" si="24">C127</f>
        <v>2012</v>
      </c>
      <c r="D128" s="113">
        <v>17235253.170833334</v>
      </c>
      <c r="E128" s="65">
        <f>D128*'16-PlantAdditions'!$E$94</f>
        <v>1292643.9878125</v>
      </c>
      <c r="F128" s="65">
        <f t="shared" si="21"/>
        <v>18527897.158645835</v>
      </c>
      <c r="G128" s="113">
        <v>0</v>
      </c>
      <c r="H128" s="113">
        <v>0</v>
      </c>
      <c r="I128" s="65">
        <f>(G128-H128)*'16-PlantAdditions'!$E$94</f>
        <v>0</v>
      </c>
      <c r="J128" s="65">
        <f t="shared" si="22"/>
        <v>164303615.5597156</v>
      </c>
      <c r="K128" s="65">
        <f>J128-J113</f>
        <v>117562224.62971559</v>
      </c>
    </row>
    <row r="129" spans="1:11" s="962" customFormat="1" x14ac:dyDescent="0.2">
      <c r="A129" s="839">
        <f t="shared" si="20"/>
        <v>91</v>
      </c>
      <c r="B129" s="922" t="s">
        <v>213</v>
      </c>
      <c r="C129" s="923">
        <f t="shared" si="24"/>
        <v>2012</v>
      </c>
      <c r="D129" s="113">
        <v>23355851.126666669</v>
      </c>
      <c r="E129" s="65">
        <f>D129*'16-PlantAdditions'!$E$94</f>
        <v>1751688.8345000001</v>
      </c>
      <c r="F129" s="65">
        <f t="shared" si="21"/>
        <v>25107539.961166669</v>
      </c>
      <c r="G129" s="113">
        <v>0</v>
      </c>
      <c r="H129" s="113">
        <v>0</v>
      </c>
      <c r="I129" s="65">
        <f>(G129-H129)*'16-PlantAdditions'!$E$94</f>
        <v>0</v>
      </c>
      <c r="J129" s="65">
        <f t="shared" si="22"/>
        <v>189411155.52088228</v>
      </c>
      <c r="K129" s="65">
        <f>J129-J113</f>
        <v>142669764.59088227</v>
      </c>
    </row>
    <row r="130" spans="1:11" s="962" customFormat="1" x14ac:dyDescent="0.2">
      <c r="A130" s="839">
        <f t="shared" si="20"/>
        <v>92</v>
      </c>
      <c r="B130" s="925" t="s">
        <v>214</v>
      </c>
      <c r="C130" s="923">
        <f t="shared" si="24"/>
        <v>2012</v>
      </c>
      <c r="D130" s="113">
        <v>36758111.126666673</v>
      </c>
      <c r="E130" s="65">
        <f>D130*'16-PlantAdditions'!$E$94</f>
        <v>2756858.3345000003</v>
      </c>
      <c r="F130" s="65">
        <f t="shared" si="21"/>
        <v>39514969.461166672</v>
      </c>
      <c r="G130" s="113">
        <v>0</v>
      </c>
      <c r="H130" s="113">
        <v>0</v>
      </c>
      <c r="I130" s="65">
        <f>(G130-H130)*'16-PlantAdditions'!$E$94</f>
        <v>0</v>
      </c>
      <c r="J130" s="65">
        <f t="shared" si="22"/>
        <v>228926124.98204896</v>
      </c>
      <c r="K130" s="65">
        <f>J130-J113</f>
        <v>182184734.05204895</v>
      </c>
    </row>
    <row r="131" spans="1:11" s="962" customFormat="1" x14ac:dyDescent="0.2">
      <c r="A131" s="839">
        <f t="shared" si="20"/>
        <v>93</v>
      </c>
      <c r="B131" s="925" t="s">
        <v>1920</v>
      </c>
      <c r="C131" s="923">
        <f t="shared" si="24"/>
        <v>2012</v>
      </c>
      <c r="D131" s="113">
        <v>27682386.326666672</v>
      </c>
      <c r="E131" s="65">
        <f>D131*'16-PlantAdditions'!$E$94</f>
        <v>2076178.9745000002</v>
      </c>
      <c r="F131" s="65">
        <f t="shared" si="21"/>
        <v>29758565.301166672</v>
      </c>
      <c r="G131" s="113">
        <v>0</v>
      </c>
      <c r="H131" s="113">
        <v>0</v>
      </c>
      <c r="I131" s="65">
        <f>(G131-H131)*'16-PlantAdditions'!$E$94</f>
        <v>0</v>
      </c>
      <c r="J131" s="65">
        <f t="shared" si="22"/>
        <v>258684690.28321564</v>
      </c>
      <c r="K131" s="65">
        <f>J131-J113</f>
        <v>211943299.35321563</v>
      </c>
    </row>
    <row r="132" spans="1:11" s="962" customFormat="1" x14ac:dyDescent="0.2">
      <c r="A132" s="839">
        <f t="shared" si="20"/>
        <v>94</v>
      </c>
      <c r="B132" s="922" t="s">
        <v>216</v>
      </c>
      <c r="C132" s="923">
        <f t="shared" si="24"/>
        <v>2012</v>
      </c>
      <c r="D132" s="113">
        <v>24895036.126666673</v>
      </c>
      <c r="E132" s="65">
        <f>D132*'16-PlantAdditions'!$E$94</f>
        <v>1867127.7095000003</v>
      </c>
      <c r="F132" s="65">
        <f t="shared" si="21"/>
        <v>26762163.836166672</v>
      </c>
      <c r="G132" s="113">
        <v>0</v>
      </c>
      <c r="H132" s="113">
        <v>0</v>
      </c>
      <c r="I132" s="65">
        <f>(G132-H132)*'16-PlantAdditions'!$E$94</f>
        <v>0</v>
      </c>
      <c r="J132" s="65">
        <f t="shared" si="22"/>
        <v>285446854.11938232</v>
      </c>
      <c r="K132" s="65">
        <f>J132-J113</f>
        <v>238705463.18938231</v>
      </c>
    </row>
    <row r="133" spans="1:11" s="962" customFormat="1" x14ac:dyDescent="0.2">
      <c r="A133" s="839">
        <f t="shared" si="20"/>
        <v>95</v>
      </c>
      <c r="B133" s="925" t="s">
        <v>217</v>
      </c>
      <c r="C133" s="923">
        <f t="shared" si="24"/>
        <v>2012</v>
      </c>
      <c r="D133" s="113">
        <v>21405977.866666667</v>
      </c>
      <c r="E133" s="65">
        <f>D133*'16-PlantAdditions'!$E$94</f>
        <v>1605448.34</v>
      </c>
      <c r="F133" s="65">
        <f t="shared" si="21"/>
        <v>23011426.206666667</v>
      </c>
      <c r="G133" s="113">
        <v>0</v>
      </c>
      <c r="H133" s="113">
        <v>0</v>
      </c>
      <c r="I133" s="65">
        <f>(G133-H133)*'16-PlantAdditions'!$E$94</f>
        <v>0</v>
      </c>
      <c r="J133" s="65">
        <f t="shared" si="22"/>
        <v>308458280.32604897</v>
      </c>
      <c r="K133" s="65">
        <f>J133-J113</f>
        <v>261716889.39604896</v>
      </c>
    </row>
    <row r="134" spans="1:11" s="962" customFormat="1" x14ac:dyDescent="0.2">
      <c r="A134" s="839">
        <f t="shared" si="20"/>
        <v>96</v>
      </c>
      <c r="B134" s="925" t="s">
        <v>218</v>
      </c>
      <c r="C134" s="923">
        <f t="shared" si="24"/>
        <v>2012</v>
      </c>
      <c r="D134" s="113">
        <v>17488176.666666668</v>
      </c>
      <c r="E134" s="65">
        <f>D134*'16-PlantAdditions'!$E$94</f>
        <v>1311613.25</v>
      </c>
      <c r="F134" s="65">
        <f t="shared" si="21"/>
        <v>18799789.916666668</v>
      </c>
      <c r="G134" s="113">
        <v>0</v>
      </c>
      <c r="H134" s="113">
        <v>0</v>
      </c>
      <c r="I134" s="65">
        <f>(G134-H134)*'16-PlantAdditions'!$E$94</f>
        <v>0</v>
      </c>
      <c r="J134" s="65">
        <f t="shared" si="22"/>
        <v>327258070.24271566</v>
      </c>
      <c r="K134" s="118">
        <f>J134-J113</f>
        <v>280516679.31271565</v>
      </c>
    </row>
    <row r="135" spans="1:11" s="962" customFormat="1" x14ac:dyDescent="0.2">
      <c r="A135" s="839">
        <f>A134+1</f>
        <v>97</v>
      </c>
      <c r="B135"/>
      <c r="C135" s="961" t="s">
        <v>2309</v>
      </c>
      <c r="D135"/>
      <c r="E135"/>
      <c r="F135"/>
      <c r="G135"/>
      <c r="H135"/>
      <c r="I135"/>
      <c r="J135"/>
      <c r="K135" s="77">
        <f>AVERAGE(K122:K134)</f>
        <v>141354042.57044607</v>
      </c>
    </row>
    <row r="136" spans="1:11" s="962" customFormat="1" x14ac:dyDescent="0.2">
      <c r="A136" s="839"/>
      <c r="B136"/>
      <c r="C136" s="961"/>
      <c r="D136"/>
      <c r="E136"/>
      <c r="F136"/>
      <c r="G136"/>
      <c r="H136"/>
      <c r="I136"/>
      <c r="J136"/>
      <c r="K136" s="77"/>
    </row>
    <row r="137" spans="1:11" s="962" customFormat="1" x14ac:dyDescent="0.2">
      <c r="B137" s="963" t="s">
        <v>2921</v>
      </c>
      <c r="D137" s="1206" t="s">
        <v>2922</v>
      </c>
      <c r="E137" s="1206"/>
    </row>
    <row r="138" spans="1:11" s="962" customFormat="1" x14ac:dyDescent="0.2">
      <c r="D138" s="964"/>
      <c r="E138" s="964"/>
      <c r="F138" s="964"/>
      <c r="G138" s="839" t="str">
        <f>G51</f>
        <v>Unloaded</v>
      </c>
      <c r="H138" s="964"/>
      <c r="I138" s="964"/>
    </row>
    <row r="139" spans="1:11" s="962" customFormat="1" x14ac:dyDescent="0.2">
      <c r="A139" s="959"/>
      <c r="B139" s="959"/>
      <c r="C139" s="959"/>
      <c r="D139" s="959" t="str">
        <f>D$52</f>
        <v>Forecast</v>
      </c>
      <c r="E139" s="959" t="str">
        <f t="shared" ref="E139:J139" si="25">E$52</f>
        <v>Corporate</v>
      </c>
      <c r="F139" s="959" t="str">
        <f t="shared" si="25"/>
        <v xml:space="preserve">Total </v>
      </c>
      <c r="G139" s="839" t="str">
        <f t="shared" ref="G139:G140" si="26">G52</f>
        <v>Total</v>
      </c>
      <c r="H139" s="959" t="str">
        <f t="shared" si="25"/>
        <v>Prior Period</v>
      </c>
      <c r="I139" s="959" t="str">
        <f t="shared" si="25"/>
        <v>Over Heads</v>
      </c>
      <c r="J139" s="959" t="str">
        <f t="shared" si="25"/>
        <v>Forecast</v>
      </c>
      <c r="K139" s="839" t="str">
        <f>K$52</f>
        <v>Forecast Period</v>
      </c>
    </row>
    <row r="140" spans="1:11" s="962" customFormat="1" x14ac:dyDescent="0.2">
      <c r="A140" s="53" t="s">
        <v>372</v>
      </c>
      <c r="B140" s="921" t="s">
        <v>222</v>
      </c>
      <c r="C140" s="921" t="s">
        <v>223</v>
      </c>
      <c r="D140" s="957" t="str">
        <f>D$53</f>
        <v>Expenditures</v>
      </c>
      <c r="E140" s="957" t="str">
        <f t="shared" ref="E140:J140" si="27">E$53</f>
        <v>Overheads</v>
      </c>
      <c r="F140" s="957" t="str">
        <f t="shared" si="27"/>
        <v>CWIP Exp</v>
      </c>
      <c r="G140" s="3" t="str">
        <f t="shared" si="26"/>
        <v>Plant Adds</v>
      </c>
      <c r="H140" s="957" t="str">
        <f t="shared" si="27"/>
        <v>CWIP Closed</v>
      </c>
      <c r="I140" s="957" t="str">
        <f t="shared" si="27"/>
        <v>Closed to PIS</v>
      </c>
      <c r="J140" s="957" t="str">
        <f t="shared" si="27"/>
        <v>Period CWIP</v>
      </c>
      <c r="K140" s="957" t="str">
        <f>K$53</f>
        <v>Incremental CWIP</v>
      </c>
    </row>
    <row r="141" spans="1:11" s="962" customFormat="1" x14ac:dyDescent="0.2">
      <c r="A141" s="839">
        <f>A135+1</f>
        <v>98</v>
      </c>
      <c r="B141" s="922" t="s">
        <v>210</v>
      </c>
      <c r="C141" s="923">
        <f>C113</f>
        <v>2010</v>
      </c>
      <c r="D141" s="966" t="s">
        <v>88</v>
      </c>
      <c r="E141" s="966" t="s">
        <v>88</v>
      </c>
      <c r="F141" s="966" t="s">
        <v>88</v>
      </c>
      <c r="G141" s="966" t="s">
        <v>88</v>
      </c>
      <c r="H141" s="966" t="s">
        <v>88</v>
      </c>
      <c r="I141" s="966" t="s">
        <v>88</v>
      </c>
      <c r="J141" s="65">
        <f>G25</f>
        <v>9549455.3900000006</v>
      </c>
      <c r="K141" s="966" t="s">
        <v>88</v>
      </c>
    </row>
    <row r="142" spans="1:11" s="962" customFormat="1" x14ac:dyDescent="0.2">
      <c r="A142" s="839">
        <f>A141+1</f>
        <v>99</v>
      </c>
      <c r="B142" s="922" t="s">
        <v>211</v>
      </c>
      <c r="C142" s="923">
        <f>C141+1</f>
        <v>2011</v>
      </c>
      <c r="D142" s="113">
        <v>187573.59999999998</v>
      </c>
      <c r="E142" s="65">
        <f>D142*'16-PlantAdditions'!$E$94</f>
        <v>14068.019999999999</v>
      </c>
      <c r="F142" s="65">
        <f>E142+D142</f>
        <v>201641.61999999997</v>
      </c>
      <c r="G142" s="113">
        <v>0</v>
      </c>
      <c r="H142" s="113">
        <v>0</v>
      </c>
      <c r="I142" s="65">
        <f>(G142-H142)*'16-PlantAdditions'!$E$94</f>
        <v>0</v>
      </c>
      <c r="J142" s="65">
        <f>J141+F142-G142-I142</f>
        <v>9751097.0099999998</v>
      </c>
      <c r="K142" s="65">
        <f>J142-J141</f>
        <v>201641.61999999918</v>
      </c>
    </row>
    <row r="143" spans="1:11" s="962" customFormat="1" x14ac:dyDescent="0.2">
      <c r="A143" s="839">
        <f t="shared" ref="A143:A162" si="28">A142+1</f>
        <v>100</v>
      </c>
      <c r="B143" s="925" t="s">
        <v>212</v>
      </c>
      <c r="C143" s="923">
        <f>C142</f>
        <v>2011</v>
      </c>
      <c r="D143" s="113">
        <v>502102.4800000001</v>
      </c>
      <c r="E143" s="65">
        <f>D143*'16-PlantAdditions'!$E$94</f>
        <v>37657.686000000009</v>
      </c>
      <c r="F143" s="65">
        <f t="shared" ref="F143:F162" si="29">E143+D143</f>
        <v>539760.16600000008</v>
      </c>
      <c r="G143" s="113">
        <v>0</v>
      </c>
      <c r="H143" s="113">
        <v>0</v>
      </c>
      <c r="I143" s="65">
        <f>(G143-H143)*'16-PlantAdditions'!$E$94</f>
        <v>0</v>
      </c>
      <c r="J143" s="65">
        <f t="shared" ref="J143:J162" si="30">J142+F143-G143-I143</f>
        <v>10290857.175999999</v>
      </c>
      <c r="K143" s="65">
        <f>J143-J141</f>
        <v>741401.78599999845</v>
      </c>
    </row>
    <row r="144" spans="1:11" s="962" customFormat="1" x14ac:dyDescent="0.2">
      <c r="A144" s="839">
        <f t="shared" si="28"/>
        <v>101</v>
      </c>
      <c r="B144" s="925" t="s">
        <v>225</v>
      </c>
      <c r="C144" s="923">
        <f t="shared" ref="C144:C153" si="31">C143</f>
        <v>2011</v>
      </c>
      <c r="D144" s="113">
        <v>627731.98999999987</v>
      </c>
      <c r="E144" s="65">
        <f>D144*'16-PlantAdditions'!$E$94</f>
        <v>47079.899249999988</v>
      </c>
      <c r="F144" s="65">
        <f t="shared" si="29"/>
        <v>674811.88924999989</v>
      </c>
      <c r="G144" s="113">
        <v>0</v>
      </c>
      <c r="H144" s="113">
        <v>0</v>
      </c>
      <c r="I144" s="65">
        <f>(G144-H144)*'16-PlantAdditions'!$E$94</f>
        <v>0</v>
      </c>
      <c r="J144" s="65">
        <f t="shared" si="30"/>
        <v>10965669.065249998</v>
      </c>
      <c r="K144" s="65">
        <f>J144-J141</f>
        <v>1416213.6752499975</v>
      </c>
    </row>
    <row r="145" spans="1:11" s="962" customFormat="1" x14ac:dyDescent="0.2">
      <c r="A145" s="839">
        <f t="shared" si="28"/>
        <v>102</v>
      </c>
      <c r="B145" s="922" t="s">
        <v>213</v>
      </c>
      <c r="C145" s="923">
        <f t="shared" si="31"/>
        <v>2011</v>
      </c>
      <c r="D145" s="113">
        <v>1785858.1239999998</v>
      </c>
      <c r="E145" s="65">
        <f>D145*'16-PlantAdditions'!$E$94</f>
        <v>133939.35929999998</v>
      </c>
      <c r="F145" s="65">
        <f t="shared" si="29"/>
        <v>1919797.4832999997</v>
      </c>
      <c r="G145" s="113">
        <v>0</v>
      </c>
      <c r="H145" s="113">
        <v>0</v>
      </c>
      <c r="I145" s="65">
        <f>(G145-H145)*'16-PlantAdditions'!$E$94</f>
        <v>0</v>
      </c>
      <c r="J145" s="65">
        <f t="shared" si="30"/>
        <v>12885466.548549999</v>
      </c>
      <c r="K145" s="65">
        <f>J145-J141</f>
        <v>3336011.158549998</v>
      </c>
    </row>
    <row r="146" spans="1:11" s="962" customFormat="1" x14ac:dyDescent="0.2">
      <c r="A146" s="839">
        <f t="shared" si="28"/>
        <v>103</v>
      </c>
      <c r="B146" s="925" t="s">
        <v>214</v>
      </c>
      <c r="C146" s="923">
        <f t="shared" si="31"/>
        <v>2011</v>
      </c>
      <c r="D146" s="113">
        <v>980197.174</v>
      </c>
      <c r="E146" s="65">
        <f>D146*'16-PlantAdditions'!$E$94</f>
        <v>73514.788050000003</v>
      </c>
      <c r="F146" s="65">
        <f t="shared" si="29"/>
        <v>1053711.96205</v>
      </c>
      <c r="G146" s="113">
        <v>0</v>
      </c>
      <c r="H146" s="113">
        <v>0</v>
      </c>
      <c r="I146" s="65">
        <f>(G146-H146)*'16-PlantAdditions'!$E$94</f>
        <v>0</v>
      </c>
      <c r="J146" s="65">
        <f t="shared" si="30"/>
        <v>13939178.510599999</v>
      </c>
      <c r="K146" s="65">
        <f>J146-J141</f>
        <v>4389723.1205999982</v>
      </c>
    </row>
    <row r="147" spans="1:11" s="962" customFormat="1" x14ac:dyDescent="0.2">
      <c r="A147" s="839">
        <f t="shared" si="28"/>
        <v>104</v>
      </c>
      <c r="B147" s="925" t="s">
        <v>1920</v>
      </c>
      <c r="C147" s="923">
        <f t="shared" si="31"/>
        <v>2011</v>
      </c>
      <c r="D147" s="113">
        <v>1053375.584</v>
      </c>
      <c r="E147" s="65">
        <f>D147*'16-PlantAdditions'!$E$94</f>
        <v>79003.168799999999</v>
      </c>
      <c r="F147" s="65">
        <f t="shared" si="29"/>
        <v>1132378.7528000001</v>
      </c>
      <c r="G147" s="113">
        <v>0</v>
      </c>
      <c r="H147" s="113">
        <v>0</v>
      </c>
      <c r="I147" s="65">
        <f>(G147-H147)*'16-PlantAdditions'!$E$94</f>
        <v>0</v>
      </c>
      <c r="J147" s="65">
        <f t="shared" si="30"/>
        <v>15071557.2634</v>
      </c>
      <c r="K147" s="65">
        <f>J147-J141</f>
        <v>5522101.873399999</v>
      </c>
    </row>
    <row r="148" spans="1:11" s="962" customFormat="1" x14ac:dyDescent="0.2">
      <c r="A148" s="839">
        <f t="shared" si="28"/>
        <v>105</v>
      </c>
      <c r="B148" s="922" t="s">
        <v>216</v>
      </c>
      <c r="C148" s="923">
        <f t="shared" si="31"/>
        <v>2011</v>
      </c>
      <c r="D148" s="113">
        <v>1120597.6840000001</v>
      </c>
      <c r="E148" s="65">
        <f>D148*'16-PlantAdditions'!$E$94</f>
        <v>84044.826300000001</v>
      </c>
      <c r="F148" s="65">
        <f t="shared" si="29"/>
        <v>1204642.5103000002</v>
      </c>
      <c r="G148" s="113">
        <v>0</v>
      </c>
      <c r="H148" s="113">
        <v>0</v>
      </c>
      <c r="I148" s="65">
        <f>(G148-H148)*'16-PlantAdditions'!$E$94</f>
        <v>0</v>
      </c>
      <c r="J148" s="65">
        <f t="shared" si="30"/>
        <v>16276199.773699999</v>
      </c>
      <c r="K148" s="65">
        <f>J148-J141</f>
        <v>6726744.3836999983</v>
      </c>
    </row>
    <row r="149" spans="1:11" s="962" customFormat="1" x14ac:dyDescent="0.2">
      <c r="A149" s="839">
        <f t="shared" si="28"/>
        <v>106</v>
      </c>
      <c r="B149" s="925" t="s">
        <v>217</v>
      </c>
      <c r="C149" s="923">
        <f t="shared" si="31"/>
        <v>2011</v>
      </c>
      <c r="D149" s="113">
        <v>2124909.9339999999</v>
      </c>
      <c r="E149" s="65">
        <f>D149*'16-PlantAdditions'!$E$94</f>
        <v>159368.24505</v>
      </c>
      <c r="F149" s="65">
        <f t="shared" si="29"/>
        <v>2284278.1790499999</v>
      </c>
      <c r="G149" s="113">
        <v>0</v>
      </c>
      <c r="H149" s="113">
        <v>0</v>
      </c>
      <c r="I149" s="65">
        <f>(G149-H149)*'16-PlantAdditions'!$E$94</f>
        <v>0</v>
      </c>
      <c r="J149" s="65">
        <f t="shared" si="30"/>
        <v>18560477.952749997</v>
      </c>
      <c r="K149" s="65">
        <f>J149-J141</f>
        <v>9011022.5627499968</v>
      </c>
    </row>
    <row r="150" spans="1:11" s="962" customFormat="1" x14ac:dyDescent="0.2">
      <c r="A150" s="839">
        <f t="shared" si="28"/>
        <v>107</v>
      </c>
      <c r="B150" s="925" t="s">
        <v>218</v>
      </c>
      <c r="C150" s="923">
        <f t="shared" si="31"/>
        <v>2011</v>
      </c>
      <c r="D150" s="113">
        <v>2214630.6339999996</v>
      </c>
      <c r="E150" s="65">
        <f>D150*'16-PlantAdditions'!$E$94</f>
        <v>166097.29754999996</v>
      </c>
      <c r="F150" s="65">
        <f t="shared" si="29"/>
        <v>2380727.9315499994</v>
      </c>
      <c r="G150" s="113">
        <v>0</v>
      </c>
      <c r="H150" s="113">
        <v>0</v>
      </c>
      <c r="I150" s="65">
        <f>(G150-H150)*'16-PlantAdditions'!$E$94</f>
        <v>0</v>
      </c>
      <c r="J150" s="65">
        <f t="shared" si="30"/>
        <v>20941205.884299997</v>
      </c>
      <c r="K150" s="65">
        <f>J150-J141</f>
        <v>11391750.494299997</v>
      </c>
    </row>
    <row r="151" spans="1:11" s="962" customFormat="1" x14ac:dyDescent="0.2">
      <c r="A151" s="839">
        <f t="shared" si="28"/>
        <v>108</v>
      </c>
      <c r="B151" s="922" t="s">
        <v>221</v>
      </c>
      <c r="C151" s="923">
        <f t="shared" si="31"/>
        <v>2011</v>
      </c>
      <c r="D151" s="113">
        <v>1345987.334</v>
      </c>
      <c r="E151" s="65">
        <f>D151*'16-PlantAdditions'!$E$94</f>
        <v>100949.05005000001</v>
      </c>
      <c r="F151" s="65">
        <f t="shared" si="29"/>
        <v>1446936.38405</v>
      </c>
      <c r="G151" s="113">
        <v>0</v>
      </c>
      <c r="H151" s="113">
        <v>0</v>
      </c>
      <c r="I151" s="65">
        <f>(G151-H151)*'16-PlantAdditions'!$E$94</f>
        <v>0</v>
      </c>
      <c r="J151" s="65">
        <f t="shared" si="30"/>
        <v>22388142.268349998</v>
      </c>
      <c r="K151" s="65">
        <f>J151-J141</f>
        <v>12838686.878349997</v>
      </c>
    </row>
    <row r="152" spans="1:11" s="962" customFormat="1" x14ac:dyDescent="0.2">
      <c r="A152" s="839">
        <f t="shared" si="28"/>
        <v>109</v>
      </c>
      <c r="B152" s="922" t="s">
        <v>220</v>
      </c>
      <c r="C152" s="923">
        <f t="shared" si="31"/>
        <v>2011</v>
      </c>
      <c r="D152" s="113">
        <v>1355388.584</v>
      </c>
      <c r="E152" s="65">
        <f>D152*'16-PlantAdditions'!$E$94</f>
        <v>101654.14380000001</v>
      </c>
      <c r="F152" s="65">
        <f t="shared" si="29"/>
        <v>1457042.7278</v>
      </c>
      <c r="G152" s="113">
        <v>0</v>
      </c>
      <c r="H152" s="113">
        <v>0</v>
      </c>
      <c r="I152" s="65">
        <f>(G152-H152)*'16-PlantAdditions'!$E$94</f>
        <v>0</v>
      </c>
      <c r="J152" s="65">
        <f t="shared" si="30"/>
        <v>23845184.996149998</v>
      </c>
      <c r="K152" s="65">
        <f>J152-J141</f>
        <v>14295729.606149998</v>
      </c>
    </row>
    <row r="153" spans="1:11" s="962" customFormat="1" x14ac:dyDescent="0.2">
      <c r="A153" s="839">
        <f t="shared" si="28"/>
        <v>110</v>
      </c>
      <c r="B153" s="922" t="s">
        <v>210</v>
      </c>
      <c r="C153" s="923">
        <f t="shared" si="31"/>
        <v>2011</v>
      </c>
      <c r="D153" s="113">
        <v>3307368.6640000055</v>
      </c>
      <c r="E153" s="65">
        <f>D153*'16-PlantAdditions'!$E$94</f>
        <v>248052.64980000039</v>
      </c>
      <c r="F153" s="65">
        <f t="shared" si="29"/>
        <v>3555421.3138000057</v>
      </c>
      <c r="G153" s="113">
        <v>0</v>
      </c>
      <c r="H153" s="113">
        <v>0</v>
      </c>
      <c r="I153" s="65">
        <f>(G153-H153)*'16-PlantAdditions'!$E$94</f>
        <v>0</v>
      </c>
      <c r="J153" s="65">
        <f t="shared" si="30"/>
        <v>27400606.309950005</v>
      </c>
      <c r="K153" s="65">
        <f>J153-J141</f>
        <v>17851150.919950005</v>
      </c>
    </row>
    <row r="154" spans="1:11" s="962" customFormat="1" x14ac:dyDescent="0.2">
      <c r="A154" s="839">
        <f t="shared" si="28"/>
        <v>111</v>
      </c>
      <c r="B154" s="922" t="s">
        <v>211</v>
      </c>
      <c r="C154" s="923">
        <f>C153+1</f>
        <v>2012</v>
      </c>
      <c r="D154" s="113">
        <v>1056942.575</v>
      </c>
      <c r="E154" s="65">
        <f>D154*'16-PlantAdditions'!$E$94</f>
        <v>79270.693124999991</v>
      </c>
      <c r="F154" s="65">
        <f t="shared" si="29"/>
        <v>1136213.2681249999</v>
      </c>
      <c r="G154" s="113">
        <v>0</v>
      </c>
      <c r="H154" s="113">
        <v>0</v>
      </c>
      <c r="I154" s="65">
        <f>(G154-H154)*'16-PlantAdditions'!$E$94</f>
        <v>0</v>
      </c>
      <c r="J154" s="65">
        <f t="shared" si="30"/>
        <v>28536819.578075007</v>
      </c>
      <c r="K154" s="65">
        <f>J154-J141</f>
        <v>18987364.188075006</v>
      </c>
    </row>
    <row r="155" spans="1:11" s="962" customFormat="1" x14ac:dyDescent="0.2">
      <c r="A155" s="839">
        <f t="shared" si="28"/>
        <v>112</v>
      </c>
      <c r="B155" s="925" t="s">
        <v>212</v>
      </c>
      <c r="C155" s="923">
        <f>C154</f>
        <v>2012</v>
      </c>
      <c r="D155" s="113">
        <v>1035692.8750000002</v>
      </c>
      <c r="E155" s="65">
        <f>D155*'16-PlantAdditions'!$E$94</f>
        <v>77676.965625000012</v>
      </c>
      <c r="F155" s="65">
        <f t="shared" si="29"/>
        <v>1113369.8406250002</v>
      </c>
      <c r="G155" s="113">
        <v>0</v>
      </c>
      <c r="H155" s="113">
        <v>0</v>
      </c>
      <c r="I155" s="65">
        <f>(G155-H155)*'16-PlantAdditions'!$E$94</f>
        <v>0</v>
      </c>
      <c r="J155" s="65">
        <f t="shared" si="30"/>
        <v>29650189.418700006</v>
      </c>
      <c r="K155" s="65">
        <f>J155-J141</f>
        <v>20100734.028700005</v>
      </c>
    </row>
    <row r="156" spans="1:11" s="962" customFormat="1" x14ac:dyDescent="0.2">
      <c r="A156" s="839">
        <f t="shared" si="28"/>
        <v>113</v>
      </c>
      <c r="B156" s="925" t="s">
        <v>225</v>
      </c>
      <c r="C156" s="923">
        <f t="shared" ref="C156:C162" si="32">C155</f>
        <v>2012</v>
      </c>
      <c r="D156" s="113">
        <v>2841041.0175000001</v>
      </c>
      <c r="E156" s="65">
        <f>D156*'16-PlantAdditions'!$E$94</f>
        <v>213078.07631249999</v>
      </c>
      <c r="F156" s="65">
        <f t="shared" si="29"/>
        <v>3054119.0938125001</v>
      </c>
      <c r="G156" s="113">
        <v>0</v>
      </c>
      <c r="H156" s="113">
        <v>0</v>
      </c>
      <c r="I156" s="65">
        <f>(G156-H156)*'16-PlantAdditions'!$E$94</f>
        <v>0</v>
      </c>
      <c r="J156" s="65">
        <f t="shared" si="30"/>
        <v>32704308.512512505</v>
      </c>
      <c r="K156" s="65">
        <f>J156-J141</f>
        <v>23154853.122512504</v>
      </c>
    </row>
    <row r="157" spans="1:11" s="962" customFormat="1" x14ac:dyDescent="0.2">
      <c r="A157" s="839">
        <f t="shared" si="28"/>
        <v>114</v>
      </c>
      <c r="B157" s="922" t="s">
        <v>213</v>
      </c>
      <c r="C157" s="923">
        <f t="shared" si="32"/>
        <v>2012</v>
      </c>
      <c r="D157" s="113">
        <v>3017922.5175000001</v>
      </c>
      <c r="E157" s="65">
        <f>D157*'16-PlantAdditions'!$E$94</f>
        <v>226344.18881250001</v>
      </c>
      <c r="F157" s="65">
        <f t="shared" si="29"/>
        <v>3244266.7063124999</v>
      </c>
      <c r="G157" s="113">
        <v>0</v>
      </c>
      <c r="H157" s="113">
        <v>0</v>
      </c>
      <c r="I157" s="65">
        <f>(G157-H157)*'16-PlantAdditions'!$E$94</f>
        <v>0</v>
      </c>
      <c r="J157" s="65">
        <f t="shared" si="30"/>
        <v>35948575.218825005</v>
      </c>
      <c r="K157" s="65">
        <f>J157-J141</f>
        <v>26399119.828825004</v>
      </c>
    </row>
    <row r="158" spans="1:11" s="962" customFormat="1" x14ac:dyDescent="0.2">
      <c r="A158" s="839">
        <f t="shared" si="28"/>
        <v>115</v>
      </c>
      <c r="B158" s="925" t="s">
        <v>214</v>
      </c>
      <c r="C158" s="923">
        <f t="shared" si="32"/>
        <v>2012</v>
      </c>
      <c r="D158" s="113">
        <v>8853907.2699999996</v>
      </c>
      <c r="E158" s="65">
        <f>D158*'16-PlantAdditions'!$E$94</f>
        <v>664043.04524999997</v>
      </c>
      <c r="F158" s="65">
        <f t="shared" si="29"/>
        <v>9517950.31525</v>
      </c>
      <c r="G158" s="113">
        <v>0</v>
      </c>
      <c r="H158" s="113">
        <v>0</v>
      </c>
      <c r="I158" s="65">
        <f>(G158-H158)*'16-PlantAdditions'!$E$94</f>
        <v>0</v>
      </c>
      <c r="J158" s="65">
        <f t="shared" si="30"/>
        <v>45466525.534075007</v>
      </c>
      <c r="K158" s="65">
        <f>J158-J141</f>
        <v>35917070.144075006</v>
      </c>
    </row>
    <row r="159" spans="1:11" s="962" customFormat="1" x14ac:dyDescent="0.2">
      <c r="A159" s="839">
        <f t="shared" si="28"/>
        <v>116</v>
      </c>
      <c r="B159" s="925" t="s">
        <v>1920</v>
      </c>
      <c r="C159" s="923">
        <f t="shared" si="32"/>
        <v>2012</v>
      </c>
      <c r="D159" s="113">
        <v>15959747.84</v>
      </c>
      <c r="E159" s="65">
        <f>D159*'16-PlantAdditions'!$E$94</f>
        <v>1196981.088</v>
      </c>
      <c r="F159" s="65">
        <f t="shared" si="29"/>
        <v>17156728.927999999</v>
      </c>
      <c r="G159" s="113">
        <v>0</v>
      </c>
      <c r="H159" s="113">
        <v>0</v>
      </c>
      <c r="I159" s="65">
        <f>(G159-H159)*'16-PlantAdditions'!$E$94</f>
        <v>0</v>
      </c>
      <c r="J159" s="65">
        <f t="shared" si="30"/>
        <v>62623254.46207501</v>
      </c>
      <c r="K159" s="65">
        <f>J159-J141</f>
        <v>53073799.072075009</v>
      </c>
    </row>
    <row r="160" spans="1:11" s="962" customFormat="1" x14ac:dyDescent="0.2">
      <c r="A160" s="839">
        <f t="shared" si="28"/>
        <v>117</v>
      </c>
      <c r="B160" s="922" t="s">
        <v>216</v>
      </c>
      <c r="C160" s="923">
        <f t="shared" si="32"/>
        <v>2012</v>
      </c>
      <c r="D160" s="113">
        <v>28993082.284999996</v>
      </c>
      <c r="E160" s="65">
        <f>D160*'16-PlantAdditions'!$E$94</f>
        <v>2174481.1713749995</v>
      </c>
      <c r="F160" s="65">
        <f t="shared" si="29"/>
        <v>31167563.456374995</v>
      </c>
      <c r="G160" s="113">
        <v>0</v>
      </c>
      <c r="H160" s="113">
        <v>0</v>
      </c>
      <c r="I160" s="65">
        <f>(G160-H160)*'16-PlantAdditions'!$E$94</f>
        <v>0</v>
      </c>
      <c r="J160" s="65">
        <f t="shared" si="30"/>
        <v>93790817.918449998</v>
      </c>
      <c r="K160" s="65">
        <f>J160-J141</f>
        <v>84241362.528449997</v>
      </c>
    </row>
    <row r="161" spans="1:11" s="962" customFormat="1" x14ac:dyDescent="0.2">
      <c r="A161" s="839">
        <f t="shared" si="28"/>
        <v>118</v>
      </c>
      <c r="B161" s="925" t="s">
        <v>217</v>
      </c>
      <c r="C161" s="923">
        <f t="shared" si="32"/>
        <v>2012</v>
      </c>
      <c r="D161" s="113">
        <v>9697059.209999999</v>
      </c>
      <c r="E161" s="65">
        <f>D161*'16-PlantAdditions'!$E$94</f>
        <v>727279.44074999995</v>
      </c>
      <c r="F161" s="65">
        <f t="shared" si="29"/>
        <v>10424338.650749998</v>
      </c>
      <c r="G161" s="113">
        <v>0</v>
      </c>
      <c r="H161" s="113">
        <v>0</v>
      </c>
      <c r="I161" s="65">
        <f>(G161-H161)*'16-PlantAdditions'!$E$94</f>
        <v>0</v>
      </c>
      <c r="J161" s="65">
        <f t="shared" si="30"/>
        <v>104215156.56919999</v>
      </c>
      <c r="K161" s="65">
        <f>J161-J141</f>
        <v>94665701.179199994</v>
      </c>
    </row>
    <row r="162" spans="1:11" s="962" customFormat="1" x14ac:dyDescent="0.2">
      <c r="A162" s="839">
        <f t="shared" si="28"/>
        <v>119</v>
      </c>
      <c r="B162" s="925" t="s">
        <v>218</v>
      </c>
      <c r="C162" s="923">
        <f t="shared" si="32"/>
        <v>2012</v>
      </c>
      <c r="D162" s="113">
        <v>15091633.885</v>
      </c>
      <c r="E162" s="65">
        <f>D162*'16-PlantAdditions'!$E$94</f>
        <v>1131872.541375</v>
      </c>
      <c r="F162" s="65">
        <f t="shared" si="29"/>
        <v>16223506.426375</v>
      </c>
      <c r="G162" s="113">
        <v>0</v>
      </c>
      <c r="H162" s="113">
        <v>0</v>
      </c>
      <c r="I162" s="65">
        <f>(G162-H162)*'16-PlantAdditions'!$E$94</f>
        <v>0</v>
      </c>
      <c r="J162" s="65">
        <f t="shared" si="30"/>
        <v>120438662.995575</v>
      </c>
      <c r="K162" s="118">
        <f>J162-J141</f>
        <v>110889207.605575</v>
      </c>
    </row>
    <row r="163" spans="1:11" s="962" customFormat="1" x14ac:dyDescent="0.2">
      <c r="A163" s="839">
        <f>A162+1</f>
        <v>120</v>
      </c>
      <c r="B163"/>
      <c r="C163" s="961" t="s">
        <v>2309</v>
      </c>
      <c r="D163"/>
      <c r="E163"/>
      <c r="F163"/>
      <c r="G163"/>
      <c r="H163"/>
      <c r="I163"/>
      <c r="J163"/>
      <c r="K163" s="77">
        <f>AVERAGE(K150:K162)</f>
        <v>40292809.968941346</v>
      </c>
    </row>
    <row r="164" spans="1:11" s="962" customFormat="1" x14ac:dyDescent="0.2">
      <c r="A164" s="839"/>
      <c r="B164"/>
      <c r="C164" s="961"/>
      <c r="D164"/>
      <c r="E164"/>
      <c r="F164"/>
      <c r="G164"/>
      <c r="H164"/>
      <c r="I164"/>
      <c r="J164"/>
      <c r="K164" s="77"/>
    </row>
    <row r="165" spans="1:11" s="962" customFormat="1" x14ac:dyDescent="0.2">
      <c r="B165" s="963" t="s">
        <v>2923</v>
      </c>
      <c r="D165" s="1206" t="s">
        <v>2924</v>
      </c>
      <c r="E165" s="1206"/>
    </row>
    <row r="166" spans="1:11" s="962" customFormat="1" x14ac:dyDescent="0.2">
      <c r="A166" s="957"/>
      <c r="B166" s="957"/>
      <c r="C166" s="957"/>
      <c r="D166" s="957" t="s">
        <v>406</v>
      </c>
      <c r="E166" s="957" t="s">
        <v>390</v>
      </c>
      <c r="F166" s="957" t="s">
        <v>391</v>
      </c>
      <c r="G166" s="957" t="s">
        <v>392</v>
      </c>
      <c r="H166" s="957" t="s">
        <v>393</v>
      </c>
      <c r="I166" s="957" t="s">
        <v>394</v>
      </c>
      <c r="J166" s="957" t="s">
        <v>395</v>
      </c>
      <c r="K166" s="957" t="s">
        <v>610</v>
      </c>
    </row>
    <row r="167" spans="1:11" s="962" customFormat="1" ht="25.9" customHeight="1" x14ac:dyDescent="0.2">
      <c r="D167" s="964"/>
      <c r="E167" s="965" t="s">
        <v>2956</v>
      </c>
      <c r="F167" s="966" t="s">
        <v>2916</v>
      </c>
      <c r="G167" s="665"/>
      <c r="H167" s="964"/>
      <c r="I167" s="965" t="s">
        <v>2957</v>
      </c>
      <c r="J167" s="965" t="s">
        <v>2917</v>
      </c>
      <c r="K167" s="965" t="s">
        <v>2918</v>
      </c>
    </row>
    <row r="168" spans="1:11" s="962" customFormat="1" x14ac:dyDescent="0.2">
      <c r="D168" s="964"/>
      <c r="E168" s="965"/>
      <c r="F168" s="966"/>
      <c r="G168" s="4" t="str">
        <f>G51</f>
        <v>Unloaded</v>
      </c>
      <c r="H168" s="964"/>
      <c r="I168" s="965"/>
      <c r="J168" s="965"/>
      <c r="K168" s="965"/>
    </row>
    <row r="169" spans="1:11" s="962" customFormat="1" x14ac:dyDescent="0.2">
      <c r="A169" s="959"/>
      <c r="B169" s="959"/>
      <c r="C169" s="959"/>
      <c r="D169" s="959" t="str">
        <f>D$52</f>
        <v>Forecast</v>
      </c>
      <c r="E169" s="959" t="str">
        <f t="shared" ref="E169:J169" si="33">E$52</f>
        <v>Corporate</v>
      </c>
      <c r="F169" s="959" t="str">
        <f t="shared" si="33"/>
        <v xml:space="preserve">Total </v>
      </c>
      <c r="G169" s="4" t="str">
        <f t="shared" ref="G169:G170" si="34">G52</f>
        <v>Total</v>
      </c>
      <c r="H169" s="959" t="str">
        <f t="shared" si="33"/>
        <v>Prior Period</v>
      </c>
      <c r="I169" s="959" t="str">
        <f t="shared" si="33"/>
        <v>Over Heads</v>
      </c>
      <c r="J169" s="959" t="str">
        <f t="shared" si="33"/>
        <v>Forecast</v>
      </c>
      <c r="K169" s="839" t="str">
        <f>K$52</f>
        <v>Forecast Period</v>
      </c>
    </row>
    <row r="170" spans="1:11" s="962" customFormat="1" x14ac:dyDescent="0.2">
      <c r="A170" s="53" t="s">
        <v>372</v>
      </c>
      <c r="B170" s="921" t="s">
        <v>222</v>
      </c>
      <c r="C170" s="921" t="s">
        <v>223</v>
      </c>
      <c r="D170" s="957" t="str">
        <f>D$53</f>
        <v>Expenditures</v>
      </c>
      <c r="E170" s="957" t="str">
        <f t="shared" ref="E170:J170" si="35">E$53</f>
        <v>Overheads</v>
      </c>
      <c r="F170" s="957" t="str">
        <f t="shared" si="35"/>
        <v>CWIP Exp</v>
      </c>
      <c r="G170" s="88" t="str">
        <f t="shared" si="34"/>
        <v>Plant Adds</v>
      </c>
      <c r="H170" s="957" t="str">
        <f t="shared" si="35"/>
        <v>CWIP Closed</v>
      </c>
      <c r="I170" s="957" t="str">
        <f t="shared" si="35"/>
        <v>Closed to PIS</v>
      </c>
      <c r="J170" s="957" t="str">
        <f t="shared" si="35"/>
        <v>Period CWIP</v>
      </c>
      <c r="K170" s="957" t="str">
        <f>K$53</f>
        <v>Incremental CWIP</v>
      </c>
    </row>
    <row r="171" spans="1:11" s="962" customFormat="1" x14ac:dyDescent="0.2">
      <c r="A171" s="839">
        <f>A163+1</f>
        <v>121</v>
      </c>
      <c r="B171" s="922" t="s">
        <v>210</v>
      </c>
      <c r="C171" s="923">
        <f>C141</f>
        <v>2010</v>
      </c>
      <c r="D171" s="966" t="s">
        <v>88</v>
      </c>
      <c r="E171" s="966" t="s">
        <v>88</v>
      </c>
      <c r="F171" s="966" t="s">
        <v>88</v>
      </c>
      <c r="G171" s="966" t="s">
        <v>88</v>
      </c>
      <c r="H171" s="966" t="s">
        <v>88</v>
      </c>
      <c r="I171" s="966" t="s">
        <v>88</v>
      </c>
      <c r="J171" s="65">
        <f>H25</f>
        <v>0</v>
      </c>
      <c r="K171" s="966" t="s">
        <v>88</v>
      </c>
    </row>
    <row r="172" spans="1:11" s="962" customFormat="1" x14ac:dyDescent="0.2">
      <c r="A172" s="839">
        <f>A171+1</f>
        <v>122</v>
      </c>
      <c r="B172" s="922" t="s">
        <v>211</v>
      </c>
      <c r="C172" s="923">
        <f>C171+1</f>
        <v>2011</v>
      </c>
      <c r="D172" s="113">
        <v>72500</v>
      </c>
      <c r="E172" s="65">
        <f>D172*'16-PlantAdditions'!$E$94</f>
        <v>5437.5</v>
      </c>
      <c r="F172" s="65">
        <f>E172+D172</f>
        <v>77937.5</v>
      </c>
      <c r="G172" s="113">
        <v>0</v>
      </c>
      <c r="H172" s="113">
        <v>0</v>
      </c>
      <c r="I172" s="65">
        <f>(G172-H172)*'16-PlantAdditions'!$E$94</f>
        <v>0</v>
      </c>
      <c r="J172" s="65">
        <f>J171+F172-G172-I172</f>
        <v>77937.5</v>
      </c>
      <c r="K172" s="65">
        <f>J172-J171</f>
        <v>77937.5</v>
      </c>
    </row>
    <row r="173" spans="1:11" s="962" customFormat="1" x14ac:dyDescent="0.2">
      <c r="A173" s="839">
        <f t="shared" ref="A173:A192" si="36">A172+1</f>
        <v>123</v>
      </c>
      <c r="B173" s="925" t="s">
        <v>212</v>
      </c>
      <c r="C173" s="923">
        <f>C172</f>
        <v>2011</v>
      </c>
      <c r="D173" s="113">
        <v>30900</v>
      </c>
      <c r="E173" s="65">
        <f>D173*'16-PlantAdditions'!$E$94</f>
        <v>2317.5</v>
      </c>
      <c r="F173" s="65">
        <f t="shared" ref="F173:F192" si="37">E173+D173</f>
        <v>33217.5</v>
      </c>
      <c r="G173" s="113">
        <v>0</v>
      </c>
      <c r="H173" s="113">
        <v>0</v>
      </c>
      <c r="I173" s="65">
        <f>(G173-H173)*'16-PlantAdditions'!$E$94</f>
        <v>0</v>
      </c>
      <c r="J173" s="65">
        <f t="shared" ref="J173:J192" si="38">J172+F173-G173-I173</f>
        <v>111155</v>
      </c>
      <c r="K173" s="65">
        <f>J173-J$171</f>
        <v>111155</v>
      </c>
    </row>
    <row r="174" spans="1:11" s="962" customFormat="1" x14ac:dyDescent="0.2">
      <c r="A174" s="839">
        <f t="shared" si="36"/>
        <v>124</v>
      </c>
      <c r="B174" s="925" t="s">
        <v>225</v>
      </c>
      <c r="C174" s="923">
        <f t="shared" ref="C174:C183" si="39">C173</f>
        <v>2011</v>
      </c>
      <c r="D174" s="113">
        <v>61400</v>
      </c>
      <c r="E174" s="65">
        <f>D174*'16-PlantAdditions'!$E$94</f>
        <v>4605</v>
      </c>
      <c r="F174" s="65">
        <f t="shared" si="37"/>
        <v>66005</v>
      </c>
      <c r="G174" s="113">
        <v>0</v>
      </c>
      <c r="H174" s="113">
        <v>0</v>
      </c>
      <c r="I174" s="65">
        <f>(G174-H174)*'16-PlantAdditions'!$E$94</f>
        <v>0</v>
      </c>
      <c r="J174" s="65">
        <f t="shared" si="38"/>
        <v>177160</v>
      </c>
      <c r="K174" s="65">
        <f>J174-J171</f>
        <v>177160</v>
      </c>
    </row>
    <row r="175" spans="1:11" s="962" customFormat="1" x14ac:dyDescent="0.2">
      <c r="A175" s="839">
        <f t="shared" si="36"/>
        <v>125</v>
      </c>
      <c r="B175" s="922" t="s">
        <v>213</v>
      </c>
      <c r="C175" s="923">
        <f t="shared" si="39"/>
        <v>2011</v>
      </c>
      <c r="D175" s="113">
        <v>-290000</v>
      </c>
      <c r="E175" s="65">
        <f>D175*'16-PlantAdditions'!$E$94</f>
        <v>-21750</v>
      </c>
      <c r="F175" s="65">
        <f t="shared" si="37"/>
        <v>-311750</v>
      </c>
      <c r="G175" s="113">
        <v>0</v>
      </c>
      <c r="H175" s="113">
        <v>0</v>
      </c>
      <c r="I175" s="65">
        <f>(G175-H175)*'16-PlantAdditions'!$E$94</f>
        <v>0</v>
      </c>
      <c r="J175" s="65">
        <f t="shared" si="38"/>
        <v>-134590</v>
      </c>
      <c r="K175" s="65">
        <f>J175-J171</f>
        <v>-134590</v>
      </c>
    </row>
    <row r="176" spans="1:11" s="962" customFormat="1" x14ac:dyDescent="0.2">
      <c r="A176" s="839">
        <f t="shared" si="36"/>
        <v>126</v>
      </c>
      <c r="B176" s="925" t="s">
        <v>214</v>
      </c>
      <c r="C176" s="923">
        <f t="shared" si="39"/>
        <v>2011</v>
      </c>
      <c r="D176" s="113">
        <v>10000</v>
      </c>
      <c r="E176" s="65">
        <f>D176*'16-PlantAdditions'!$E$94</f>
        <v>750</v>
      </c>
      <c r="F176" s="65">
        <f t="shared" si="37"/>
        <v>10750</v>
      </c>
      <c r="G176" s="113">
        <v>0</v>
      </c>
      <c r="H176" s="113">
        <v>0</v>
      </c>
      <c r="I176" s="65">
        <f>(G176-H176)*'16-PlantAdditions'!$E$94</f>
        <v>0</v>
      </c>
      <c r="J176" s="65">
        <f t="shared" si="38"/>
        <v>-123840</v>
      </c>
      <c r="K176" s="65">
        <f>J176-J171</f>
        <v>-123840</v>
      </c>
    </row>
    <row r="177" spans="1:11" s="962" customFormat="1" x14ac:dyDescent="0.2">
      <c r="A177" s="839">
        <f t="shared" si="36"/>
        <v>127</v>
      </c>
      <c r="B177" s="925" t="s">
        <v>1920</v>
      </c>
      <c r="C177" s="923">
        <f t="shared" si="39"/>
        <v>2011</v>
      </c>
      <c r="D177" s="113">
        <v>10000</v>
      </c>
      <c r="E177" s="65">
        <f>D177*'16-PlantAdditions'!$E$94</f>
        <v>750</v>
      </c>
      <c r="F177" s="65">
        <f t="shared" si="37"/>
        <v>10750</v>
      </c>
      <c r="G177" s="113">
        <v>0</v>
      </c>
      <c r="H177" s="113">
        <v>0</v>
      </c>
      <c r="I177" s="65">
        <f>(G177-H177)*'16-PlantAdditions'!$E$94</f>
        <v>0</v>
      </c>
      <c r="J177" s="65">
        <f t="shared" si="38"/>
        <v>-113090</v>
      </c>
      <c r="K177" s="65">
        <f>J177-J171</f>
        <v>-113090</v>
      </c>
    </row>
    <row r="178" spans="1:11" s="962" customFormat="1" x14ac:dyDescent="0.2">
      <c r="A178" s="839">
        <f t="shared" si="36"/>
        <v>128</v>
      </c>
      <c r="B178" s="922" t="s">
        <v>216</v>
      </c>
      <c r="C178" s="923">
        <f t="shared" si="39"/>
        <v>2011</v>
      </c>
      <c r="D178" s="113">
        <v>-70000</v>
      </c>
      <c r="E178" s="65">
        <f>D178*'16-PlantAdditions'!$E$94</f>
        <v>-5250</v>
      </c>
      <c r="F178" s="65">
        <f t="shared" si="37"/>
        <v>-75250</v>
      </c>
      <c r="G178" s="113">
        <v>0</v>
      </c>
      <c r="H178" s="113">
        <v>0</v>
      </c>
      <c r="I178" s="65">
        <f>(G178-H178)*'16-PlantAdditions'!$E$94</f>
        <v>0</v>
      </c>
      <c r="J178" s="65">
        <f t="shared" si="38"/>
        <v>-188340</v>
      </c>
      <c r="K178" s="65">
        <f>J178-J171</f>
        <v>-188340</v>
      </c>
    </row>
    <row r="179" spans="1:11" s="962" customFormat="1" x14ac:dyDescent="0.2">
      <c r="A179" s="839">
        <f t="shared" si="36"/>
        <v>129</v>
      </c>
      <c r="B179" s="925" t="s">
        <v>217</v>
      </c>
      <c r="C179" s="923">
        <f t="shared" si="39"/>
        <v>2011</v>
      </c>
      <c r="D179" s="113">
        <v>-20000</v>
      </c>
      <c r="E179" s="65">
        <f>D179*'16-PlantAdditions'!$E$94</f>
        <v>-1500</v>
      </c>
      <c r="F179" s="65">
        <f t="shared" si="37"/>
        <v>-21500</v>
      </c>
      <c r="G179" s="113">
        <v>0</v>
      </c>
      <c r="H179" s="113">
        <v>0</v>
      </c>
      <c r="I179" s="65">
        <f>(G179-H179)*'16-PlantAdditions'!$E$94</f>
        <v>0</v>
      </c>
      <c r="J179" s="65">
        <f t="shared" si="38"/>
        <v>-209840</v>
      </c>
      <c r="K179" s="65">
        <f>J179-J171</f>
        <v>-209840</v>
      </c>
    </row>
    <row r="180" spans="1:11" s="962" customFormat="1" x14ac:dyDescent="0.2">
      <c r="A180" s="839">
        <f t="shared" si="36"/>
        <v>130</v>
      </c>
      <c r="B180" s="925" t="s">
        <v>218</v>
      </c>
      <c r="C180" s="923">
        <f t="shared" si="39"/>
        <v>2011</v>
      </c>
      <c r="D180" s="113">
        <v>35000</v>
      </c>
      <c r="E180" s="65">
        <f>D180*'16-PlantAdditions'!$E$94</f>
        <v>2625</v>
      </c>
      <c r="F180" s="65">
        <f t="shared" si="37"/>
        <v>37625</v>
      </c>
      <c r="G180" s="113">
        <v>0</v>
      </c>
      <c r="H180" s="113">
        <v>0</v>
      </c>
      <c r="I180" s="65">
        <f>(G180-H180)*'16-PlantAdditions'!$E$94</f>
        <v>0</v>
      </c>
      <c r="J180" s="65">
        <f t="shared" si="38"/>
        <v>-172215</v>
      </c>
      <c r="K180" s="65">
        <f>J180-J171</f>
        <v>-172215</v>
      </c>
    </row>
    <row r="181" spans="1:11" s="962" customFormat="1" x14ac:dyDescent="0.2">
      <c r="A181" s="839">
        <f t="shared" si="36"/>
        <v>131</v>
      </c>
      <c r="B181" s="922" t="s">
        <v>221</v>
      </c>
      <c r="C181" s="923">
        <f t="shared" si="39"/>
        <v>2011</v>
      </c>
      <c r="D181" s="113">
        <v>80000</v>
      </c>
      <c r="E181" s="65">
        <f>D181*'16-PlantAdditions'!$E$94</f>
        <v>6000</v>
      </c>
      <c r="F181" s="65">
        <f t="shared" si="37"/>
        <v>86000</v>
      </c>
      <c r="G181" s="113">
        <v>0</v>
      </c>
      <c r="H181" s="113">
        <v>0</v>
      </c>
      <c r="I181" s="65">
        <f>(G181-H181)*'16-PlantAdditions'!$E$94</f>
        <v>0</v>
      </c>
      <c r="J181" s="65">
        <f t="shared" si="38"/>
        <v>-86215</v>
      </c>
      <c r="K181" s="65">
        <f>J181-J171</f>
        <v>-86215</v>
      </c>
    </row>
    <row r="182" spans="1:11" s="962" customFormat="1" x14ac:dyDescent="0.2">
      <c r="A182" s="839">
        <f t="shared" si="36"/>
        <v>132</v>
      </c>
      <c r="B182" s="922" t="s">
        <v>220</v>
      </c>
      <c r="C182" s="923">
        <f t="shared" si="39"/>
        <v>2011</v>
      </c>
      <c r="D182" s="113">
        <v>180000</v>
      </c>
      <c r="E182" s="65">
        <f>D182*'16-PlantAdditions'!$E$94</f>
        <v>13500</v>
      </c>
      <c r="F182" s="65">
        <f t="shared" si="37"/>
        <v>193500</v>
      </c>
      <c r="G182" s="113">
        <v>0</v>
      </c>
      <c r="H182" s="113">
        <v>0</v>
      </c>
      <c r="I182" s="65">
        <f>(G182-H182)*'16-PlantAdditions'!$E$94</f>
        <v>0</v>
      </c>
      <c r="J182" s="65">
        <f t="shared" si="38"/>
        <v>107285</v>
      </c>
      <c r="K182" s="65">
        <f>J182-J171</f>
        <v>107285</v>
      </c>
    </row>
    <row r="183" spans="1:11" s="962" customFormat="1" x14ac:dyDescent="0.2">
      <c r="A183" s="839">
        <f t="shared" si="36"/>
        <v>133</v>
      </c>
      <c r="B183" s="922" t="s">
        <v>210</v>
      </c>
      <c r="C183" s="923">
        <f t="shared" si="39"/>
        <v>2011</v>
      </c>
      <c r="D183" s="113">
        <v>2200000</v>
      </c>
      <c r="E183" s="65">
        <f>D183*'16-PlantAdditions'!$E$94</f>
        <v>165000</v>
      </c>
      <c r="F183" s="65">
        <f t="shared" si="37"/>
        <v>2365000</v>
      </c>
      <c r="G183" s="113">
        <v>0</v>
      </c>
      <c r="H183" s="113">
        <v>0</v>
      </c>
      <c r="I183" s="65">
        <f>(G183-H183)*'16-PlantAdditions'!$E$94</f>
        <v>0</v>
      </c>
      <c r="J183" s="65">
        <f t="shared" si="38"/>
        <v>2472285</v>
      </c>
      <c r="K183" s="65">
        <f>J183-J171</f>
        <v>2472285</v>
      </c>
    </row>
    <row r="184" spans="1:11" s="962" customFormat="1" x14ac:dyDescent="0.2">
      <c r="A184" s="839">
        <f t="shared" si="36"/>
        <v>134</v>
      </c>
      <c r="B184" s="922" t="s">
        <v>211</v>
      </c>
      <c r="C184" s="923">
        <f>C183+1</f>
        <v>2012</v>
      </c>
      <c r="D184" s="113">
        <v>300000</v>
      </c>
      <c r="E184" s="65">
        <f>D184*'16-PlantAdditions'!$E$94</f>
        <v>22500</v>
      </c>
      <c r="F184" s="65">
        <f t="shared" si="37"/>
        <v>322500</v>
      </c>
      <c r="G184" s="113">
        <v>0</v>
      </c>
      <c r="H184" s="113">
        <v>0</v>
      </c>
      <c r="I184" s="65">
        <f>(G184-H184)*'16-PlantAdditions'!$E$94</f>
        <v>0</v>
      </c>
      <c r="J184" s="65">
        <f t="shared" si="38"/>
        <v>2794785</v>
      </c>
      <c r="K184" s="65">
        <f>J184-J171</f>
        <v>2794785</v>
      </c>
    </row>
    <row r="185" spans="1:11" s="962" customFormat="1" x14ac:dyDescent="0.2">
      <c r="A185" s="839">
        <f t="shared" si="36"/>
        <v>135</v>
      </c>
      <c r="B185" s="925" t="s">
        <v>212</v>
      </c>
      <c r="C185" s="923">
        <f>C184</f>
        <v>2012</v>
      </c>
      <c r="D185" s="113">
        <v>300000</v>
      </c>
      <c r="E185" s="65">
        <f>D185*'16-PlantAdditions'!$E$94</f>
        <v>22500</v>
      </c>
      <c r="F185" s="65">
        <f t="shared" si="37"/>
        <v>322500</v>
      </c>
      <c r="G185" s="113">
        <v>0</v>
      </c>
      <c r="H185" s="113">
        <v>0</v>
      </c>
      <c r="I185" s="65">
        <f>(G185-H185)*'16-PlantAdditions'!$E$94</f>
        <v>0</v>
      </c>
      <c r="J185" s="65">
        <f t="shared" si="38"/>
        <v>3117285</v>
      </c>
      <c r="K185" s="65">
        <f>J185-J171</f>
        <v>3117285</v>
      </c>
    </row>
    <row r="186" spans="1:11" s="962" customFormat="1" x14ac:dyDescent="0.2">
      <c r="A186" s="839">
        <f t="shared" si="36"/>
        <v>136</v>
      </c>
      <c r="B186" s="925" t="s">
        <v>225</v>
      </c>
      <c r="C186" s="923">
        <f t="shared" ref="C186:C192" si="40">C185</f>
        <v>2012</v>
      </c>
      <c r="D186" s="113">
        <v>300000</v>
      </c>
      <c r="E186" s="65">
        <f>D186*'16-PlantAdditions'!$E$94</f>
        <v>22500</v>
      </c>
      <c r="F186" s="65">
        <f t="shared" si="37"/>
        <v>322500</v>
      </c>
      <c r="G186" s="113">
        <v>0</v>
      </c>
      <c r="H186" s="113">
        <v>0</v>
      </c>
      <c r="I186" s="65">
        <f>(G186-H186)*'16-PlantAdditions'!$E$94</f>
        <v>0</v>
      </c>
      <c r="J186" s="65">
        <f t="shared" si="38"/>
        <v>3439785</v>
      </c>
      <c r="K186" s="65">
        <f>J186-J171</f>
        <v>3439785</v>
      </c>
    </row>
    <row r="187" spans="1:11" s="962" customFormat="1" x14ac:dyDescent="0.2">
      <c r="A187" s="839">
        <f t="shared" si="36"/>
        <v>137</v>
      </c>
      <c r="B187" s="922" t="s">
        <v>213</v>
      </c>
      <c r="C187" s="923">
        <f t="shared" si="40"/>
        <v>2012</v>
      </c>
      <c r="D187" s="113">
        <v>300000</v>
      </c>
      <c r="E187" s="65">
        <f>D187*'16-PlantAdditions'!$E$94</f>
        <v>22500</v>
      </c>
      <c r="F187" s="65">
        <f t="shared" si="37"/>
        <v>322500</v>
      </c>
      <c r="G187" s="113">
        <v>0</v>
      </c>
      <c r="H187" s="113">
        <v>0</v>
      </c>
      <c r="I187" s="65">
        <f>(G187-H187)*'16-PlantAdditions'!$E$94</f>
        <v>0</v>
      </c>
      <c r="J187" s="65">
        <f t="shared" si="38"/>
        <v>3762285</v>
      </c>
      <c r="K187" s="65">
        <f>J187-J171</f>
        <v>3762285</v>
      </c>
    </row>
    <row r="188" spans="1:11" s="962" customFormat="1" x14ac:dyDescent="0.2">
      <c r="A188" s="839">
        <f t="shared" si="36"/>
        <v>138</v>
      </c>
      <c r="B188" s="925" t="s">
        <v>214</v>
      </c>
      <c r="C188" s="923">
        <f t="shared" si="40"/>
        <v>2012</v>
      </c>
      <c r="D188" s="113">
        <v>300000</v>
      </c>
      <c r="E188" s="65">
        <f>D188*'16-PlantAdditions'!$E$94</f>
        <v>22500</v>
      </c>
      <c r="F188" s="65">
        <f t="shared" si="37"/>
        <v>322500</v>
      </c>
      <c r="G188" s="113">
        <v>0</v>
      </c>
      <c r="H188" s="113">
        <v>0</v>
      </c>
      <c r="I188" s="65">
        <f>(G188-H188)*'16-PlantAdditions'!$E$94</f>
        <v>0</v>
      </c>
      <c r="J188" s="65">
        <f t="shared" si="38"/>
        <v>4084785</v>
      </c>
      <c r="K188" s="65">
        <f>J188-J171</f>
        <v>4084785</v>
      </c>
    </row>
    <row r="189" spans="1:11" s="962" customFormat="1" x14ac:dyDescent="0.2">
      <c r="A189" s="839">
        <f t="shared" si="36"/>
        <v>139</v>
      </c>
      <c r="B189" s="925" t="s">
        <v>1920</v>
      </c>
      <c r="C189" s="923">
        <f t="shared" si="40"/>
        <v>2012</v>
      </c>
      <c r="D189" s="113">
        <v>300000</v>
      </c>
      <c r="E189" s="65">
        <f>D189*'16-PlantAdditions'!$E$94</f>
        <v>22500</v>
      </c>
      <c r="F189" s="65">
        <f t="shared" si="37"/>
        <v>322500</v>
      </c>
      <c r="G189" s="113">
        <v>0</v>
      </c>
      <c r="H189" s="113">
        <v>0</v>
      </c>
      <c r="I189" s="65">
        <f>(G189-H189)*'16-PlantAdditions'!$E$94</f>
        <v>0</v>
      </c>
      <c r="J189" s="65">
        <f t="shared" si="38"/>
        <v>4407285</v>
      </c>
      <c r="K189" s="65">
        <f>J189-J171</f>
        <v>4407285</v>
      </c>
    </row>
    <row r="190" spans="1:11" s="962" customFormat="1" x14ac:dyDescent="0.2">
      <c r="A190" s="839">
        <f t="shared" si="36"/>
        <v>140</v>
      </c>
      <c r="B190" s="922" t="s">
        <v>216</v>
      </c>
      <c r="C190" s="923">
        <f t="shared" si="40"/>
        <v>2012</v>
      </c>
      <c r="D190" s="113">
        <v>300000</v>
      </c>
      <c r="E190" s="65">
        <f>D190*'16-PlantAdditions'!$E$94</f>
        <v>22500</v>
      </c>
      <c r="F190" s="65">
        <f t="shared" si="37"/>
        <v>322500</v>
      </c>
      <c r="G190" s="113">
        <v>0</v>
      </c>
      <c r="H190" s="113">
        <v>0</v>
      </c>
      <c r="I190" s="65">
        <f>(G190-H190)*'16-PlantAdditions'!$E$94</f>
        <v>0</v>
      </c>
      <c r="J190" s="65">
        <f t="shared" si="38"/>
        <v>4729785</v>
      </c>
      <c r="K190" s="65">
        <f>J190-J171</f>
        <v>4729785</v>
      </c>
    </row>
    <row r="191" spans="1:11" s="962" customFormat="1" x14ac:dyDescent="0.2">
      <c r="A191" s="839">
        <f t="shared" si="36"/>
        <v>141</v>
      </c>
      <c r="B191" s="925" t="s">
        <v>217</v>
      </c>
      <c r="C191" s="923">
        <f t="shared" si="40"/>
        <v>2012</v>
      </c>
      <c r="D191" s="113">
        <v>300000</v>
      </c>
      <c r="E191" s="65">
        <f>D191*'16-PlantAdditions'!$E$94</f>
        <v>22500</v>
      </c>
      <c r="F191" s="65">
        <f t="shared" si="37"/>
        <v>322500</v>
      </c>
      <c r="G191" s="113">
        <v>0</v>
      </c>
      <c r="H191" s="113">
        <v>0</v>
      </c>
      <c r="I191" s="65">
        <f>(G191-H191)*'16-PlantAdditions'!$E$94</f>
        <v>0</v>
      </c>
      <c r="J191" s="65">
        <f t="shared" si="38"/>
        <v>5052285</v>
      </c>
      <c r="K191" s="65">
        <f>J191-J171</f>
        <v>5052285</v>
      </c>
    </row>
    <row r="192" spans="1:11" s="962" customFormat="1" x14ac:dyDescent="0.2">
      <c r="A192" s="839">
        <f t="shared" si="36"/>
        <v>142</v>
      </c>
      <c r="B192" s="925" t="s">
        <v>218</v>
      </c>
      <c r="C192" s="923">
        <f t="shared" si="40"/>
        <v>2012</v>
      </c>
      <c r="D192" s="113">
        <v>300000</v>
      </c>
      <c r="E192" s="65">
        <f>D192*'16-PlantAdditions'!$E$94</f>
        <v>22500</v>
      </c>
      <c r="F192" s="65">
        <f t="shared" si="37"/>
        <v>322500</v>
      </c>
      <c r="G192" s="113">
        <v>0</v>
      </c>
      <c r="H192" s="113">
        <v>0</v>
      </c>
      <c r="I192" s="65">
        <f>(G192-H192)*'16-PlantAdditions'!$E$94</f>
        <v>0</v>
      </c>
      <c r="J192" s="65">
        <f t="shared" si="38"/>
        <v>5374785</v>
      </c>
      <c r="K192" s="118">
        <f>J192-J171</f>
        <v>5374785</v>
      </c>
    </row>
    <row r="193" spans="1:11" s="962" customFormat="1" x14ac:dyDescent="0.2">
      <c r="A193" s="839">
        <f>A192+1</f>
        <v>143</v>
      </c>
      <c r="B193"/>
      <c r="C193" s="961" t="s">
        <v>2309</v>
      </c>
      <c r="D193"/>
      <c r="E193"/>
      <c r="F193"/>
      <c r="G193"/>
      <c r="H193"/>
      <c r="I193"/>
      <c r="J193"/>
      <c r="K193" s="77">
        <f>AVERAGE(K180:K192)</f>
        <v>3006477.3076923075</v>
      </c>
    </row>
    <row r="194" spans="1:11" s="962" customFormat="1" x14ac:dyDescent="0.2">
      <c r="A194" s="839"/>
      <c r="B194"/>
      <c r="C194" s="961"/>
      <c r="D194"/>
      <c r="E194"/>
      <c r="F194"/>
      <c r="G194"/>
      <c r="H194"/>
      <c r="I194"/>
      <c r="J194"/>
      <c r="K194" s="77"/>
    </row>
    <row r="195" spans="1:11" s="962" customFormat="1" x14ac:dyDescent="0.2">
      <c r="B195" s="963" t="s">
        <v>2925</v>
      </c>
      <c r="D195" s="1206" t="s">
        <v>615</v>
      </c>
      <c r="E195" s="1206"/>
    </row>
    <row r="196" spans="1:11" s="962" customFormat="1" x14ac:dyDescent="0.2">
      <c r="D196" s="964"/>
      <c r="E196" s="964"/>
      <c r="F196" s="964"/>
      <c r="G196" s="839" t="str">
        <f>G51</f>
        <v>Unloaded</v>
      </c>
      <c r="H196" s="964"/>
      <c r="I196" s="964"/>
    </row>
    <row r="197" spans="1:11" s="962" customFormat="1" x14ac:dyDescent="0.2">
      <c r="A197" s="959"/>
      <c r="B197" s="959"/>
      <c r="C197" s="959"/>
      <c r="D197" s="959" t="str">
        <f>D$52</f>
        <v>Forecast</v>
      </c>
      <c r="E197" s="959" t="str">
        <f t="shared" ref="E197:J197" si="41">E$52</f>
        <v>Corporate</v>
      </c>
      <c r="F197" s="959" t="str">
        <f t="shared" si="41"/>
        <v xml:space="preserve">Total </v>
      </c>
      <c r="G197" s="839" t="str">
        <f t="shared" ref="G197:G198" si="42">G52</f>
        <v>Total</v>
      </c>
      <c r="H197" s="959" t="str">
        <f t="shared" si="41"/>
        <v>Prior Period</v>
      </c>
      <c r="I197" s="959" t="str">
        <f t="shared" si="41"/>
        <v>Over Heads</v>
      </c>
      <c r="J197" s="959" t="str">
        <f t="shared" si="41"/>
        <v>Forecast</v>
      </c>
      <c r="K197" s="839" t="str">
        <f>K$52</f>
        <v>Forecast Period</v>
      </c>
    </row>
    <row r="198" spans="1:11" s="962" customFormat="1" x14ac:dyDescent="0.2">
      <c r="A198" s="53" t="s">
        <v>372</v>
      </c>
      <c r="B198" s="921" t="s">
        <v>222</v>
      </c>
      <c r="C198" s="921" t="s">
        <v>223</v>
      </c>
      <c r="D198" s="957" t="str">
        <f>D$53</f>
        <v>Expenditures</v>
      </c>
      <c r="E198" s="957" t="str">
        <f t="shared" ref="E198:J198" si="43">E$53</f>
        <v>Overheads</v>
      </c>
      <c r="F198" s="957" t="str">
        <f t="shared" si="43"/>
        <v>CWIP Exp</v>
      </c>
      <c r="G198" s="3" t="str">
        <f t="shared" si="42"/>
        <v>Plant Adds</v>
      </c>
      <c r="H198" s="957" t="str">
        <f t="shared" si="43"/>
        <v>CWIP Closed</v>
      </c>
      <c r="I198" s="957" t="str">
        <f t="shared" si="43"/>
        <v>Closed to PIS</v>
      </c>
      <c r="J198" s="957" t="str">
        <f t="shared" si="43"/>
        <v>Period CWIP</v>
      </c>
      <c r="K198" s="957" t="str">
        <f>K$53</f>
        <v>Incremental CWIP</v>
      </c>
    </row>
    <row r="199" spans="1:11" s="962" customFormat="1" x14ac:dyDescent="0.2">
      <c r="A199" s="839">
        <f>A193+1</f>
        <v>144</v>
      </c>
      <c r="B199" s="922" t="s">
        <v>210</v>
      </c>
      <c r="C199" s="923">
        <f>C171</f>
        <v>2010</v>
      </c>
      <c r="D199" s="966" t="s">
        <v>88</v>
      </c>
      <c r="E199" s="966" t="s">
        <v>88</v>
      </c>
      <c r="F199" s="966" t="s">
        <v>88</v>
      </c>
      <c r="G199" s="966" t="s">
        <v>88</v>
      </c>
      <c r="H199" s="966" t="s">
        <v>88</v>
      </c>
      <c r="I199" s="966" t="s">
        <v>88</v>
      </c>
      <c r="J199" s="65">
        <f>I25</f>
        <v>538216</v>
      </c>
      <c r="K199" s="966" t="s">
        <v>88</v>
      </c>
    </row>
    <row r="200" spans="1:11" s="962" customFormat="1" x14ac:dyDescent="0.2">
      <c r="A200" s="839">
        <f>A199+1</f>
        <v>145</v>
      </c>
      <c r="B200" s="922" t="s">
        <v>211</v>
      </c>
      <c r="C200" s="923">
        <f>C199+1</f>
        <v>2011</v>
      </c>
      <c r="D200" s="113">
        <v>111186.29000000001</v>
      </c>
      <c r="E200" s="65">
        <f>D200*'16-PlantAdditions'!$E$94</f>
        <v>8338.9717500000006</v>
      </c>
      <c r="F200" s="65">
        <f>E200+D200</f>
        <v>119525.26175000001</v>
      </c>
      <c r="G200" s="113">
        <v>0</v>
      </c>
      <c r="H200" s="113">
        <v>0</v>
      </c>
      <c r="I200" s="65">
        <f>(G200-H200)*'16-PlantAdditions'!$E$94</f>
        <v>0</v>
      </c>
      <c r="J200" s="65">
        <f>J199+F200-G200-I200</f>
        <v>657741.26175000006</v>
      </c>
      <c r="K200" s="65">
        <f>J200-J199</f>
        <v>119525.26175000006</v>
      </c>
    </row>
    <row r="201" spans="1:11" s="962" customFormat="1" x14ac:dyDescent="0.2">
      <c r="A201" s="839">
        <f t="shared" ref="A201:A220" si="44">A200+1</f>
        <v>146</v>
      </c>
      <c r="B201" s="925" t="s">
        <v>212</v>
      </c>
      <c r="C201" s="923">
        <f>C200</f>
        <v>2011</v>
      </c>
      <c r="D201" s="113">
        <v>119436.23999999999</v>
      </c>
      <c r="E201" s="65">
        <f>D201*'16-PlantAdditions'!$E$94</f>
        <v>8957.7179999999989</v>
      </c>
      <c r="F201" s="65">
        <f t="shared" ref="F201:F220" si="45">E201+D201</f>
        <v>128393.95799999998</v>
      </c>
      <c r="G201" s="113">
        <v>0</v>
      </c>
      <c r="H201" s="113">
        <v>0</v>
      </c>
      <c r="I201" s="65">
        <f>(G201-H201)*'16-PlantAdditions'!$E$94</f>
        <v>0</v>
      </c>
      <c r="J201" s="65">
        <f t="shared" ref="J201:J220" si="46">J200+F201-G201-I201</f>
        <v>786135.21975000005</v>
      </c>
      <c r="K201" s="65">
        <f>J201-J$171</f>
        <v>786135.21975000005</v>
      </c>
    </row>
    <row r="202" spans="1:11" s="962" customFormat="1" x14ac:dyDescent="0.2">
      <c r="A202" s="839">
        <f t="shared" si="44"/>
        <v>147</v>
      </c>
      <c r="B202" s="925" t="s">
        <v>225</v>
      </c>
      <c r="C202" s="923">
        <f t="shared" ref="C202:C211" si="47">C201</f>
        <v>2011</v>
      </c>
      <c r="D202" s="113">
        <v>349941.86000000004</v>
      </c>
      <c r="E202" s="65">
        <f>D202*'16-PlantAdditions'!$E$94</f>
        <v>26245.639500000001</v>
      </c>
      <c r="F202" s="65">
        <f t="shared" si="45"/>
        <v>376187.49950000003</v>
      </c>
      <c r="G202" s="113">
        <v>0</v>
      </c>
      <c r="H202" s="113">
        <v>0</v>
      </c>
      <c r="I202" s="65">
        <f>(G202-H202)*'16-PlantAdditions'!$E$94</f>
        <v>0</v>
      </c>
      <c r="J202" s="65">
        <f t="shared" si="46"/>
        <v>1162322.7192500001</v>
      </c>
      <c r="K202" s="65">
        <f>J202-J199</f>
        <v>624106.71925000008</v>
      </c>
    </row>
    <row r="203" spans="1:11" s="962" customFormat="1" x14ac:dyDescent="0.2">
      <c r="A203" s="839">
        <f t="shared" si="44"/>
        <v>148</v>
      </c>
      <c r="B203" s="922" t="s">
        <v>213</v>
      </c>
      <c r="C203" s="923">
        <f t="shared" si="47"/>
        <v>2011</v>
      </c>
      <c r="D203" s="113">
        <v>317661.20754716982</v>
      </c>
      <c r="E203" s="65">
        <f>D203*'16-PlantAdditions'!$E$94</f>
        <v>23824.590566037736</v>
      </c>
      <c r="F203" s="65">
        <f t="shared" si="45"/>
        <v>341485.79811320757</v>
      </c>
      <c r="G203" s="113">
        <v>0</v>
      </c>
      <c r="H203" s="113">
        <v>0</v>
      </c>
      <c r="I203" s="65">
        <f>(G203-H203)*'16-PlantAdditions'!$E$94</f>
        <v>0</v>
      </c>
      <c r="J203" s="65">
        <f t="shared" si="46"/>
        <v>1503808.5173632076</v>
      </c>
      <c r="K203" s="65">
        <f>J203-J199</f>
        <v>965592.51736320765</v>
      </c>
    </row>
    <row r="204" spans="1:11" s="962" customFormat="1" x14ac:dyDescent="0.2">
      <c r="A204" s="839">
        <f t="shared" si="44"/>
        <v>149</v>
      </c>
      <c r="B204" s="925" t="s">
        <v>214</v>
      </c>
      <c r="C204" s="923">
        <f t="shared" si="47"/>
        <v>2011</v>
      </c>
      <c r="D204" s="113">
        <v>816115.20754716976</v>
      </c>
      <c r="E204" s="65">
        <f>D204*'16-PlantAdditions'!$E$94</f>
        <v>61208.640566037728</v>
      </c>
      <c r="F204" s="65">
        <f t="shared" si="45"/>
        <v>877323.8481132075</v>
      </c>
      <c r="G204" s="113">
        <v>0</v>
      </c>
      <c r="H204" s="113">
        <v>0</v>
      </c>
      <c r="I204" s="65">
        <f>(G204-H204)*'16-PlantAdditions'!$E$94</f>
        <v>0</v>
      </c>
      <c r="J204" s="65">
        <f t="shared" si="46"/>
        <v>2381132.365476415</v>
      </c>
      <c r="K204" s="65">
        <f>J204-J199</f>
        <v>1842916.365476415</v>
      </c>
    </row>
    <row r="205" spans="1:11" s="962" customFormat="1" x14ac:dyDescent="0.2">
      <c r="A205" s="839">
        <f t="shared" si="44"/>
        <v>150</v>
      </c>
      <c r="B205" s="925" t="s">
        <v>1920</v>
      </c>
      <c r="C205" s="923">
        <f t="shared" si="47"/>
        <v>2011</v>
      </c>
      <c r="D205" s="113">
        <v>437770.50943396229</v>
      </c>
      <c r="E205" s="65">
        <f>D205*'16-PlantAdditions'!$E$94</f>
        <v>32832.788207547172</v>
      </c>
      <c r="F205" s="65">
        <f t="shared" si="45"/>
        <v>470603.29764150945</v>
      </c>
      <c r="G205" s="113">
        <v>0</v>
      </c>
      <c r="H205" s="113">
        <v>0</v>
      </c>
      <c r="I205" s="65">
        <f>(G205-H205)*'16-PlantAdditions'!$E$94</f>
        <v>0</v>
      </c>
      <c r="J205" s="65">
        <f t="shared" si="46"/>
        <v>2851735.6631179247</v>
      </c>
      <c r="K205" s="65">
        <f>J205-J199</f>
        <v>2313519.6631179247</v>
      </c>
    </row>
    <row r="206" spans="1:11" s="962" customFormat="1" x14ac:dyDescent="0.2">
      <c r="A206" s="839">
        <f t="shared" si="44"/>
        <v>151</v>
      </c>
      <c r="B206" s="922" t="s">
        <v>216</v>
      </c>
      <c r="C206" s="923">
        <f t="shared" si="47"/>
        <v>2011</v>
      </c>
      <c r="D206" s="113">
        <v>1640426</v>
      </c>
      <c r="E206" s="65">
        <f>D206*'16-PlantAdditions'!$E$94</f>
        <v>123031.95</v>
      </c>
      <c r="F206" s="65">
        <f t="shared" si="45"/>
        <v>1763457.95</v>
      </c>
      <c r="G206" s="113">
        <v>0</v>
      </c>
      <c r="H206" s="113">
        <v>0</v>
      </c>
      <c r="I206" s="65">
        <f>(G206-H206)*'16-PlantAdditions'!$E$94</f>
        <v>0</v>
      </c>
      <c r="J206" s="65">
        <f t="shared" si="46"/>
        <v>4615193.6131179249</v>
      </c>
      <c r="K206" s="65">
        <f>J206-J199</f>
        <v>4076977.6131179249</v>
      </c>
    </row>
    <row r="207" spans="1:11" s="962" customFormat="1" x14ac:dyDescent="0.2">
      <c r="A207" s="839">
        <f t="shared" si="44"/>
        <v>152</v>
      </c>
      <c r="B207" s="925" t="s">
        <v>217</v>
      </c>
      <c r="C207" s="923">
        <f t="shared" si="47"/>
        <v>2011</v>
      </c>
      <c r="D207" s="113">
        <v>2358450</v>
      </c>
      <c r="E207" s="65">
        <f>D207*'16-PlantAdditions'!$E$94</f>
        <v>176883.75</v>
      </c>
      <c r="F207" s="65">
        <f t="shared" si="45"/>
        <v>2535333.75</v>
      </c>
      <c r="G207" s="113">
        <v>0</v>
      </c>
      <c r="H207" s="113">
        <v>0</v>
      </c>
      <c r="I207" s="65">
        <f>(G207-H207)*'16-PlantAdditions'!$E$94</f>
        <v>0</v>
      </c>
      <c r="J207" s="65">
        <f t="shared" si="46"/>
        <v>7150527.3631179249</v>
      </c>
      <c r="K207" s="65">
        <f>J207-J199</f>
        <v>6612311.3631179249</v>
      </c>
    </row>
    <row r="208" spans="1:11" s="962" customFormat="1" x14ac:dyDescent="0.2">
      <c r="A208" s="839">
        <f t="shared" si="44"/>
        <v>153</v>
      </c>
      <c r="B208" s="925" t="s">
        <v>218</v>
      </c>
      <c r="C208" s="923">
        <f t="shared" si="47"/>
        <v>2011</v>
      </c>
      <c r="D208" s="113">
        <v>377074</v>
      </c>
      <c r="E208" s="65">
        <f>D208*'16-PlantAdditions'!$E$94</f>
        <v>28280.55</v>
      </c>
      <c r="F208" s="65">
        <f t="shared" si="45"/>
        <v>405354.55</v>
      </c>
      <c r="G208" s="113">
        <v>0</v>
      </c>
      <c r="H208" s="113">
        <v>0</v>
      </c>
      <c r="I208" s="65">
        <f>(G208-H208)*'16-PlantAdditions'!$E$94</f>
        <v>0</v>
      </c>
      <c r="J208" s="65">
        <f t="shared" si="46"/>
        <v>7555881.9131179247</v>
      </c>
      <c r="K208" s="65">
        <f>J208-J199</f>
        <v>7017665.9131179247</v>
      </c>
    </row>
    <row r="209" spans="1:11" s="962" customFormat="1" x14ac:dyDescent="0.2">
      <c r="A209" s="839">
        <f t="shared" si="44"/>
        <v>154</v>
      </c>
      <c r="B209" s="922" t="s">
        <v>221</v>
      </c>
      <c r="C209" s="923">
        <f t="shared" si="47"/>
        <v>2011</v>
      </c>
      <c r="D209" s="113">
        <v>359118</v>
      </c>
      <c r="E209" s="65">
        <f>D209*'16-PlantAdditions'!$E$94</f>
        <v>26933.85</v>
      </c>
      <c r="F209" s="65">
        <f t="shared" si="45"/>
        <v>386051.85</v>
      </c>
      <c r="G209" s="113">
        <v>0</v>
      </c>
      <c r="H209" s="113">
        <v>0</v>
      </c>
      <c r="I209" s="65">
        <f>(G209-H209)*'16-PlantAdditions'!$E$94</f>
        <v>0</v>
      </c>
      <c r="J209" s="65">
        <f t="shared" si="46"/>
        <v>7941933.7631179243</v>
      </c>
      <c r="K209" s="65">
        <f>J209-J199</f>
        <v>7403717.7631179243</v>
      </c>
    </row>
    <row r="210" spans="1:11" s="962" customFormat="1" x14ac:dyDescent="0.2">
      <c r="A210" s="839">
        <f t="shared" si="44"/>
        <v>155</v>
      </c>
      <c r="B210" s="922" t="s">
        <v>220</v>
      </c>
      <c r="C210" s="923">
        <f t="shared" si="47"/>
        <v>2011</v>
      </c>
      <c r="D210" s="113">
        <v>840236</v>
      </c>
      <c r="E210" s="65">
        <f>D210*'16-PlantAdditions'!$E$94</f>
        <v>63017.7</v>
      </c>
      <c r="F210" s="65">
        <f t="shared" si="45"/>
        <v>903253.7</v>
      </c>
      <c r="G210" s="113">
        <v>0</v>
      </c>
      <c r="H210" s="113">
        <v>0</v>
      </c>
      <c r="I210" s="65">
        <f>(G210-H210)*'16-PlantAdditions'!$E$94</f>
        <v>0</v>
      </c>
      <c r="J210" s="65">
        <f t="shared" si="46"/>
        <v>8845187.4631179236</v>
      </c>
      <c r="K210" s="65">
        <f>J210-J199</f>
        <v>8306971.4631179236</v>
      </c>
    </row>
    <row r="211" spans="1:11" s="962" customFormat="1" x14ac:dyDescent="0.2">
      <c r="A211" s="839">
        <f t="shared" si="44"/>
        <v>156</v>
      </c>
      <c r="B211" s="922" t="s">
        <v>210</v>
      </c>
      <c r="C211" s="923">
        <f t="shared" si="47"/>
        <v>2011</v>
      </c>
      <c r="D211" s="113">
        <v>1838014</v>
      </c>
      <c r="E211" s="65">
        <f>D211*'16-PlantAdditions'!$E$94</f>
        <v>137851.04999999999</v>
      </c>
      <c r="F211" s="65">
        <f t="shared" si="45"/>
        <v>1975865.05</v>
      </c>
      <c r="G211" s="113">
        <v>0</v>
      </c>
      <c r="H211" s="113">
        <v>0</v>
      </c>
      <c r="I211" s="65">
        <f>(G211-H211)*'16-PlantAdditions'!$E$94</f>
        <v>0</v>
      </c>
      <c r="J211" s="65">
        <f t="shared" si="46"/>
        <v>10821052.513117924</v>
      </c>
      <c r="K211" s="65">
        <f>J211-J199</f>
        <v>10282836.513117924</v>
      </c>
    </row>
    <row r="212" spans="1:11" s="962" customFormat="1" x14ac:dyDescent="0.2">
      <c r="A212" s="839">
        <f t="shared" si="44"/>
        <v>157</v>
      </c>
      <c r="B212" s="922" t="s">
        <v>211</v>
      </c>
      <c r="C212" s="923">
        <f>C211+1</f>
        <v>2012</v>
      </c>
      <c r="D212" s="113">
        <v>6013046</v>
      </c>
      <c r="E212" s="65">
        <f>D212*'16-PlantAdditions'!$E$94</f>
        <v>450978.45</v>
      </c>
      <c r="F212" s="65">
        <f t="shared" si="45"/>
        <v>6464024.4500000002</v>
      </c>
      <c r="G212" s="113">
        <v>0</v>
      </c>
      <c r="H212" s="113">
        <v>0</v>
      </c>
      <c r="I212" s="65">
        <f>(G212-H212)*'16-PlantAdditions'!$E$94</f>
        <v>0</v>
      </c>
      <c r="J212" s="65">
        <f t="shared" si="46"/>
        <v>17285076.963117924</v>
      </c>
      <c r="K212" s="65">
        <f>J212-J199</f>
        <v>16746860.963117924</v>
      </c>
    </row>
    <row r="213" spans="1:11" s="962" customFormat="1" x14ac:dyDescent="0.2">
      <c r="A213" s="839">
        <f t="shared" si="44"/>
        <v>158</v>
      </c>
      <c r="B213" s="925" t="s">
        <v>212</v>
      </c>
      <c r="C213" s="923">
        <f>C212</f>
        <v>2012</v>
      </c>
      <c r="D213" s="113">
        <v>7231254</v>
      </c>
      <c r="E213" s="65">
        <f>D213*'16-PlantAdditions'!$E$94</f>
        <v>542344.04999999993</v>
      </c>
      <c r="F213" s="65">
        <f t="shared" si="45"/>
        <v>7773598.0499999998</v>
      </c>
      <c r="G213" s="113">
        <v>0</v>
      </c>
      <c r="H213" s="113">
        <v>0</v>
      </c>
      <c r="I213" s="65">
        <f>(G213-H213)*'16-PlantAdditions'!$E$94</f>
        <v>0</v>
      </c>
      <c r="J213" s="65">
        <f t="shared" si="46"/>
        <v>25058675.013117924</v>
      </c>
      <c r="K213" s="65">
        <f>J213-J199</f>
        <v>24520459.013117924</v>
      </c>
    </row>
    <row r="214" spans="1:11" s="962" customFormat="1" x14ac:dyDescent="0.2">
      <c r="A214" s="839">
        <f t="shared" si="44"/>
        <v>159</v>
      </c>
      <c r="B214" s="925" t="s">
        <v>225</v>
      </c>
      <c r="C214" s="923">
        <f t="shared" ref="C214:C220" si="48">C213</f>
        <v>2012</v>
      </c>
      <c r="D214" s="113">
        <v>8774906</v>
      </c>
      <c r="E214" s="65">
        <f>D214*'16-PlantAdditions'!$E$94</f>
        <v>658117.94999999995</v>
      </c>
      <c r="F214" s="65">
        <f t="shared" si="45"/>
        <v>9433023.9499999993</v>
      </c>
      <c r="G214" s="113">
        <v>0</v>
      </c>
      <c r="H214" s="113">
        <v>0</v>
      </c>
      <c r="I214" s="65">
        <f>(G214-H214)*'16-PlantAdditions'!$E$94</f>
        <v>0</v>
      </c>
      <c r="J214" s="65">
        <f t="shared" si="46"/>
        <v>34491698.963117927</v>
      </c>
      <c r="K214" s="65">
        <f>J214-J199</f>
        <v>33953482.963117927</v>
      </c>
    </row>
    <row r="215" spans="1:11" s="962" customFormat="1" x14ac:dyDescent="0.2">
      <c r="A215" s="839">
        <f t="shared" si="44"/>
        <v>160</v>
      </c>
      <c r="B215" s="922" t="s">
        <v>213</v>
      </c>
      <c r="C215" s="923">
        <f t="shared" si="48"/>
        <v>2012</v>
      </c>
      <c r="D215" s="113">
        <v>11687128</v>
      </c>
      <c r="E215" s="65">
        <f>D215*'16-PlantAdditions'!$E$94</f>
        <v>876534.6</v>
      </c>
      <c r="F215" s="65">
        <f t="shared" si="45"/>
        <v>12563662.6</v>
      </c>
      <c r="G215" s="113">
        <v>0</v>
      </c>
      <c r="H215" s="113">
        <v>0</v>
      </c>
      <c r="I215" s="65">
        <f>(G215-H215)*'16-PlantAdditions'!$E$94</f>
        <v>0</v>
      </c>
      <c r="J215" s="65">
        <f t="shared" si="46"/>
        <v>47055361.563117929</v>
      </c>
      <c r="K215" s="65">
        <f>J215-J199</f>
        <v>46517145.563117929</v>
      </c>
    </row>
    <row r="216" spans="1:11" s="962" customFormat="1" x14ac:dyDescent="0.2">
      <c r="A216" s="839">
        <f t="shared" si="44"/>
        <v>161</v>
      </c>
      <c r="B216" s="925" t="s">
        <v>214</v>
      </c>
      <c r="C216" s="923">
        <f t="shared" si="48"/>
        <v>2012</v>
      </c>
      <c r="D216" s="113">
        <v>11891988</v>
      </c>
      <c r="E216" s="65">
        <f>D216*'16-PlantAdditions'!$E$94</f>
        <v>891899.1</v>
      </c>
      <c r="F216" s="65">
        <f t="shared" si="45"/>
        <v>12783887.1</v>
      </c>
      <c r="G216" s="113">
        <v>0</v>
      </c>
      <c r="H216" s="113">
        <v>0</v>
      </c>
      <c r="I216" s="65">
        <f>(G216-H216)*'16-PlantAdditions'!$E$94</f>
        <v>0</v>
      </c>
      <c r="J216" s="65">
        <f t="shared" si="46"/>
        <v>59839248.66311793</v>
      </c>
      <c r="K216" s="65">
        <f>J216-J199</f>
        <v>59301032.66311793</v>
      </c>
    </row>
    <row r="217" spans="1:11" s="962" customFormat="1" x14ac:dyDescent="0.2">
      <c r="A217" s="839">
        <f t="shared" si="44"/>
        <v>162</v>
      </c>
      <c r="B217" s="925" t="s">
        <v>1920</v>
      </c>
      <c r="C217" s="923">
        <f t="shared" si="48"/>
        <v>2012</v>
      </c>
      <c r="D217" s="113">
        <v>4377430</v>
      </c>
      <c r="E217" s="65">
        <f>D217*'16-PlantAdditions'!$E$94</f>
        <v>328307.25</v>
      </c>
      <c r="F217" s="65">
        <f t="shared" si="45"/>
        <v>4705737.25</v>
      </c>
      <c r="G217" s="113">
        <v>0</v>
      </c>
      <c r="H217" s="113">
        <v>0</v>
      </c>
      <c r="I217" s="65">
        <f>(G217-H217)*'16-PlantAdditions'!$E$94</f>
        <v>0</v>
      </c>
      <c r="J217" s="65">
        <f t="shared" si="46"/>
        <v>64544985.91311793</v>
      </c>
      <c r="K217" s="65">
        <f>J217-J199</f>
        <v>64006769.91311793</v>
      </c>
    </row>
    <row r="218" spans="1:11" s="962" customFormat="1" x14ac:dyDescent="0.2">
      <c r="A218" s="839">
        <f t="shared" si="44"/>
        <v>163</v>
      </c>
      <c r="B218" s="922" t="s">
        <v>216</v>
      </c>
      <c r="C218" s="923">
        <f t="shared" si="48"/>
        <v>2012</v>
      </c>
      <c r="D218" s="113">
        <v>8862050.0000000019</v>
      </c>
      <c r="E218" s="65">
        <f>D218*'16-PlantAdditions'!$E$94</f>
        <v>664653.75000000012</v>
      </c>
      <c r="F218" s="65">
        <f t="shared" si="45"/>
        <v>9526703.7500000019</v>
      </c>
      <c r="G218" s="113">
        <v>0</v>
      </c>
      <c r="H218" s="113">
        <v>0</v>
      </c>
      <c r="I218" s="65">
        <f>(G218-H218)*'16-PlantAdditions'!$E$94</f>
        <v>0</v>
      </c>
      <c r="J218" s="65">
        <f t="shared" si="46"/>
        <v>74071689.66311793</v>
      </c>
      <c r="K218" s="65">
        <f>J218-J199</f>
        <v>73533473.66311793</v>
      </c>
    </row>
    <row r="219" spans="1:11" s="962" customFormat="1" x14ac:dyDescent="0.2">
      <c r="A219" s="839">
        <f t="shared" si="44"/>
        <v>164</v>
      </c>
      <c r="B219" s="925" t="s">
        <v>217</v>
      </c>
      <c r="C219" s="923">
        <f t="shared" si="48"/>
        <v>2012</v>
      </c>
      <c r="D219" s="113">
        <v>16249858</v>
      </c>
      <c r="E219" s="65">
        <f>D219*'16-PlantAdditions'!$E$94</f>
        <v>1218739.3499999999</v>
      </c>
      <c r="F219" s="65">
        <f t="shared" si="45"/>
        <v>17468597.350000001</v>
      </c>
      <c r="G219" s="113">
        <v>0</v>
      </c>
      <c r="H219" s="113">
        <v>0</v>
      </c>
      <c r="I219" s="65">
        <f>(G219-H219)*'16-PlantAdditions'!$E$94</f>
        <v>0</v>
      </c>
      <c r="J219" s="65">
        <f t="shared" si="46"/>
        <v>91540287.013117939</v>
      </c>
      <c r="K219" s="65">
        <f>J219-J199</f>
        <v>91002071.013117939</v>
      </c>
    </row>
    <row r="220" spans="1:11" s="962" customFormat="1" x14ac:dyDescent="0.2">
      <c r="A220" s="839">
        <f t="shared" si="44"/>
        <v>165</v>
      </c>
      <c r="B220" s="925" t="s">
        <v>218</v>
      </c>
      <c r="C220" s="923">
        <f t="shared" si="48"/>
        <v>2012</v>
      </c>
      <c r="D220" s="113">
        <v>8578949.9999999981</v>
      </c>
      <c r="E220" s="65">
        <f>D220*'16-PlantAdditions'!$E$94</f>
        <v>643421.24999999988</v>
      </c>
      <c r="F220" s="65">
        <f t="shared" si="45"/>
        <v>9222371.2499999981</v>
      </c>
      <c r="G220" s="113">
        <v>0</v>
      </c>
      <c r="H220" s="113">
        <v>0</v>
      </c>
      <c r="I220" s="65">
        <f>(G220-H220)*'16-PlantAdditions'!$E$94</f>
        <v>0</v>
      </c>
      <c r="J220" s="65">
        <f t="shared" si="46"/>
        <v>100762658.26311794</v>
      </c>
      <c r="K220" s="118">
        <f>J220-J199</f>
        <v>100224442.26311794</v>
      </c>
    </row>
    <row r="221" spans="1:11" s="962" customFormat="1" x14ac:dyDescent="0.2">
      <c r="A221" s="839">
        <f>A220+1</f>
        <v>166</v>
      </c>
      <c r="B221"/>
      <c r="C221" s="961" t="s">
        <v>2309</v>
      </c>
      <c r="D221"/>
      <c r="E221"/>
      <c r="F221"/>
      <c r="G221"/>
      <c r="H221"/>
      <c r="I221"/>
      <c r="J221"/>
      <c r="K221" s="77">
        <f>AVERAGE(K208:K220)</f>
        <v>41755148.436194852</v>
      </c>
    </row>
    <row r="222" spans="1:11" s="962" customFormat="1" x14ac:dyDescent="0.2">
      <c r="A222" s="839"/>
      <c r="B222"/>
      <c r="C222" s="961"/>
      <c r="D222"/>
      <c r="E222"/>
      <c r="F222"/>
      <c r="G222"/>
      <c r="H222"/>
      <c r="I222"/>
      <c r="J222"/>
      <c r="K222" s="77"/>
    </row>
    <row r="223" spans="1:11" s="962" customFormat="1" x14ac:dyDescent="0.2">
      <c r="B223" s="963" t="s">
        <v>2926</v>
      </c>
      <c r="D223" s="1206" t="s">
        <v>2927</v>
      </c>
      <c r="E223" s="1206"/>
    </row>
    <row r="224" spans="1:11" s="962" customFormat="1" x14ac:dyDescent="0.2">
      <c r="D224" s="964"/>
      <c r="E224" s="964"/>
      <c r="F224" s="964"/>
      <c r="G224" s="839" t="s">
        <v>2928</v>
      </c>
      <c r="H224" s="964"/>
      <c r="I224" s="964"/>
    </row>
    <row r="225" spans="1:11" s="962" customFormat="1" x14ac:dyDescent="0.2">
      <c r="A225" s="959"/>
      <c r="B225" s="959"/>
      <c r="C225" s="959"/>
      <c r="D225" s="959" t="str">
        <f>D$52</f>
        <v>Forecast</v>
      </c>
      <c r="E225" s="959" t="str">
        <f t="shared" ref="E225:J225" si="49">E$52</f>
        <v>Corporate</v>
      </c>
      <c r="F225" s="959" t="str">
        <f t="shared" si="49"/>
        <v xml:space="preserve">Total </v>
      </c>
      <c r="G225" s="959" t="s">
        <v>226</v>
      </c>
      <c r="H225" s="959" t="str">
        <f t="shared" si="49"/>
        <v>Prior Period</v>
      </c>
      <c r="I225" s="959" t="str">
        <f t="shared" si="49"/>
        <v>Over Heads</v>
      </c>
      <c r="J225" s="959" t="str">
        <f t="shared" si="49"/>
        <v>Forecast</v>
      </c>
      <c r="K225" s="839" t="str">
        <f>K$52</f>
        <v>Forecast Period</v>
      </c>
    </row>
    <row r="226" spans="1:11" s="962" customFormat="1" x14ac:dyDescent="0.2">
      <c r="A226" s="53" t="s">
        <v>372</v>
      </c>
      <c r="B226" s="921" t="s">
        <v>222</v>
      </c>
      <c r="C226" s="921" t="s">
        <v>223</v>
      </c>
      <c r="D226" s="957" t="str">
        <f>D$53</f>
        <v>Expenditures</v>
      </c>
      <c r="E226" s="957" t="str">
        <f t="shared" ref="E226:J226" si="50">E$53</f>
        <v>Overheads</v>
      </c>
      <c r="F226" s="957" t="str">
        <f t="shared" si="50"/>
        <v>CWIP Exp</v>
      </c>
      <c r="G226" s="957" t="s">
        <v>2909</v>
      </c>
      <c r="H226" s="957" t="str">
        <f t="shared" si="50"/>
        <v>CWIP Closed</v>
      </c>
      <c r="I226" s="957" t="str">
        <f t="shared" si="50"/>
        <v>Closed to PIS</v>
      </c>
      <c r="J226" s="957" t="str">
        <f t="shared" si="50"/>
        <v>Period CWIP</v>
      </c>
      <c r="K226" s="957" t="str">
        <f>K$53</f>
        <v>Incremental CWIP</v>
      </c>
    </row>
    <row r="227" spans="1:11" s="962" customFormat="1" x14ac:dyDescent="0.2">
      <c r="A227" s="839">
        <f>A221+1</f>
        <v>167</v>
      </c>
      <c r="B227" s="922" t="s">
        <v>210</v>
      </c>
      <c r="C227" s="923">
        <f>C199</f>
        <v>2010</v>
      </c>
      <c r="D227" s="966" t="s">
        <v>88</v>
      </c>
      <c r="E227" s="966" t="s">
        <v>88</v>
      </c>
      <c r="F227" s="966" t="s">
        <v>88</v>
      </c>
      <c r="G227" s="966" t="s">
        <v>88</v>
      </c>
      <c r="H227" s="966" t="s">
        <v>88</v>
      </c>
      <c r="I227" s="966" t="s">
        <v>88</v>
      </c>
      <c r="J227" s="65">
        <f>D45</f>
        <v>0</v>
      </c>
      <c r="K227" s="966" t="s">
        <v>88</v>
      </c>
    </row>
    <row r="228" spans="1:11" s="962" customFormat="1" x14ac:dyDescent="0.2">
      <c r="A228" s="839">
        <f>A227+1</f>
        <v>168</v>
      </c>
      <c r="B228" s="922" t="s">
        <v>211</v>
      </c>
      <c r="C228" s="923">
        <f>C227+1</f>
        <v>2011</v>
      </c>
      <c r="D228" s="113">
        <v>0</v>
      </c>
      <c r="E228" s="65">
        <f>D228*'16-PlantAdditions'!$E$94</f>
        <v>0</v>
      </c>
      <c r="F228" s="65">
        <f>E228+D228</f>
        <v>0</v>
      </c>
      <c r="G228" s="113">
        <v>0</v>
      </c>
      <c r="H228" s="113">
        <v>0</v>
      </c>
      <c r="I228" s="65">
        <f>(G228-H228)*'16-PlantAdditions'!$E$94</f>
        <v>0</v>
      </c>
      <c r="J228" s="65">
        <f>J227+F228-G228-I228</f>
        <v>0</v>
      </c>
      <c r="K228" s="65">
        <f>J228-J227</f>
        <v>0</v>
      </c>
    </row>
    <row r="229" spans="1:11" s="962" customFormat="1" x14ac:dyDescent="0.2">
      <c r="A229" s="839">
        <f t="shared" ref="A229:A248" si="51">A228+1</f>
        <v>169</v>
      </c>
      <c r="B229" s="925" t="s">
        <v>212</v>
      </c>
      <c r="C229" s="923">
        <f>C228</f>
        <v>2011</v>
      </c>
      <c r="D229" s="113">
        <v>0</v>
      </c>
      <c r="E229" s="65">
        <f>D229*'16-PlantAdditions'!$E$94</f>
        <v>0</v>
      </c>
      <c r="F229" s="65">
        <f t="shared" ref="F229:F248" si="52">E229+D229</f>
        <v>0</v>
      </c>
      <c r="G229" s="113">
        <v>0</v>
      </c>
      <c r="H229" s="113">
        <v>0</v>
      </c>
      <c r="I229" s="65">
        <f>(G229-H229)*'16-PlantAdditions'!$E$94</f>
        <v>0</v>
      </c>
      <c r="J229" s="65">
        <f t="shared" ref="J229:J248" si="53">J228+F229-G229-I229</f>
        <v>0</v>
      </c>
      <c r="K229" s="65">
        <f>J229-J$171</f>
        <v>0</v>
      </c>
    </row>
    <row r="230" spans="1:11" s="962" customFormat="1" x14ac:dyDescent="0.2">
      <c r="A230" s="839">
        <f t="shared" si="51"/>
        <v>170</v>
      </c>
      <c r="B230" s="925" t="s">
        <v>225</v>
      </c>
      <c r="C230" s="923">
        <f t="shared" ref="C230:C239" si="54">C229</f>
        <v>2011</v>
      </c>
      <c r="D230" s="113">
        <v>0</v>
      </c>
      <c r="E230" s="65">
        <f>D230*'16-PlantAdditions'!$E$94</f>
        <v>0</v>
      </c>
      <c r="F230" s="65">
        <f t="shared" si="52"/>
        <v>0</v>
      </c>
      <c r="G230" s="113">
        <v>0</v>
      </c>
      <c r="H230" s="113">
        <v>0</v>
      </c>
      <c r="I230" s="65">
        <f>(G230-H230)*'16-PlantAdditions'!$E$94</f>
        <v>0</v>
      </c>
      <c r="J230" s="65">
        <f t="shared" si="53"/>
        <v>0</v>
      </c>
      <c r="K230" s="65">
        <f>J230-J227</f>
        <v>0</v>
      </c>
    </row>
    <row r="231" spans="1:11" s="962" customFormat="1" x14ac:dyDescent="0.2">
      <c r="A231" s="839">
        <f t="shared" si="51"/>
        <v>171</v>
      </c>
      <c r="B231" s="922" t="s">
        <v>213</v>
      </c>
      <c r="C231" s="923">
        <f t="shared" si="54"/>
        <v>2011</v>
      </c>
      <c r="D231" s="113">
        <v>85659.250000000015</v>
      </c>
      <c r="E231" s="65">
        <f>D231*'16-PlantAdditions'!$E$94</f>
        <v>6424.4437500000013</v>
      </c>
      <c r="F231" s="65">
        <f t="shared" si="52"/>
        <v>92083.69375000002</v>
      </c>
      <c r="G231" s="113">
        <v>0</v>
      </c>
      <c r="H231" s="113">
        <v>0</v>
      </c>
      <c r="I231" s="65">
        <f>(G231-H231)*'16-PlantAdditions'!$E$94</f>
        <v>0</v>
      </c>
      <c r="J231" s="65">
        <f t="shared" si="53"/>
        <v>92083.69375000002</v>
      </c>
      <c r="K231" s="65">
        <f>J231-J227</f>
        <v>92083.69375000002</v>
      </c>
    </row>
    <row r="232" spans="1:11" s="962" customFormat="1" x14ac:dyDescent="0.2">
      <c r="A232" s="839">
        <f t="shared" si="51"/>
        <v>172</v>
      </c>
      <c r="B232" s="925" t="s">
        <v>214</v>
      </c>
      <c r="C232" s="923">
        <f t="shared" si="54"/>
        <v>2011</v>
      </c>
      <c r="D232" s="113">
        <v>90549</v>
      </c>
      <c r="E232" s="65">
        <f>D232*'16-PlantAdditions'!$E$94</f>
        <v>6791.1750000000002</v>
      </c>
      <c r="F232" s="65">
        <f t="shared" si="52"/>
        <v>97340.175000000003</v>
      </c>
      <c r="G232" s="113">
        <v>0</v>
      </c>
      <c r="H232" s="113">
        <v>0</v>
      </c>
      <c r="I232" s="65">
        <f>(G232-H232)*'16-PlantAdditions'!$E$94</f>
        <v>0</v>
      </c>
      <c r="J232" s="65">
        <f t="shared" si="53"/>
        <v>189423.86875000002</v>
      </c>
      <c r="K232" s="65">
        <f>J232-J227</f>
        <v>189423.86875000002</v>
      </c>
    </row>
    <row r="233" spans="1:11" s="962" customFormat="1" x14ac:dyDescent="0.2">
      <c r="A233" s="839">
        <f t="shared" si="51"/>
        <v>173</v>
      </c>
      <c r="B233" s="925" t="s">
        <v>1920</v>
      </c>
      <c r="C233" s="923">
        <f t="shared" si="54"/>
        <v>2011</v>
      </c>
      <c r="D233" s="113">
        <v>129355.90000000002</v>
      </c>
      <c r="E233" s="65">
        <f>D233*'16-PlantAdditions'!$E$94</f>
        <v>9701.692500000001</v>
      </c>
      <c r="F233" s="65">
        <f t="shared" si="52"/>
        <v>139057.59250000003</v>
      </c>
      <c r="G233" s="113">
        <v>0</v>
      </c>
      <c r="H233" s="113">
        <v>0</v>
      </c>
      <c r="I233" s="65">
        <f>(G233-H233)*'16-PlantAdditions'!$E$94</f>
        <v>0</v>
      </c>
      <c r="J233" s="65">
        <f t="shared" si="53"/>
        <v>328481.46125000005</v>
      </c>
      <c r="K233" s="65">
        <f>J233-J227</f>
        <v>328481.46125000005</v>
      </c>
    </row>
    <row r="234" spans="1:11" s="962" customFormat="1" x14ac:dyDescent="0.2">
      <c r="A234" s="839">
        <f t="shared" si="51"/>
        <v>174</v>
      </c>
      <c r="B234" s="922" t="s">
        <v>216</v>
      </c>
      <c r="C234" s="923">
        <f t="shared" si="54"/>
        <v>2011</v>
      </c>
      <c r="D234" s="113">
        <v>139939.5</v>
      </c>
      <c r="E234" s="65">
        <f>D234*'16-PlantAdditions'!$E$94</f>
        <v>10495.4625</v>
      </c>
      <c r="F234" s="65">
        <f t="shared" si="52"/>
        <v>150434.96249999999</v>
      </c>
      <c r="G234" s="113">
        <v>0</v>
      </c>
      <c r="H234" s="113">
        <v>0</v>
      </c>
      <c r="I234" s="65">
        <f>(G234-H234)*'16-PlantAdditions'!$E$94</f>
        <v>0</v>
      </c>
      <c r="J234" s="65">
        <f t="shared" si="53"/>
        <v>478916.42375000007</v>
      </c>
      <c r="K234" s="65">
        <f>J234-J227</f>
        <v>478916.42375000007</v>
      </c>
    </row>
    <row r="235" spans="1:11" s="962" customFormat="1" x14ac:dyDescent="0.2">
      <c r="A235" s="839">
        <f t="shared" si="51"/>
        <v>175</v>
      </c>
      <c r="B235" s="925" t="s">
        <v>217</v>
      </c>
      <c r="C235" s="923">
        <f t="shared" si="54"/>
        <v>2011</v>
      </c>
      <c r="D235" s="113">
        <v>158755.1</v>
      </c>
      <c r="E235" s="65">
        <f>D235*'16-PlantAdditions'!$E$94</f>
        <v>11906.6325</v>
      </c>
      <c r="F235" s="65">
        <f t="shared" si="52"/>
        <v>170661.73250000001</v>
      </c>
      <c r="G235" s="113">
        <v>0</v>
      </c>
      <c r="H235" s="113">
        <v>0</v>
      </c>
      <c r="I235" s="65">
        <f>(G235-H235)*'16-PlantAdditions'!$E$94</f>
        <v>0</v>
      </c>
      <c r="J235" s="65">
        <f t="shared" si="53"/>
        <v>649578.15625000012</v>
      </c>
      <c r="K235" s="65">
        <f>J235-J227</f>
        <v>649578.15625000012</v>
      </c>
    </row>
    <row r="236" spans="1:11" s="962" customFormat="1" x14ac:dyDescent="0.2">
      <c r="A236" s="839">
        <f t="shared" si="51"/>
        <v>176</v>
      </c>
      <c r="B236" s="925" t="s">
        <v>218</v>
      </c>
      <c r="C236" s="923">
        <f t="shared" si="54"/>
        <v>2011</v>
      </c>
      <c r="D236" s="113">
        <v>127004.3</v>
      </c>
      <c r="E236" s="65">
        <f>D236*'16-PlantAdditions'!$E$94</f>
        <v>9525.3225000000002</v>
      </c>
      <c r="F236" s="65">
        <f t="shared" si="52"/>
        <v>136529.6225</v>
      </c>
      <c r="G236" s="113">
        <v>0</v>
      </c>
      <c r="H236" s="113">
        <v>0</v>
      </c>
      <c r="I236" s="65">
        <f>(G236-H236)*'16-PlantAdditions'!$E$94</f>
        <v>0</v>
      </c>
      <c r="J236" s="65">
        <f t="shared" si="53"/>
        <v>786107.77875000006</v>
      </c>
      <c r="K236" s="65">
        <f>J236-J227</f>
        <v>786107.77875000006</v>
      </c>
    </row>
    <row r="237" spans="1:11" s="962" customFormat="1" x14ac:dyDescent="0.2">
      <c r="A237" s="839">
        <f t="shared" si="51"/>
        <v>177</v>
      </c>
      <c r="B237" s="922" t="s">
        <v>221</v>
      </c>
      <c r="C237" s="923">
        <f t="shared" si="54"/>
        <v>2011</v>
      </c>
      <c r="D237" s="113">
        <v>276352.2</v>
      </c>
      <c r="E237" s="65">
        <f>D237*'16-PlantAdditions'!$E$94</f>
        <v>20726.415000000001</v>
      </c>
      <c r="F237" s="65">
        <f t="shared" si="52"/>
        <v>297078.61499999999</v>
      </c>
      <c r="G237" s="113">
        <v>0</v>
      </c>
      <c r="H237" s="113">
        <v>0</v>
      </c>
      <c r="I237" s="65">
        <f>(G237-H237)*'16-PlantAdditions'!$E$94</f>
        <v>0</v>
      </c>
      <c r="J237" s="65">
        <f t="shared" si="53"/>
        <v>1083186.39375</v>
      </c>
      <c r="K237" s="65">
        <f>J237-J227</f>
        <v>1083186.39375</v>
      </c>
    </row>
    <row r="238" spans="1:11" s="962" customFormat="1" x14ac:dyDescent="0.2">
      <c r="A238" s="839">
        <f t="shared" si="51"/>
        <v>178</v>
      </c>
      <c r="B238" s="922" t="s">
        <v>220</v>
      </c>
      <c r="C238" s="923">
        <f t="shared" si="54"/>
        <v>2011</v>
      </c>
      <c r="D238" s="113">
        <v>444514.1</v>
      </c>
      <c r="E238" s="65">
        <f>D238*'16-PlantAdditions'!$E$94</f>
        <v>33338.557499999995</v>
      </c>
      <c r="F238" s="65">
        <f t="shared" si="52"/>
        <v>477852.65749999997</v>
      </c>
      <c r="G238" s="113">
        <v>0</v>
      </c>
      <c r="H238" s="113">
        <v>0</v>
      </c>
      <c r="I238" s="65">
        <f>(G238-H238)*'16-PlantAdditions'!$E$94</f>
        <v>0</v>
      </c>
      <c r="J238" s="65">
        <f t="shared" si="53"/>
        <v>1561039.05125</v>
      </c>
      <c r="K238" s="65">
        <f>J238-J227</f>
        <v>1561039.05125</v>
      </c>
    </row>
    <row r="239" spans="1:11" s="962" customFormat="1" x14ac:dyDescent="0.2">
      <c r="A239" s="839">
        <f t="shared" si="51"/>
        <v>179</v>
      </c>
      <c r="B239" s="922" t="s">
        <v>210</v>
      </c>
      <c r="C239" s="923">
        <f t="shared" si="54"/>
        <v>2011</v>
      </c>
      <c r="D239" s="113">
        <v>836900.00000000012</v>
      </c>
      <c r="E239" s="65">
        <f>D239*'16-PlantAdditions'!$E$94</f>
        <v>62767.500000000007</v>
      </c>
      <c r="F239" s="65">
        <f t="shared" si="52"/>
        <v>899667.50000000012</v>
      </c>
      <c r="G239" s="113">
        <v>0</v>
      </c>
      <c r="H239" s="113">
        <v>0</v>
      </c>
      <c r="I239" s="65">
        <f>(G239-H239)*'16-PlantAdditions'!$E$94</f>
        <v>0</v>
      </c>
      <c r="J239" s="65">
        <f t="shared" si="53"/>
        <v>2460706.55125</v>
      </c>
      <c r="K239" s="65">
        <f>J239-J227</f>
        <v>2460706.55125</v>
      </c>
    </row>
    <row r="240" spans="1:11" s="962" customFormat="1" x14ac:dyDescent="0.2">
      <c r="A240" s="839">
        <f t="shared" si="51"/>
        <v>180</v>
      </c>
      <c r="B240" s="922" t="s">
        <v>211</v>
      </c>
      <c r="C240" s="923">
        <f>C239+1</f>
        <v>2012</v>
      </c>
      <c r="D240" s="113">
        <v>861981.8</v>
      </c>
      <c r="E240" s="65">
        <f>D240*'16-PlantAdditions'!$E$94</f>
        <v>64648.635000000002</v>
      </c>
      <c r="F240" s="65">
        <f t="shared" si="52"/>
        <v>926630.43500000006</v>
      </c>
      <c r="G240" s="113">
        <v>0</v>
      </c>
      <c r="H240" s="113">
        <v>0</v>
      </c>
      <c r="I240" s="65">
        <f>(G240-H240)*'16-PlantAdditions'!$E$94</f>
        <v>0</v>
      </c>
      <c r="J240" s="65">
        <f t="shared" si="53"/>
        <v>3387336.9862500001</v>
      </c>
      <c r="K240" s="65">
        <f>J240-J227</f>
        <v>3387336.9862500001</v>
      </c>
    </row>
    <row r="241" spans="1:11" s="962" customFormat="1" x14ac:dyDescent="0.2">
      <c r="A241" s="839">
        <f t="shared" si="51"/>
        <v>181</v>
      </c>
      <c r="B241" s="925" t="s">
        <v>212</v>
      </c>
      <c r="C241" s="923">
        <f>C240</f>
        <v>2012</v>
      </c>
      <c r="D241" s="113">
        <v>880797.8</v>
      </c>
      <c r="E241" s="65">
        <f>D241*'16-PlantAdditions'!$E$94</f>
        <v>66059.835000000006</v>
      </c>
      <c r="F241" s="65">
        <f t="shared" si="52"/>
        <v>946857.63500000001</v>
      </c>
      <c r="G241" s="113">
        <v>0</v>
      </c>
      <c r="H241" s="113">
        <v>0</v>
      </c>
      <c r="I241" s="65">
        <f>(G241-H241)*'16-PlantAdditions'!$E$94</f>
        <v>0</v>
      </c>
      <c r="J241" s="65">
        <f t="shared" si="53"/>
        <v>4334194.6212499999</v>
      </c>
      <c r="K241" s="65">
        <f>J241-J227</f>
        <v>4334194.6212499999</v>
      </c>
    </row>
    <row r="242" spans="1:11" s="962" customFormat="1" x14ac:dyDescent="0.2">
      <c r="A242" s="839">
        <f t="shared" si="51"/>
        <v>182</v>
      </c>
      <c r="B242" s="925" t="s">
        <v>225</v>
      </c>
      <c r="C242" s="923">
        <f t="shared" ref="C242:C248" si="55">C241</f>
        <v>2012</v>
      </c>
      <c r="D242" s="113">
        <v>917251.50000000012</v>
      </c>
      <c r="E242" s="65">
        <f>D242*'16-PlantAdditions'!$E$94</f>
        <v>68793.862500000003</v>
      </c>
      <c r="F242" s="65">
        <f t="shared" si="52"/>
        <v>986045.36250000016</v>
      </c>
      <c r="G242" s="113">
        <v>0</v>
      </c>
      <c r="H242" s="113">
        <v>0</v>
      </c>
      <c r="I242" s="65">
        <f>(G242-H242)*'16-PlantAdditions'!$E$94</f>
        <v>0</v>
      </c>
      <c r="J242" s="65">
        <f t="shared" si="53"/>
        <v>5320239.9837499997</v>
      </c>
      <c r="K242" s="65">
        <f>J242-J227</f>
        <v>5320239.9837499997</v>
      </c>
    </row>
    <row r="243" spans="1:11" s="962" customFormat="1" x14ac:dyDescent="0.2">
      <c r="A243" s="839">
        <f t="shared" si="51"/>
        <v>183</v>
      </c>
      <c r="B243" s="922" t="s">
        <v>213</v>
      </c>
      <c r="C243" s="923">
        <f t="shared" si="55"/>
        <v>2012</v>
      </c>
      <c r="D243" s="113">
        <v>332797.5</v>
      </c>
      <c r="E243" s="65">
        <f>D243*'16-PlantAdditions'!$E$94</f>
        <v>24959.8125</v>
      </c>
      <c r="F243" s="65">
        <f t="shared" si="52"/>
        <v>357757.3125</v>
      </c>
      <c r="G243" s="113">
        <v>0</v>
      </c>
      <c r="H243" s="113">
        <v>0</v>
      </c>
      <c r="I243" s="65">
        <f>(G243-H243)*'16-PlantAdditions'!$E$94</f>
        <v>0</v>
      </c>
      <c r="J243" s="65">
        <f t="shared" si="53"/>
        <v>5677997.2962499997</v>
      </c>
      <c r="K243" s="65">
        <f>J243-J227</f>
        <v>5677997.2962499997</v>
      </c>
    </row>
    <row r="244" spans="1:11" s="962" customFormat="1" x14ac:dyDescent="0.2">
      <c r="A244" s="839">
        <f t="shared" si="51"/>
        <v>184</v>
      </c>
      <c r="B244" s="925" t="s">
        <v>214</v>
      </c>
      <c r="C244" s="923">
        <f t="shared" si="55"/>
        <v>2012</v>
      </c>
      <c r="D244" s="113">
        <v>231661.69999999998</v>
      </c>
      <c r="E244" s="65">
        <f>D244*'16-PlantAdditions'!$E$94</f>
        <v>17374.627499999999</v>
      </c>
      <c r="F244" s="65">
        <f t="shared" si="52"/>
        <v>249036.32749999998</v>
      </c>
      <c r="G244" s="113">
        <v>0</v>
      </c>
      <c r="H244" s="113">
        <v>0</v>
      </c>
      <c r="I244" s="65">
        <f>(G244-H244)*'16-PlantAdditions'!$E$94</f>
        <v>0</v>
      </c>
      <c r="J244" s="65">
        <f t="shared" si="53"/>
        <v>5927033.6237499993</v>
      </c>
      <c r="K244" s="65">
        <f>J244-J227</f>
        <v>5927033.6237499993</v>
      </c>
    </row>
    <row r="245" spans="1:11" s="962" customFormat="1" x14ac:dyDescent="0.2">
      <c r="A245" s="839">
        <f t="shared" si="51"/>
        <v>185</v>
      </c>
      <c r="B245" s="925" t="s">
        <v>1920</v>
      </c>
      <c r="C245" s="923">
        <f t="shared" si="55"/>
        <v>2012</v>
      </c>
      <c r="D245" s="113">
        <v>174038.09999999998</v>
      </c>
      <c r="E245" s="65">
        <f>D245*'16-PlantAdditions'!$E$94</f>
        <v>13052.857499999998</v>
      </c>
      <c r="F245" s="65">
        <f t="shared" si="52"/>
        <v>187090.95749999996</v>
      </c>
      <c r="G245" s="113">
        <v>0</v>
      </c>
      <c r="H245" s="113">
        <v>0</v>
      </c>
      <c r="I245" s="65">
        <f>(G245-H245)*'16-PlantAdditions'!$E$94</f>
        <v>0</v>
      </c>
      <c r="J245" s="65">
        <f t="shared" si="53"/>
        <v>6114124.5812499989</v>
      </c>
      <c r="K245" s="65">
        <f>J245-J227</f>
        <v>6114124.5812499989</v>
      </c>
    </row>
    <row r="246" spans="1:11" s="962" customFormat="1" x14ac:dyDescent="0.2">
      <c r="A246" s="839">
        <f t="shared" si="51"/>
        <v>186</v>
      </c>
      <c r="B246" s="922" t="s">
        <v>216</v>
      </c>
      <c r="C246" s="923">
        <f t="shared" si="55"/>
        <v>2012</v>
      </c>
      <c r="D246" s="113">
        <v>181093.5</v>
      </c>
      <c r="E246" s="65">
        <f>D246*'16-PlantAdditions'!$E$94</f>
        <v>13582.012499999999</v>
      </c>
      <c r="F246" s="65">
        <f t="shared" si="52"/>
        <v>194675.51250000001</v>
      </c>
      <c r="G246" s="113">
        <v>0</v>
      </c>
      <c r="H246" s="113">
        <v>0</v>
      </c>
      <c r="I246" s="65">
        <f>(G246-H246)*'16-PlantAdditions'!$E$94</f>
        <v>0</v>
      </c>
      <c r="J246" s="65">
        <f t="shared" si="53"/>
        <v>6308800.0937499991</v>
      </c>
      <c r="K246" s="65">
        <f>J246-J227</f>
        <v>6308800.0937499991</v>
      </c>
    </row>
    <row r="247" spans="1:11" s="962" customFormat="1" x14ac:dyDescent="0.2">
      <c r="A247" s="839">
        <f t="shared" si="51"/>
        <v>187</v>
      </c>
      <c r="B247" s="925" t="s">
        <v>217</v>
      </c>
      <c r="C247" s="923">
        <f t="shared" si="55"/>
        <v>2012</v>
      </c>
      <c r="D247" s="113">
        <v>63500.4</v>
      </c>
      <c r="E247" s="65">
        <f>D247*'16-PlantAdditions'!$E$94</f>
        <v>4762.53</v>
      </c>
      <c r="F247" s="65">
        <f t="shared" si="52"/>
        <v>68262.930000000008</v>
      </c>
      <c r="G247" s="113">
        <v>0</v>
      </c>
      <c r="H247" s="113">
        <v>0</v>
      </c>
      <c r="I247" s="65">
        <f>(G247-H247)*'16-PlantAdditions'!$E$94</f>
        <v>0</v>
      </c>
      <c r="J247" s="65">
        <f t="shared" si="53"/>
        <v>6377063.0237499988</v>
      </c>
      <c r="K247" s="65">
        <f>J247-J227</f>
        <v>6377063.0237499988</v>
      </c>
    </row>
    <row r="248" spans="1:11" s="962" customFormat="1" x14ac:dyDescent="0.2">
      <c r="A248" s="839">
        <f t="shared" si="51"/>
        <v>188</v>
      </c>
      <c r="B248" s="925" t="s">
        <v>218</v>
      </c>
      <c r="C248" s="923">
        <f t="shared" si="55"/>
        <v>2012</v>
      </c>
      <c r="D248" s="113">
        <v>54092.7</v>
      </c>
      <c r="E248" s="65">
        <f>D248*'16-PlantAdditions'!$E$94</f>
        <v>4056.9524999999994</v>
      </c>
      <c r="F248" s="65">
        <f t="shared" si="52"/>
        <v>58149.652499999997</v>
      </c>
      <c r="G248" s="113">
        <v>5986244.3499999987</v>
      </c>
      <c r="H248" s="113">
        <v>0</v>
      </c>
      <c r="I248" s="65">
        <f>(G248-H248)*'16-PlantAdditions'!$E$94</f>
        <v>448968.32624999987</v>
      </c>
      <c r="J248" s="65">
        <f t="shared" si="53"/>
        <v>0</v>
      </c>
      <c r="K248" s="118">
        <f>J248-J227</f>
        <v>0</v>
      </c>
    </row>
    <row r="249" spans="1:11" s="962" customFormat="1" x14ac:dyDescent="0.2">
      <c r="A249" s="839">
        <f>A248+1</f>
        <v>189</v>
      </c>
      <c r="B249"/>
      <c r="C249" s="961" t="s">
        <v>2309</v>
      </c>
      <c r="D249"/>
      <c r="E249"/>
      <c r="F249"/>
      <c r="G249"/>
      <c r="H249"/>
      <c r="I249"/>
      <c r="J249"/>
      <c r="K249" s="77">
        <f>AVERAGE(K236:K248)</f>
        <v>3795217.6911538462</v>
      </c>
    </row>
    <row r="250" spans="1:11" s="962" customFormat="1" x14ac:dyDescent="0.2">
      <c r="A250" s="839"/>
      <c r="B250"/>
      <c r="C250" s="961"/>
      <c r="D250"/>
      <c r="E250"/>
      <c r="F250"/>
      <c r="G250"/>
      <c r="H250"/>
      <c r="I250"/>
      <c r="J250"/>
      <c r="K250" s="77"/>
    </row>
    <row r="251" spans="1:11" s="962" customFormat="1" x14ac:dyDescent="0.2">
      <c r="B251" s="963" t="s">
        <v>2929</v>
      </c>
      <c r="D251" s="1206" t="s">
        <v>2930</v>
      </c>
      <c r="E251" s="1206"/>
    </row>
    <row r="252" spans="1:11" s="962" customFormat="1" x14ac:dyDescent="0.2">
      <c r="A252" s="957"/>
      <c r="B252" s="957"/>
      <c r="C252" s="957"/>
      <c r="D252" s="957" t="s">
        <v>406</v>
      </c>
      <c r="E252" s="957" t="s">
        <v>390</v>
      </c>
      <c r="F252" s="957" t="s">
        <v>391</v>
      </c>
      <c r="G252" s="957" t="s">
        <v>392</v>
      </c>
      <c r="H252" s="957" t="s">
        <v>393</v>
      </c>
      <c r="I252" s="957" t="s">
        <v>394</v>
      </c>
      <c r="J252" s="957" t="s">
        <v>395</v>
      </c>
      <c r="K252" s="957" t="s">
        <v>610</v>
      </c>
    </row>
    <row r="253" spans="1:11" s="962" customFormat="1" ht="25.9" customHeight="1" x14ac:dyDescent="0.2">
      <c r="D253" s="964"/>
      <c r="E253" s="965" t="s">
        <v>2956</v>
      </c>
      <c r="F253" s="966" t="s">
        <v>2916</v>
      </c>
      <c r="G253" s="959"/>
      <c r="H253" s="964"/>
      <c r="I253" s="965" t="s">
        <v>2957</v>
      </c>
      <c r="J253" s="965" t="s">
        <v>2917</v>
      </c>
      <c r="K253" s="965" t="s">
        <v>2918</v>
      </c>
    </row>
    <row r="254" spans="1:11" s="962" customFormat="1" ht="12.75" customHeight="1" x14ac:dyDescent="0.2">
      <c r="D254" s="964"/>
      <c r="E254" s="965"/>
      <c r="F254" s="966"/>
      <c r="G254" s="959" t="str">
        <f>G51</f>
        <v>Unloaded</v>
      </c>
      <c r="H254" s="964"/>
      <c r="I254" s="965"/>
      <c r="J254" s="965"/>
      <c r="K254" s="965"/>
    </row>
    <row r="255" spans="1:11" s="962" customFormat="1" x14ac:dyDescent="0.2">
      <c r="A255" s="959"/>
      <c r="B255" s="959"/>
      <c r="C255" s="959"/>
      <c r="D255" s="959" t="str">
        <f>D$52</f>
        <v>Forecast</v>
      </c>
      <c r="E255" s="959" t="str">
        <f t="shared" ref="E255:J255" si="56">E$52</f>
        <v>Corporate</v>
      </c>
      <c r="F255" s="959" t="str">
        <f t="shared" si="56"/>
        <v xml:space="preserve">Total </v>
      </c>
      <c r="G255" s="959" t="str">
        <f t="shared" ref="G255:G256" si="57">G52</f>
        <v>Total</v>
      </c>
      <c r="H255" s="959" t="str">
        <f t="shared" si="56"/>
        <v>Prior Period</v>
      </c>
      <c r="I255" s="959" t="str">
        <f t="shared" si="56"/>
        <v>Over Heads</v>
      </c>
      <c r="J255" s="959" t="str">
        <f t="shared" si="56"/>
        <v>Forecast</v>
      </c>
      <c r="K255" s="839" t="str">
        <f>K$52</f>
        <v>Forecast Period</v>
      </c>
    </row>
    <row r="256" spans="1:11" s="962" customFormat="1" x14ac:dyDescent="0.2">
      <c r="A256" s="53" t="s">
        <v>372</v>
      </c>
      <c r="B256" s="921" t="s">
        <v>222</v>
      </c>
      <c r="C256" s="921" t="s">
        <v>223</v>
      </c>
      <c r="D256" s="957" t="str">
        <f>D$53</f>
        <v>Expenditures</v>
      </c>
      <c r="E256" s="957" t="str">
        <f t="shared" ref="E256:J256" si="58">E$53</f>
        <v>Overheads</v>
      </c>
      <c r="F256" s="957" t="str">
        <f t="shared" si="58"/>
        <v>CWIP Exp</v>
      </c>
      <c r="G256" s="957" t="str">
        <f t="shared" si="57"/>
        <v>Plant Adds</v>
      </c>
      <c r="H256" s="957" t="str">
        <f t="shared" si="58"/>
        <v>CWIP Closed</v>
      </c>
      <c r="I256" s="957" t="str">
        <f t="shared" si="58"/>
        <v>Closed to PIS</v>
      </c>
      <c r="J256" s="957" t="str">
        <f t="shared" si="58"/>
        <v>Period CWIP</v>
      </c>
      <c r="K256" s="957" t="str">
        <f>K$53</f>
        <v>Incremental CWIP</v>
      </c>
    </row>
    <row r="257" spans="1:13" s="962" customFormat="1" x14ac:dyDescent="0.2">
      <c r="A257" s="839">
        <f>A249+1</f>
        <v>190</v>
      </c>
      <c r="B257" s="922" t="s">
        <v>210</v>
      </c>
      <c r="C257" s="923">
        <f>C227</f>
        <v>2010</v>
      </c>
      <c r="D257" s="966" t="s">
        <v>88</v>
      </c>
      <c r="E257" s="966" t="s">
        <v>88</v>
      </c>
      <c r="F257" s="966" t="s">
        <v>88</v>
      </c>
      <c r="G257" s="966" t="s">
        <v>88</v>
      </c>
      <c r="H257" s="966" t="s">
        <v>88</v>
      </c>
      <c r="I257" s="966" t="s">
        <v>88</v>
      </c>
      <c r="J257" s="65">
        <f>E45</f>
        <v>0</v>
      </c>
      <c r="K257" s="966" t="s">
        <v>88</v>
      </c>
      <c r="L257" s="968"/>
    </row>
    <row r="258" spans="1:13" s="962" customFormat="1" x14ac:dyDescent="0.2">
      <c r="A258" s="839">
        <f>A257+1</f>
        <v>191</v>
      </c>
      <c r="B258" s="922" t="s">
        <v>211</v>
      </c>
      <c r="C258" s="923">
        <f>C257+1</f>
        <v>2011</v>
      </c>
      <c r="D258" s="113">
        <v>0</v>
      </c>
      <c r="E258" s="65">
        <f>D258*'16-PlantAdditions'!$E$94</f>
        <v>0</v>
      </c>
      <c r="F258" s="65">
        <f>E258+D258</f>
        <v>0</v>
      </c>
      <c r="G258" s="113">
        <v>0</v>
      </c>
      <c r="H258" s="113">
        <v>0</v>
      </c>
      <c r="I258" s="65">
        <f>(G258-H258)*'16-PlantAdditions'!$E$94</f>
        <v>0</v>
      </c>
      <c r="J258" s="65">
        <f>J257+F258-G258-I258</f>
        <v>0</v>
      </c>
      <c r="K258" s="65">
        <f>J258-J257</f>
        <v>0</v>
      </c>
    </row>
    <row r="259" spans="1:13" s="962" customFormat="1" x14ac:dyDescent="0.2">
      <c r="A259" s="839">
        <f t="shared" ref="A259:A278" si="59">A258+1</f>
        <v>192</v>
      </c>
      <c r="B259" s="925" t="s">
        <v>212</v>
      </c>
      <c r="C259" s="923">
        <f>C258</f>
        <v>2011</v>
      </c>
      <c r="D259" s="113">
        <v>0</v>
      </c>
      <c r="E259" s="65">
        <f>D259*'16-PlantAdditions'!$E$94</f>
        <v>0</v>
      </c>
      <c r="F259" s="65">
        <f t="shared" ref="F259:F278" si="60">E259+D259</f>
        <v>0</v>
      </c>
      <c r="G259" s="113">
        <v>0</v>
      </c>
      <c r="H259" s="113">
        <v>0</v>
      </c>
      <c r="I259" s="65">
        <f>(G259-H259)*'16-PlantAdditions'!$E$94</f>
        <v>0</v>
      </c>
      <c r="J259" s="65">
        <f t="shared" ref="J259:J278" si="61">J258+F259-G259-I259</f>
        <v>0</v>
      </c>
      <c r="K259" s="65">
        <f>J259-J$171</f>
        <v>0</v>
      </c>
    </row>
    <row r="260" spans="1:13" s="962" customFormat="1" x14ac:dyDescent="0.2">
      <c r="A260" s="839">
        <f t="shared" si="59"/>
        <v>193</v>
      </c>
      <c r="B260" s="925" t="s">
        <v>225</v>
      </c>
      <c r="C260" s="923">
        <f t="shared" ref="C260:C269" si="62">C259</f>
        <v>2011</v>
      </c>
      <c r="D260" s="113">
        <v>0</v>
      </c>
      <c r="E260" s="65">
        <f>D260*'16-PlantAdditions'!$E$94</f>
        <v>0</v>
      </c>
      <c r="F260" s="65">
        <f t="shared" si="60"/>
        <v>0</v>
      </c>
      <c r="G260" s="113">
        <v>0</v>
      </c>
      <c r="H260" s="113">
        <v>0</v>
      </c>
      <c r="I260" s="65">
        <f>(G260-H260)*'16-PlantAdditions'!$E$94</f>
        <v>0</v>
      </c>
      <c r="J260" s="65">
        <f t="shared" si="61"/>
        <v>0</v>
      </c>
      <c r="K260" s="65">
        <f>J260-J257</f>
        <v>0</v>
      </c>
    </row>
    <row r="261" spans="1:13" s="962" customFormat="1" x14ac:dyDescent="0.2">
      <c r="A261" s="839">
        <f t="shared" si="59"/>
        <v>194</v>
      </c>
      <c r="B261" s="922" t="s">
        <v>213</v>
      </c>
      <c r="C261" s="923">
        <f t="shared" si="62"/>
        <v>2011</v>
      </c>
      <c r="D261" s="113">
        <v>467270.69000000006</v>
      </c>
      <c r="E261" s="65">
        <f>D261*'16-PlantAdditions'!$E$94</f>
        <v>35045.301750000006</v>
      </c>
      <c r="F261" s="65">
        <f t="shared" si="60"/>
        <v>502315.99175000004</v>
      </c>
      <c r="G261" s="113">
        <v>0</v>
      </c>
      <c r="H261" s="113">
        <v>0</v>
      </c>
      <c r="I261" s="65">
        <f>(G261-H261)*'16-PlantAdditions'!$E$94</f>
        <v>0</v>
      </c>
      <c r="J261" s="65">
        <f t="shared" si="61"/>
        <v>502315.99175000004</v>
      </c>
      <c r="K261" s="65">
        <f>J261-J257</f>
        <v>502315.99175000004</v>
      </c>
    </row>
    <row r="262" spans="1:13" s="962" customFormat="1" x14ac:dyDescent="0.2">
      <c r="A262" s="839">
        <f t="shared" si="59"/>
        <v>195</v>
      </c>
      <c r="B262" s="925" t="s">
        <v>214</v>
      </c>
      <c r="C262" s="923">
        <f t="shared" si="62"/>
        <v>2011</v>
      </c>
      <c r="D262" s="113">
        <v>392661</v>
      </c>
      <c r="E262" s="65">
        <f>D262*'16-PlantAdditions'!$E$94</f>
        <v>29449.575000000001</v>
      </c>
      <c r="F262" s="65">
        <f t="shared" si="60"/>
        <v>422110.57500000001</v>
      </c>
      <c r="G262" s="113">
        <v>0</v>
      </c>
      <c r="H262" s="113">
        <v>0</v>
      </c>
      <c r="I262" s="65">
        <f>(G262-H262)*'16-PlantAdditions'!$E$94</f>
        <v>0</v>
      </c>
      <c r="J262" s="65">
        <f t="shared" si="61"/>
        <v>924426.56675</v>
      </c>
      <c r="K262" s="65">
        <f>J262-J257</f>
        <v>924426.56675</v>
      </c>
    </row>
    <row r="263" spans="1:13" s="962" customFormat="1" x14ac:dyDescent="0.2">
      <c r="A263" s="839">
        <f t="shared" si="59"/>
        <v>196</v>
      </c>
      <c r="B263" s="925" t="s">
        <v>1920</v>
      </c>
      <c r="C263" s="923">
        <f t="shared" si="62"/>
        <v>2011</v>
      </c>
      <c r="D263" s="113">
        <v>365850</v>
      </c>
      <c r="E263" s="65">
        <f>D263*'16-PlantAdditions'!$E$94</f>
        <v>27438.75</v>
      </c>
      <c r="F263" s="65">
        <f t="shared" si="60"/>
        <v>393288.75</v>
      </c>
      <c r="G263" s="113">
        <v>0</v>
      </c>
      <c r="H263" s="113">
        <v>0</v>
      </c>
      <c r="I263" s="65">
        <f>(G263-H263)*'16-PlantAdditions'!$E$94</f>
        <v>0</v>
      </c>
      <c r="J263" s="65">
        <f t="shared" si="61"/>
        <v>1317715.31675</v>
      </c>
      <c r="K263" s="65">
        <f>J263-J257</f>
        <v>1317715.31675</v>
      </c>
    </row>
    <row r="264" spans="1:13" s="962" customFormat="1" x14ac:dyDescent="0.2">
      <c r="A264" s="839">
        <f t="shared" si="59"/>
        <v>197</v>
      </c>
      <c r="B264" s="922" t="s">
        <v>216</v>
      </c>
      <c r="C264" s="923">
        <f t="shared" si="62"/>
        <v>2011</v>
      </c>
      <c r="D264" s="113">
        <v>1893718</v>
      </c>
      <c r="E264" s="65">
        <f>D264*'16-PlantAdditions'!$E$94</f>
        <v>142028.85</v>
      </c>
      <c r="F264" s="65">
        <f t="shared" si="60"/>
        <v>2035746.85</v>
      </c>
      <c r="G264" s="113">
        <v>0</v>
      </c>
      <c r="H264" s="113">
        <v>0</v>
      </c>
      <c r="I264" s="65">
        <f>(G264-H264)*'16-PlantAdditions'!$E$94</f>
        <v>0</v>
      </c>
      <c r="J264" s="65">
        <f t="shared" si="61"/>
        <v>3353462.1667499999</v>
      </c>
      <c r="K264" s="65">
        <f>J264-J257</f>
        <v>3353462.1667499999</v>
      </c>
    </row>
    <row r="265" spans="1:13" s="962" customFormat="1" x14ac:dyDescent="0.2">
      <c r="A265" s="839">
        <f t="shared" si="59"/>
        <v>198</v>
      </c>
      <c r="B265" s="925" t="s">
        <v>217</v>
      </c>
      <c r="C265" s="923">
        <f t="shared" si="62"/>
        <v>2011</v>
      </c>
      <c r="D265" s="113">
        <v>1081051</v>
      </c>
      <c r="E265" s="65">
        <f>D265*'16-PlantAdditions'!$E$94</f>
        <v>81078.824999999997</v>
      </c>
      <c r="F265" s="65">
        <f t="shared" si="60"/>
        <v>1162129.825</v>
      </c>
      <c r="G265" s="113">
        <v>0</v>
      </c>
      <c r="H265" s="113">
        <v>0</v>
      </c>
      <c r="I265" s="65">
        <f>(G265-H265)*'16-PlantAdditions'!$E$94</f>
        <v>0</v>
      </c>
      <c r="J265" s="65">
        <f t="shared" si="61"/>
        <v>4515591.99175</v>
      </c>
      <c r="K265" s="65">
        <f>J265-J257</f>
        <v>4515591.99175</v>
      </c>
    </row>
    <row r="266" spans="1:13" s="962" customFormat="1" x14ac:dyDescent="0.2">
      <c r="A266" s="839">
        <f t="shared" si="59"/>
        <v>199</v>
      </c>
      <c r="B266" s="925" t="s">
        <v>218</v>
      </c>
      <c r="C266" s="923">
        <f t="shared" si="62"/>
        <v>2011</v>
      </c>
      <c r="D266" s="113">
        <v>446514</v>
      </c>
      <c r="E266" s="65">
        <f>D266*'16-PlantAdditions'!$E$94</f>
        <v>33488.549999999996</v>
      </c>
      <c r="F266" s="65">
        <f t="shared" si="60"/>
        <v>480002.55</v>
      </c>
      <c r="G266" s="113">
        <v>0</v>
      </c>
      <c r="H266" s="113">
        <v>0</v>
      </c>
      <c r="I266" s="65">
        <f>(G266-H266)*'16-PlantAdditions'!$E$94</f>
        <v>0</v>
      </c>
      <c r="J266" s="65">
        <f t="shared" si="61"/>
        <v>4995594.5417499999</v>
      </c>
      <c r="K266" s="65">
        <f>J266-J257</f>
        <v>4995594.5417499999</v>
      </c>
      <c r="L266" s="959"/>
      <c r="M266" s="959"/>
    </row>
    <row r="267" spans="1:13" s="962" customFormat="1" x14ac:dyDescent="0.2">
      <c r="A267" s="839">
        <f t="shared" si="59"/>
        <v>200</v>
      </c>
      <c r="B267" s="922" t="s">
        <v>221</v>
      </c>
      <c r="C267" s="923">
        <f t="shared" si="62"/>
        <v>2011</v>
      </c>
      <c r="D267" s="113">
        <v>425254</v>
      </c>
      <c r="E267" s="65">
        <f>D267*'16-PlantAdditions'!$E$94</f>
        <v>31894.05</v>
      </c>
      <c r="F267" s="65">
        <f t="shared" si="60"/>
        <v>457148.05</v>
      </c>
      <c r="G267" s="113">
        <v>0</v>
      </c>
      <c r="H267" s="113">
        <v>0</v>
      </c>
      <c r="I267" s="65">
        <f>(G267-H267)*'16-PlantAdditions'!$E$94</f>
        <v>0</v>
      </c>
      <c r="J267" s="65">
        <f t="shared" si="61"/>
        <v>5452742.5917499997</v>
      </c>
      <c r="K267" s="65">
        <f>J267-J257</f>
        <v>5452742.5917499997</v>
      </c>
      <c r="L267" s="957"/>
      <c r="M267" s="957"/>
    </row>
    <row r="268" spans="1:13" s="962" customFormat="1" x14ac:dyDescent="0.2">
      <c r="A268" s="839">
        <f t="shared" si="59"/>
        <v>201</v>
      </c>
      <c r="B268" s="922" t="s">
        <v>220</v>
      </c>
      <c r="C268" s="923">
        <f t="shared" si="62"/>
        <v>2011</v>
      </c>
      <c r="D268" s="113">
        <v>684732</v>
      </c>
      <c r="E268" s="65">
        <f>D268*'16-PlantAdditions'!$E$94</f>
        <v>51354.9</v>
      </c>
      <c r="F268" s="65">
        <f t="shared" si="60"/>
        <v>736086.9</v>
      </c>
      <c r="G268" s="113">
        <v>0</v>
      </c>
      <c r="H268" s="113">
        <v>0</v>
      </c>
      <c r="I268" s="65">
        <f>(G268-H268)*'16-PlantAdditions'!$E$94</f>
        <v>0</v>
      </c>
      <c r="J268" s="65">
        <f t="shared" si="61"/>
        <v>6188829.49175</v>
      </c>
      <c r="K268" s="65">
        <f>J268-J257</f>
        <v>6188829.49175</v>
      </c>
    </row>
    <row r="269" spans="1:13" s="962" customFormat="1" x14ac:dyDescent="0.2">
      <c r="A269" s="839">
        <f t="shared" si="59"/>
        <v>202</v>
      </c>
      <c r="B269" s="922" t="s">
        <v>210</v>
      </c>
      <c r="C269" s="923">
        <f t="shared" si="62"/>
        <v>2011</v>
      </c>
      <c r="D269" s="113">
        <v>1592023.0000000002</v>
      </c>
      <c r="E269" s="65">
        <f>D269*'16-PlantAdditions'!$E$94</f>
        <v>119401.72500000001</v>
      </c>
      <c r="F269" s="65">
        <f t="shared" si="60"/>
        <v>1711424.7250000003</v>
      </c>
      <c r="G269" s="113">
        <v>0</v>
      </c>
      <c r="H269" s="113">
        <v>0</v>
      </c>
      <c r="I269" s="65">
        <f>(G269-H269)*'16-PlantAdditions'!$E$94</f>
        <v>0</v>
      </c>
      <c r="J269" s="65">
        <f t="shared" si="61"/>
        <v>7900254.2167500006</v>
      </c>
      <c r="K269" s="65">
        <f>J269-J257</f>
        <v>7900254.2167500006</v>
      </c>
    </row>
    <row r="270" spans="1:13" s="962" customFormat="1" x14ac:dyDescent="0.2">
      <c r="A270" s="839">
        <f t="shared" si="59"/>
        <v>203</v>
      </c>
      <c r="B270" s="922" t="s">
        <v>211</v>
      </c>
      <c r="C270" s="923">
        <f>C269+1</f>
        <v>2012</v>
      </c>
      <c r="D270" s="113">
        <v>5766459</v>
      </c>
      <c r="E270" s="65">
        <f>D270*'16-PlantAdditions'!$E$94</f>
        <v>432484.42499999999</v>
      </c>
      <c r="F270" s="65">
        <f t="shared" si="60"/>
        <v>6198943.4249999998</v>
      </c>
      <c r="G270" s="113">
        <v>0</v>
      </c>
      <c r="H270" s="113">
        <v>0</v>
      </c>
      <c r="I270" s="65">
        <f>(G270-H270)*'16-PlantAdditions'!$E$94</f>
        <v>0</v>
      </c>
      <c r="J270" s="65">
        <f t="shared" si="61"/>
        <v>14099197.64175</v>
      </c>
      <c r="K270" s="65">
        <f>J270-J257</f>
        <v>14099197.64175</v>
      </c>
    </row>
    <row r="271" spans="1:13" s="962" customFormat="1" x14ac:dyDescent="0.2">
      <c r="A271" s="839">
        <f t="shared" si="59"/>
        <v>204</v>
      </c>
      <c r="B271" s="925" t="s">
        <v>212</v>
      </c>
      <c r="C271" s="923">
        <f>C270</f>
        <v>2012</v>
      </c>
      <c r="D271" s="113">
        <v>8855214</v>
      </c>
      <c r="E271" s="65">
        <f>D271*'16-PlantAdditions'!$E$94</f>
        <v>664141.04999999993</v>
      </c>
      <c r="F271" s="65">
        <f t="shared" si="60"/>
        <v>9519355.0500000007</v>
      </c>
      <c r="G271" s="113">
        <v>0</v>
      </c>
      <c r="H271" s="113">
        <v>0</v>
      </c>
      <c r="I271" s="65">
        <f>(G271-H271)*'16-PlantAdditions'!$E$94</f>
        <v>0</v>
      </c>
      <c r="J271" s="65">
        <f t="shared" si="61"/>
        <v>23618552.691750001</v>
      </c>
      <c r="K271" s="65">
        <f>J271-J257</f>
        <v>23618552.691750001</v>
      </c>
    </row>
    <row r="272" spans="1:13" s="962" customFormat="1" x14ac:dyDescent="0.2">
      <c r="A272" s="839">
        <f t="shared" si="59"/>
        <v>205</v>
      </c>
      <c r="B272" s="925" t="s">
        <v>225</v>
      </c>
      <c r="C272" s="923">
        <f t="shared" ref="C272:C278" si="63">C271</f>
        <v>2012</v>
      </c>
      <c r="D272" s="113">
        <v>7866891</v>
      </c>
      <c r="E272" s="65">
        <f>D272*'16-PlantAdditions'!$E$94</f>
        <v>590016.82499999995</v>
      </c>
      <c r="F272" s="65">
        <f t="shared" si="60"/>
        <v>8456907.8249999993</v>
      </c>
      <c r="G272" s="113">
        <v>0</v>
      </c>
      <c r="H272" s="113">
        <v>0</v>
      </c>
      <c r="I272" s="65">
        <f>(G272-H272)*'16-PlantAdditions'!$E$94</f>
        <v>0</v>
      </c>
      <c r="J272" s="65">
        <f t="shared" si="61"/>
        <v>32075460.51675</v>
      </c>
      <c r="K272" s="65">
        <f>J272-J257</f>
        <v>32075460.51675</v>
      </c>
    </row>
    <row r="273" spans="1:11" s="962" customFormat="1" x14ac:dyDescent="0.2">
      <c r="A273" s="839">
        <f t="shared" si="59"/>
        <v>206</v>
      </c>
      <c r="B273" s="922" t="s">
        <v>213</v>
      </c>
      <c r="C273" s="923">
        <f t="shared" si="63"/>
        <v>2012</v>
      </c>
      <c r="D273" s="113">
        <v>5084388</v>
      </c>
      <c r="E273" s="65">
        <f>D273*'16-PlantAdditions'!$E$94</f>
        <v>381329.1</v>
      </c>
      <c r="F273" s="65">
        <f t="shared" si="60"/>
        <v>5465717.0999999996</v>
      </c>
      <c r="G273" s="113">
        <v>0</v>
      </c>
      <c r="H273" s="113">
        <v>0</v>
      </c>
      <c r="I273" s="65">
        <f>(G273-H273)*'16-PlantAdditions'!$E$94</f>
        <v>0</v>
      </c>
      <c r="J273" s="65">
        <f t="shared" si="61"/>
        <v>37541177.616750002</v>
      </c>
      <c r="K273" s="65">
        <f>J273-J257</f>
        <v>37541177.616750002</v>
      </c>
    </row>
    <row r="274" spans="1:11" s="962" customFormat="1" x14ac:dyDescent="0.2">
      <c r="A274" s="839">
        <f t="shared" si="59"/>
        <v>207</v>
      </c>
      <c r="B274" s="925" t="s">
        <v>214</v>
      </c>
      <c r="C274" s="923">
        <f t="shared" si="63"/>
        <v>2012</v>
      </c>
      <c r="D274" s="113">
        <v>4727057</v>
      </c>
      <c r="E274" s="65">
        <f>D274*'16-PlantAdditions'!$E$94</f>
        <v>354529.27499999997</v>
      </c>
      <c r="F274" s="65">
        <f t="shared" si="60"/>
        <v>5081586.2750000004</v>
      </c>
      <c r="G274" s="113">
        <v>0</v>
      </c>
      <c r="H274" s="113">
        <v>0</v>
      </c>
      <c r="I274" s="65">
        <f>(G274-H274)*'16-PlantAdditions'!$E$94</f>
        <v>0</v>
      </c>
      <c r="J274" s="65">
        <f t="shared" si="61"/>
        <v>42622763.89175</v>
      </c>
      <c r="K274" s="65">
        <f>J274-J257</f>
        <v>42622763.89175</v>
      </c>
    </row>
    <row r="275" spans="1:11" s="962" customFormat="1" x14ac:dyDescent="0.2">
      <c r="A275" s="839">
        <f t="shared" si="59"/>
        <v>208</v>
      </c>
      <c r="B275" s="925" t="s">
        <v>1920</v>
      </c>
      <c r="C275" s="923">
        <f t="shared" si="63"/>
        <v>2012</v>
      </c>
      <c r="D275" s="113">
        <v>2443205</v>
      </c>
      <c r="E275" s="65">
        <f>D275*'16-PlantAdditions'!$E$94</f>
        <v>183240.375</v>
      </c>
      <c r="F275" s="65">
        <f t="shared" si="60"/>
        <v>2626445.375</v>
      </c>
      <c r="G275" s="113">
        <v>0</v>
      </c>
      <c r="H275" s="113">
        <v>0</v>
      </c>
      <c r="I275" s="65">
        <f>(G275-H275)*'16-PlantAdditions'!$E$94</f>
        <v>0</v>
      </c>
      <c r="J275" s="65">
        <f t="shared" si="61"/>
        <v>45249209.26675</v>
      </c>
      <c r="K275" s="65">
        <f>J275-J257</f>
        <v>45249209.26675</v>
      </c>
    </row>
    <row r="276" spans="1:11" s="962" customFormat="1" x14ac:dyDescent="0.2">
      <c r="A276" s="839">
        <f t="shared" si="59"/>
        <v>209</v>
      </c>
      <c r="B276" s="922" t="s">
        <v>216</v>
      </c>
      <c r="C276" s="923">
        <f t="shared" si="63"/>
        <v>2012</v>
      </c>
      <c r="D276" s="113">
        <v>3208154</v>
      </c>
      <c r="E276" s="65">
        <f>D276*'16-PlantAdditions'!$E$94</f>
        <v>240611.55</v>
      </c>
      <c r="F276" s="65">
        <f t="shared" si="60"/>
        <v>3448765.55</v>
      </c>
      <c r="G276" s="113">
        <v>0</v>
      </c>
      <c r="H276" s="113">
        <v>0</v>
      </c>
      <c r="I276" s="65">
        <f>(G276-H276)*'16-PlantAdditions'!$E$94</f>
        <v>0</v>
      </c>
      <c r="J276" s="65">
        <f t="shared" si="61"/>
        <v>48697974.816749997</v>
      </c>
      <c r="K276" s="65">
        <f>J276-J257</f>
        <v>48697974.816749997</v>
      </c>
    </row>
    <row r="277" spans="1:11" s="962" customFormat="1" x14ac:dyDescent="0.2">
      <c r="A277" s="839">
        <f t="shared" si="59"/>
        <v>210</v>
      </c>
      <c r="B277" s="925" t="s">
        <v>217</v>
      </c>
      <c r="C277" s="923">
        <f t="shared" si="63"/>
        <v>2012</v>
      </c>
      <c r="D277" s="113">
        <v>3752303</v>
      </c>
      <c r="E277" s="65">
        <f>D277*'16-PlantAdditions'!$E$94</f>
        <v>281422.72499999998</v>
      </c>
      <c r="F277" s="65">
        <f t="shared" si="60"/>
        <v>4033725.7250000001</v>
      </c>
      <c r="G277" s="113">
        <v>0</v>
      </c>
      <c r="H277" s="113">
        <v>0</v>
      </c>
      <c r="I277" s="65">
        <f>(G277-H277)*'16-PlantAdditions'!$E$94</f>
        <v>0</v>
      </c>
      <c r="J277" s="65">
        <f t="shared" si="61"/>
        <v>52731700.541749999</v>
      </c>
      <c r="K277" s="65">
        <f>J277-J257</f>
        <v>52731700.541749999</v>
      </c>
    </row>
    <row r="278" spans="1:11" s="962" customFormat="1" x14ac:dyDescent="0.2">
      <c r="A278" s="839">
        <f t="shared" si="59"/>
        <v>211</v>
      </c>
      <c r="B278" s="925" t="s">
        <v>218</v>
      </c>
      <c r="C278" s="923">
        <f t="shared" si="63"/>
        <v>2012</v>
      </c>
      <c r="D278" s="113">
        <v>3655508</v>
      </c>
      <c r="E278" s="65">
        <f>D278*'16-PlantAdditions'!$E$94</f>
        <v>274163.09999999998</v>
      </c>
      <c r="F278" s="65">
        <f t="shared" si="60"/>
        <v>3929671.1</v>
      </c>
      <c r="G278" s="113">
        <v>0</v>
      </c>
      <c r="H278" s="113">
        <v>0</v>
      </c>
      <c r="I278" s="65">
        <f>(G278-H278)*'16-PlantAdditions'!$E$94</f>
        <v>0</v>
      </c>
      <c r="J278" s="65">
        <f t="shared" si="61"/>
        <v>56661371.64175</v>
      </c>
      <c r="K278" s="118">
        <f>J278-J257</f>
        <v>56661371.64175</v>
      </c>
    </row>
    <row r="279" spans="1:11" s="962" customFormat="1" x14ac:dyDescent="0.2">
      <c r="A279" s="839">
        <f>A278+1</f>
        <v>212</v>
      </c>
      <c r="B279"/>
      <c r="C279" s="961" t="s">
        <v>2309</v>
      </c>
      <c r="D279"/>
      <c r="E279"/>
      <c r="F279"/>
      <c r="G279"/>
      <c r="H279"/>
      <c r="I279"/>
      <c r="J279"/>
      <c r="K279" s="77">
        <f>AVERAGE(K266:K278)</f>
        <v>29064217.651365384</v>
      </c>
    </row>
    <row r="280" spans="1:11" s="962" customFormat="1" x14ac:dyDescent="0.2">
      <c r="A280" s="839"/>
      <c r="B280"/>
      <c r="C280" s="961"/>
      <c r="D280"/>
      <c r="E280"/>
      <c r="F280"/>
      <c r="G280"/>
      <c r="H280"/>
      <c r="I280"/>
      <c r="J280"/>
      <c r="K280" s="77"/>
    </row>
    <row r="281" spans="1:11" s="962" customFormat="1" x14ac:dyDescent="0.2">
      <c r="B281" s="963" t="s">
        <v>2931</v>
      </c>
      <c r="D281" s="1206" t="s">
        <v>2932</v>
      </c>
      <c r="E281" s="1206"/>
    </row>
    <row r="282" spans="1:11" s="962" customFormat="1" x14ac:dyDescent="0.2">
      <c r="D282" s="964"/>
      <c r="E282" s="964"/>
      <c r="F282" s="964"/>
      <c r="G282" s="839" t="str">
        <f>G51</f>
        <v>Unloaded</v>
      </c>
      <c r="H282" s="964"/>
      <c r="I282" s="964"/>
    </row>
    <row r="283" spans="1:11" s="962" customFormat="1" x14ac:dyDescent="0.2">
      <c r="A283" s="959"/>
      <c r="B283" s="959"/>
      <c r="C283" s="959"/>
      <c r="D283" s="959" t="str">
        <f>D$52</f>
        <v>Forecast</v>
      </c>
      <c r="E283" s="959" t="str">
        <f t="shared" ref="E283:J283" si="64">E$52</f>
        <v>Corporate</v>
      </c>
      <c r="F283" s="959" t="str">
        <f t="shared" si="64"/>
        <v xml:space="preserve">Total </v>
      </c>
      <c r="G283" s="839" t="str">
        <f t="shared" ref="G283:G284" si="65">G52</f>
        <v>Total</v>
      </c>
      <c r="H283" s="959" t="str">
        <f t="shared" si="64"/>
        <v>Prior Period</v>
      </c>
      <c r="I283" s="959" t="str">
        <f t="shared" si="64"/>
        <v>Over Heads</v>
      </c>
      <c r="J283" s="959" t="str">
        <f t="shared" si="64"/>
        <v>Forecast</v>
      </c>
      <c r="K283" s="839" t="str">
        <f>K$52</f>
        <v>Forecast Period</v>
      </c>
    </row>
    <row r="284" spans="1:11" s="962" customFormat="1" x14ac:dyDescent="0.2">
      <c r="A284" s="53" t="s">
        <v>372</v>
      </c>
      <c r="B284" s="921" t="s">
        <v>222</v>
      </c>
      <c r="C284" s="921" t="s">
        <v>223</v>
      </c>
      <c r="D284" s="957" t="str">
        <f>D$53</f>
        <v>Expenditures</v>
      </c>
      <c r="E284" s="957" t="str">
        <f t="shared" ref="E284:J284" si="66">E$53</f>
        <v>Overheads</v>
      </c>
      <c r="F284" s="957" t="str">
        <f t="shared" si="66"/>
        <v>CWIP Exp</v>
      </c>
      <c r="G284" s="3" t="str">
        <f t="shared" si="65"/>
        <v>Plant Adds</v>
      </c>
      <c r="H284" s="957" t="str">
        <f t="shared" si="66"/>
        <v>CWIP Closed</v>
      </c>
      <c r="I284" s="957" t="str">
        <f t="shared" si="66"/>
        <v>Closed to PIS</v>
      </c>
      <c r="J284" s="957" t="str">
        <f t="shared" si="66"/>
        <v>Period CWIP</v>
      </c>
      <c r="K284" s="957" t="str">
        <f>K$53</f>
        <v>Incremental CWIP</v>
      </c>
    </row>
    <row r="285" spans="1:11" s="962" customFormat="1" x14ac:dyDescent="0.2">
      <c r="A285" s="839">
        <f>A279+1</f>
        <v>213</v>
      </c>
      <c r="B285" s="922" t="s">
        <v>210</v>
      </c>
      <c r="C285" s="923">
        <f>C257</f>
        <v>2010</v>
      </c>
      <c r="D285" s="966" t="s">
        <v>88</v>
      </c>
      <c r="E285" s="966" t="s">
        <v>88</v>
      </c>
      <c r="F285" s="966" t="s">
        <v>88</v>
      </c>
      <c r="G285" s="966" t="s">
        <v>88</v>
      </c>
      <c r="H285" s="966" t="s">
        <v>88</v>
      </c>
      <c r="I285" s="966" t="s">
        <v>88</v>
      </c>
      <c r="J285" s="65">
        <f>F45</f>
        <v>0</v>
      </c>
      <c r="K285" s="966" t="s">
        <v>88</v>
      </c>
    </row>
    <row r="286" spans="1:11" s="962" customFormat="1" x14ac:dyDescent="0.2">
      <c r="A286" s="839">
        <f>A285+1</f>
        <v>214</v>
      </c>
      <c r="B286" s="922" t="s">
        <v>211</v>
      </c>
      <c r="C286" s="923">
        <f>C285+1</f>
        <v>2011</v>
      </c>
      <c r="D286" s="113">
        <v>0</v>
      </c>
      <c r="E286" s="65">
        <f>D286*'16-PlantAdditions'!$E$94</f>
        <v>0</v>
      </c>
      <c r="F286" s="65">
        <f>E286+D286</f>
        <v>0</v>
      </c>
      <c r="G286" s="113">
        <v>0</v>
      </c>
      <c r="H286" s="113">
        <v>0</v>
      </c>
      <c r="I286" s="65">
        <f>(G286-H286)*'16-PlantAdditions'!$E$94</f>
        <v>0</v>
      </c>
      <c r="J286" s="65">
        <f>J285+F286-G286-I286</f>
        <v>0</v>
      </c>
      <c r="K286" s="65">
        <f>J286-J285</f>
        <v>0</v>
      </c>
    </row>
    <row r="287" spans="1:11" s="962" customFormat="1" x14ac:dyDescent="0.2">
      <c r="A287" s="839">
        <f t="shared" ref="A287:A306" si="67">A286+1</f>
        <v>215</v>
      </c>
      <c r="B287" s="925" t="s">
        <v>212</v>
      </c>
      <c r="C287" s="923">
        <f>C286</f>
        <v>2011</v>
      </c>
      <c r="D287" s="113">
        <v>0</v>
      </c>
      <c r="E287" s="65">
        <f>D287*'16-PlantAdditions'!$E$94</f>
        <v>0</v>
      </c>
      <c r="F287" s="65">
        <f t="shared" ref="F287:F306" si="68">E287+D287</f>
        <v>0</v>
      </c>
      <c r="G287" s="113">
        <v>0</v>
      </c>
      <c r="H287" s="113">
        <v>0</v>
      </c>
      <c r="I287" s="65">
        <f>(G287-H287)*'16-PlantAdditions'!$E$94</f>
        <v>0</v>
      </c>
      <c r="J287" s="65">
        <f t="shared" ref="J287:J306" si="69">J286+F287-G287-I287</f>
        <v>0</v>
      </c>
      <c r="K287" s="65">
        <f>J287-J$171</f>
        <v>0</v>
      </c>
    </row>
    <row r="288" spans="1:11" s="962" customFormat="1" x14ac:dyDescent="0.2">
      <c r="A288" s="839">
        <f t="shared" si="67"/>
        <v>216</v>
      </c>
      <c r="B288" s="925" t="s">
        <v>225</v>
      </c>
      <c r="C288" s="923">
        <f t="shared" ref="C288:C297" si="70">C287</f>
        <v>2011</v>
      </c>
      <c r="D288" s="113">
        <v>0</v>
      </c>
      <c r="E288" s="65">
        <f>D288*'16-PlantAdditions'!$E$94</f>
        <v>0</v>
      </c>
      <c r="F288" s="65">
        <f t="shared" si="68"/>
        <v>0</v>
      </c>
      <c r="G288" s="113">
        <v>0</v>
      </c>
      <c r="H288" s="113">
        <v>0</v>
      </c>
      <c r="I288" s="65">
        <f>(G288-H288)*'16-PlantAdditions'!$E$94</f>
        <v>0</v>
      </c>
      <c r="J288" s="65">
        <f t="shared" si="69"/>
        <v>0</v>
      </c>
      <c r="K288" s="65">
        <f>J288-J285</f>
        <v>0</v>
      </c>
    </row>
    <row r="289" spans="1:12" s="962" customFormat="1" x14ac:dyDescent="0.2">
      <c r="A289" s="839">
        <f t="shared" si="67"/>
        <v>217</v>
      </c>
      <c r="B289" s="922" t="s">
        <v>213</v>
      </c>
      <c r="C289" s="923">
        <f t="shared" si="70"/>
        <v>2011</v>
      </c>
      <c r="D289" s="113">
        <v>0</v>
      </c>
      <c r="E289" s="65">
        <f>D289*'16-PlantAdditions'!$E$94</f>
        <v>0</v>
      </c>
      <c r="F289" s="65">
        <f t="shared" si="68"/>
        <v>0</v>
      </c>
      <c r="G289" s="113">
        <v>0</v>
      </c>
      <c r="H289" s="113">
        <v>0</v>
      </c>
      <c r="I289" s="65">
        <f>(G289-H289)*'16-PlantAdditions'!$E$94</f>
        <v>0</v>
      </c>
      <c r="J289" s="65">
        <f t="shared" si="69"/>
        <v>0</v>
      </c>
      <c r="K289" s="65">
        <f>J289-J285</f>
        <v>0</v>
      </c>
    </row>
    <row r="290" spans="1:12" s="962" customFormat="1" x14ac:dyDescent="0.2">
      <c r="A290" s="839">
        <f t="shared" si="67"/>
        <v>218</v>
      </c>
      <c r="B290" s="925" t="s">
        <v>214</v>
      </c>
      <c r="C290" s="923">
        <f t="shared" si="70"/>
        <v>2011</v>
      </c>
      <c r="D290" s="113">
        <v>0</v>
      </c>
      <c r="E290" s="65">
        <f>D290*'16-PlantAdditions'!$E$94</f>
        <v>0</v>
      </c>
      <c r="F290" s="65">
        <f t="shared" si="68"/>
        <v>0</v>
      </c>
      <c r="G290" s="113">
        <v>0</v>
      </c>
      <c r="H290" s="113">
        <v>0</v>
      </c>
      <c r="I290" s="65">
        <f>(G290-H290)*'16-PlantAdditions'!$E$94</f>
        <v>0</v>
      </c>
      <c r="J290" s="65">
        <f t="shared" si="69"/>
        <v>0</v>
      </c>
      <c r="K290" s="65">
        <f>J290-J285</f>
        <v>0</v>
      </c>
    </row>
    <row r="291" spans="1:12" s="962" customFormat="1" x14ac:dyDescent="0.2">
      <c r="A291" s="839">
        <f t="shared" si="67"/>
        <v>219</v>
      </c>
      <c r="B291" s="925" t="s">
        <v>1920</v>
      </c>
      <c r="C291" s="923">
        <f t="shared" si="70"/>
        <v>2011</v>
      </c>
      <c r="D291" s="113">
        <v>50000</v>
      </c>
      <c r="E291" s="65">
        <f>D291*'16-PlantAdditions'!$E$94</f>
        <v>3750</v>
      </c>
      <c r="F291" s="65">
        <f t="shared" si="68"/>
        <v>53750</v>
      </c>
      <c r="G291" s="113">
        <v>0</v>
      </c>
      <c r="H291" s="113">
        <v>0</v>
      </c>
      <c r="I291" s="65">
        <f>(G291-H291)*'16-PlantAdditions'!$E$94</f>
        <v>0</v>
      </c>
      <c r="J291" s="65">
        <f t="shared" si="69"/>
        <v>53750</v>
      </c>
      <c r="K291" s="65">
        <f>J291-J285</f>
        <v>53750</v>
      </c>
    </row>
    <row r="292" spans="1:12" s="962" customFormat="1" x14ac:dyDescent="0.2">
      <c r="A292" s="839">
        <f t="shared" si="67"/>
        <v>220</v>
      </c>
      <c r="B292" s="922" t="s">
        <v>216</v>
      </c>
      <c r="C292" s="923">
        <f t="shared" si="70"/>
        <v>2011</v>
      </c>
      <c r="D292" s="113">
        <v>100000</v>
      </c>
      <c r="E292" s="65">
        <f>D292*'16-PlantAdditions'!$E$94</f>
        <v>7500</v>
      </c>
      <c r="F292" s="65">
        <f t="shared" si="68"/>
        <v>107500</v>
      </c>
      <c r="G292" s="113">
        <v>0</v>
      </c>
      <c r="H292" s="113">
        <v>0</v>
      </c>
      <c r="I292" s="65">
        <f>(G292-H292)*'16-PlantAdditions'!$E$94</f>
        <v>0</v>
      </c>
      <c r="J292" s="65">
        <f t="shared" si="69"/>
        <v>161250</v>
      </c>
      <c r="K292" s="65">
        <f>J292-J285</f>
        <v>161250</v>
      </c>
      <c r="L292" s="959"/>
    </row>
    <row r="293" spans="1:12" s="962" customFormat="1" x14ac:dyDescent="0.2">
      <c r="A293" s="839">
        <f t="shared" si="67"/>
        <v>221</v>
      </c>
      <c r="B293" s="925" t="s">
        <v>217</v>
      </c>
      <c r="C293" s="923">
        <f t="shared" si="70"/>
        <v>2011</v>
      </c>
      <c r="D293" s="113">
        <v>200000</v>
      </c>
      <c r="E293" s="65">
        <f>D293*'16-PlantAdditions'!$E$94</f>
        <v>15000</v>
      </c>
      <c r="F293" s="65">
        <f t="shared" si="68"/>
        <v>215000</v>
      </c>
      <c r="G293" s="113">
        <v>0</v>
      </c>
      <c r="H293" s="113">
        <v>0</v>
      </c>
      <c r="I293" s="65">
        <f>(G293-H293)*'16-PlantAdditions'!$E$94</f>
        <v>0</v>
      </c>
      <c r="J293" s="65">
        <f t="shared" si="69"/>
        <v>376250</v>
      </c>
      <c r="K293" s="65">
        <f>J293-J285</f>
        <v>376250</v>
      </c>
      <c r="L293" s="959"/>
    </row>
    <row r="294" spans="1:12" s="962" customFormat="1" x14ac:dyDescent="0.2">
      <c r="A294" s="839">
        <f t="shared" si="67"/>
        <v>222</v>
      </c>
      <c r="B294" s="925" t="s">
        <v>218</v>
      </c>
      <c r="C294" s="923">
        <f t="shared" si="70"/>
        <v>2011</v>
      </c>
      <c r="D294" s="113">
        <v>200000</v>
      </c>
      <c r="E294" s="65">
        <f>D294*'16-PlantAdditions'!$E$94</f>
        <v>15000</v>
      </c>
      <c r="F294" s="65">
        <f t="shared" si="68"/>
        <v>215000</v>
      </c>
      <c r="G294" s="113">
        <v>0</v>
      </c>
      <c r="H294" s="113">
        <v>0</v>
      </c>
      <c r="I294" s="65">
        <f>(G294-H294)*'16-PlantAdditions'!$E$94</f>
        <v>0</v>
      </c>
      <c r="J294" s="65">
        <f t="shared" si="69"/>
        <v>591250</v>
      </c>
      <c r="K294" s="65">
        <f>J294-J285</f>
        <v>591250</v>
      </c>
      <c r="L294" s="959"/>
    </row>
    <row r="295" spans="1:12" s="962" customFormat="1" x14ac:dyDescent="0.2">
      <c r="A295" s="839">
        <f t="shared" si="67"/>
        <v>223</v>
      </c>
      <c r="B295" s="922" t="s">
        <v>221</v>
      </c>
      <c r="C295" s="923">
        <f t="shared" si="70"/>
        <v>2011</v>
      </c>
      <c r="D295" s="113">
        <v>250000</v>
      </c>
      <c r="E295" s="65">
        <f>D295*'16-PlantAdditions'!$E$94</f>
        <v>18750</v>
      </c>
      <c r="F295" s="65">
        <f t="shared" si="68"/>
        <v>268750</v>
      </c>
      <c r="G295" s="113">
        <v>0</v>
      </c>
      <c r="H295" s="113">
        <v>0</v>
      </c>
      <c r="I295" s="65">
        <f>(G295-H295)*'16-PlantAdditions'!$E$94</f>
        <v>0</v>
      </c>
      <c r="J295" s="65">
        <f t="shared" si="69"/>
        <v>860000</v>
      </c>
      <c r="K295" s="65">
        <f>J295-J285</f>
        <v>860000</v>
      </c>
      <c r="L295" s="957"/>
    </row>
    <row r="296" spans="1:12" s="962" customFormat="1" x14ac:dyDescent="0.2">
      <c r="A296" s="839">
        <f t="shared" si="67"/>
        <v>224</v>
      </c>
      <c r="B296" s="922" t="s">
        <v>220</v>
      </c>
      <c r="C296" s="923">
        <f t="shared" si="70"/>
        <v>2011</v>
      </c>
      <c r="D296" s="113">
        <v>250000</v>
      </c>
      <c r="E296" s="65">
        <f>D296*'16-PlantAdditions'!$E$94</f>
        <v>18750</v>
      </c>
      <c r="F296" s="65">
        <f t="shared" si="68"/>
        <v>268750</v>
      </c>
      <c r="G296" s="113">
        <v>0</v>
      </c>
      <c r="H296" s="113">
        <v>0</v>
      </c>
      <c r="I296" s="65">
        <f>(G296-H296)*'16-PlantAdditions'!$E$94</f>
        <v>0</v>
      </c>
      <c r="J296" s="65">
        <f t="shared" si="69"/>
        <v>1128750</v>
      </c>
      <c r="K296" s="65">
        <f>J296-J285</f>
        <v>1128750</v>
      </c>
    </row>
    <row r="297" spans="1:12" s="962" customFormat="1" x14ac:dyDescent="0.2">
      <c r="A297" s="839">
        <f t="shared" si="67"/>
        <v>225</v>
      </c>
      <c r="B297" s="922" t="s">
        <v>210</v>
      </c>
      <c r="C297" s="923">
        <f t="shared" si="70"/>
        <v>2011</v>
      </c>
      <c r="D297" s="113">
        <v>300000</v>
      </c>
      <c r="E297" s="65">
        <f>D297*'16-PlantAdditions'!$E$94</f>
        <v>22500</v>
      </c>
      <c r="F297" s="65">
        <f t="shared" si="68"/>
        <v>322500</v>
      </c>
      <c r="G297" s="113">
        <v>0</v>
      </c>
      <c r="H297" s="113">
        <v>0</v>
      </c>
      <c r="I297" s="65">
        <f>(G297-H297)*'16-PlantAdditions'!$E$94</f>
        <v>0</v>
      </c>
      <c r="J297" s="65">
        <f t="shared" si="69"/>
        <v>1451250</v>
      </c>
      <c r="K297" s="65">
        <f>J297-J285</f>
        <v>1451250</v>
      </c>
    </row>
    <row r="298" spans="1:12" s="962" customFormat="1" x14ac:dyDescent="0.2">
      <c r="A298" s="839">
        <f t="shared" si="67"/>
        <v>226</v>
      </c>
      <c r="B298" s="922" t="s">
        <v>211</v>
      </c>
      <c r="C298" s="923">
        <f>C297+1</f>
        <v>2012</v>
      </c>
      <c r="D298" s="113">
        <v>300000</v>
      </c>
      <c r="E298" s="65">
        <f>D298*'16-PlantAdditions'!$E$94</f>
        <v>22500</v>
      </c>
      <c r="F298" s="65">
        <f t="shared" si="68"/>
        <v>322500</v>
      </c>
      <c r="G298" s="113">
        <v>0</v>
      </c>
      <c r="H298" s="113">
        <v>0</v>
      </c>
      <c r="I298" s="65">
        <f>(G298-H298)*'16-PlantAdditions'!$E$94</f>
        <v>0</v>
      </c>
      <c r="J298" s="65">
        <f t="shared" si="69"/>
        <v>1773750</v>
      </c>
      <c r="K298" s="65">
        <f>J298-J285</f>
        <v>1773750</v>
      </c>
    </row>
    <row r="299" spans="1:12" s="962" customFormat="1" x14ac:dyDescent="0.2">
      <c r="A299" s="839">
        <f t="shared" si="67"/>
        <v>227</v>
      </c>
      <c r="B299" s="925" t="s">
        <v>212</v>
      </c>
      <c r="C299" s="923">
        <f>C298</f>
        <v>2012</v>
      </c>
      <c r="D299" s="113">
        <v>300000</v>
      </c>
      <c r="E299" s="65">
        <f>D299*'16-PlantAdditions'!$E$94</f>
        <v>22500</v>
      </c>
      <c r="F299" s="65">
        <f t="shared" si="68"/>
        <v>322500</v>
      </c>
      <c r="G299" s="113">
        <v>0</v>
      </c>
      <c r="H299" s="113">
        <v>0</v>
      </c>
      <c r="I299" s="65">
        <f>(G299-H299)*'16-PlantAdditions'!$E$94</f>
        <v>0</v>
      </c>
      <c r="J299" s="65">
        <f t="shared" si="69"/>
        <v>2096250</v>
      </c>
      <c r="K299" s="65">
        <f>J299-J285</f>
        <v>2096250</v>
      </c>
    </row>
    <row r="300" spans="1:12" s="962" customFormat="1" x14ac:dyDescent="0.2">
      <c r="A300" s="839">
        <f t="shared" si="67"/>
        <v>228</v>
      </c>
      <c r="B300" s="925" t="s">
        <v>225</v>
      </c>
      <c r="C300" s="923">
        <f t="shared" ref="C300:C306" si="71">C299</f>
        <v>2012</v>
      </c>
      <c r="D300" s="113">
        <v>300000</v>
      </c>
      <c r="E300" s="65">
        <f>D300*'16-PlantAdditions'!$E$94</f>
        <v>22500</v>
      </c>
      <c r="F300" s="65">
        <f t="shared" si="68"/>
        <v>322500</v>
      </c>
      <c r="G300" s="113">
        <v>0</v>
      </c>
      <c r="H300" s="113">
        <v>0</v>
      </c>
      <c r="I300" s="65">
        <f>(G300-H300)*'16-PlantAdditions'!$E$94</f>
        <v>0</v>
      </c>
      <c r="J300" s="65">
        <f t="shared" si="69"/>
        <v>2418750</v>
      </c>
      <c r="K300" s="65">
        <f>J300-J285</f>
        <v>2418750</v>
      </c>
    </row>
    <row r="301" spans="1:12" s="962" customFormat="1" x14ac:dyDescent="0.2">
      <c r="A301" s="839">
        <f t="shared" si="67"/>
        <v>229</v>
      </c>
      <c r="B301" s="922" t="s">
        <v>213</v>
      </c>
      <c r="C301" s="923">
        <f t="shared" si="71"/>
        <v>2012</v>
      </c>
      <c r="D301" s="113">
        <v>300000</v>
      </c>
      <c r="E301" s="65">
        <f>D301*'16-PlantAdditions'!$E$94</f>
        <v>22500</v>
      </c>
      <c r="F301" s="65">
        <f t="shared" si="68"/>
        <v>322500</v>
      </c>
      <c r="G301" s="113">
        <v>0</v>
      </c>
      <c r="H301" s="113">
        <v>0</v>
      </c>
      <c r="I301" s="65">
        <f>(G301-H301)*'16-PlantAdditions'!$E$94</f>
        <v>0</v>
      </c>
      <c r="J301" s="65">
        <f t="shared" si="69"/>
        <v>2741250</v>
      </c>
      <c r="K301" s="65">
        <f>J301-J285</f>
        <v>2741250</v>
      </c>
    </row>
    <row r="302" spans="1:12" s="962" customFormat="1" x14ac:dyDescent="0.2">
      <c r="A302" s="839">
        <f t="shared" si="67"/>
        <v>230</v>
      </c>
      <c r="B302" s="925" t="s">
        <v>214</v>
      </c>
      <c r="C302" s="923">
        <f t="shared" si="71"/>
        <v>2012</v>
      </c>
      <c r="D302" s="113">
        <v>300000</v>
      </c>
      <c r="E302" s="65">
        <f>D302*'16-PlantAdditions'!$E$94</f>
        <v>22500</v>
      </c>
      <c r="F302" s="65">
        <f t="shared" si="68"/>
        <v>322500</v>
      </c>
      <c r="G302" s="113">
        <v>0</v>
      </c>
      <c r="H302" s="113">
        <v>0</v>
      </c>
      <c r="I302" s="65">
        <f>(G302-H302)*'16-PlantAdditions'!$E$94</f>
        <v>0</v>
      </c>
      <c r="J302" s="65">
        <f t="shared" si="69"/>
        <v>3063750</v>
      </c>
      <c r="K302" s="65">
        <f>J302-J285</f>
        <v>3063750</v>
      </c>
    </row>
    <row r="303" spans="1:12" s="962" customFormat="1" x14ac:dyDescent="0.2">
      <c r="A303" s="839">
        <f t="shared" si="67"/>
        <v>231</v>
      </c>
      <c r="B303" s="925" t="s">
        <v>1920</v>
      </c>
      <c r="C303" s="923">
        <f t="shared" si="71"/>
        <v>2012</v>
      </c>
      <c r="D303" s="113">
        <v>300000</v>
      </c>
      <c r="E303" s="65">
        <f>D303*'16-PlantAdditions'!$E$94</f>
        <v>22500</v>
      </c>
      <c r="F303" s="65">
        <f t="shared" si="68"/>
        <v>322500</v>
      </c>
      <c r="G303" s="113">
        <v>0</v>
      </c>
      <c r="H303" s="113">
        <v>0</v>
      </c>
      <c r="I303" s="65">
        <f>(G303-H303)*'16-PlantAdditions'!$E$94</f>
        <v>0</v>
      </c>
      <c r="J303" s="65">
        <f t="shared" si="69"/>
        <v>3386250</v>
      </c>
      <c r="K303" s="65">
        <f>J303-J285</f>
        <v>3386250</v>
      </c>
    </row>
    <row r="304" spans="1:12" s="962" customFormat="1" x14ac:dyDescent="0.2">
      <c r="A304" s="839">
        <f t="shared" si="67"/>
        <v>232</v>
      </c>
      <c r="B304" s="922" t="s">
        <v>216</v>
      </c>
      <c r="C304" s="923">
        <f t="shared" si="71"/>
        <v>2012</v>
      </c>
      <c r="D304" s="113">
        <v>300000</v>
      </c>
      <c r="E304" s="65">
        <f>D304*'16-PlantAdditions'!$E$94</f>
        <v>22500</v>
      </c>
      <c r="F304" s="65">
        <f t="shared" si="68"/>
        <v>322500</v>
      </c>
      <c r="G304" s="113">
        <v>0</v>
      </c>
      <c r="H304" s="113">
        <v>0</v>
      </c>
      <c r="I304" s="65">
        <f>(G304-H304)*'16-PlantAdditions'!$E$94</f>
        <v>0</v>
      </c>
      <c r="J304" s="65">
        <f t="shared" si="69"/>
        <v>3708750</v>
      </c>
      <c r="K304" s="65">
        <f>J304-J285</f>
        <v>3708750</v>
      </c>
    </row>
    <row r="305" spans="1:11" s="962" customFormat="1" x14ac:dyDescent="0.2">
      <c r="A305" s="839">
        <f t="shared" si="67"/>
        <v>233</v>
      </c>
      <c r="B305" s="925" t="s">
        <v>217</v>
      </c>
      <c r="C305" s="923">
        <f t="shared" si="71"/>
        <v>2012</v>
      </c>
      <c r="D305" s="113">
        <v>300000</v>
      </c>
      <c r="E305" s="65">
        <f>D305*'16-PlantAdditions'!$E$94</f>
        <v>22500</v>
      </c>
      <c r="F305" s="65">
        <f t="shared" si="68"/>
        <v>322500</v>
      </c>
      <c r="G305" s="113">
        <v>0</v>
      </c>
      <c r="H305" s="113">
        <v>0</v>
      </c>
      <c r="I305" s="65">
        <f>(G305-H305)*'16-PlantAdditions'!$E$94</f>
        <v>0</v>
      </c>
      <c r="J305" s="65">
        <f t="shared" si="69"/>
        <v>4031250</v>
      </c>
      <c r="K305" s="65">
        <f>J305-J285</f>
        <v>4031250</v>
      </c>
    </row>
    <row r="306" spans="1:11" s="962" customFormat="1" x14ac:dyDescent="0.2">
      <c r="A306" s="839">
        <f t="shared" si="67"/>
        <v>234</v>
      </c>
      <c r="B306" s="925" t="s">
        <v>218</v>
      </c>
      <c r="C306" s="923">
        <f t="shared" si="71"/>
        <v>2012</v>
      </c>
      <c r="D306" s="113">
        <v>300000</v>
      </c>
      <c r="E306" s="65">
        <f>D306*'16-PlantAdditions'!$E$94</f>
        <v>22500</v>
      </c>
      <c r="F306" s="65">
        <f t="shared" si="68"/>
        <v>322500</v>
      </c>
      <c r="G306" s="113">
        <v>0</v>
      </c>
      <c r="H306" s="113">
        <v>0</v>
      </c>
      <c r="I306" s="65">
        <f>(G306-H306)*'16-PlantAdditions'!$E$94</f>
        <v>0</v>
      </c>
      <c r="J306" s="65">
        <f t="shared" si="69"/>
        <v>4353750</v>
      </c>
      <c r="K306" s="118">
        <f>J306-J285</f>
        <v>4353750</v>
      </c>
    </row>
    <row r="307" spans="1:11" s="962" customFormat="1" x14ac:dyDescent="0.2">
      <c r="A307" s="839">
        <f>A306+1</f>
        <v>235</v>
      </c>
      <c r="B307"/>
      <c r="C307" s="961" t="s">
        <v>2309</v>
      </c>
      <c r="D307"/>
      <c r="E307"/>
      <c r="F307"/>
      <c r="G307"/>
      <c r="H307"/>
      <c r="I307"/>
      <c r="J307"/>
      <c r="K307" s="77">
        <f>AVERAGE(K294:K306)</f>
        <v>2431153.846153846</v>
      </c>
    </row>
    <row r="308" spans="1:11" s="962" customFormat="1" x14ac:dyDescent="0.2">
      <c r="A308" s="839"/>
      <c r="B308"/>
      <c r="C308" s="961"/>
      <c r="D308"/>
      <c r="E308"/>
      <c r="F308"/>
      <c r="G308"/>
      <c r="H308"/>
      <c r="I308"/>
      <c r="J308"/>
      <c r="K308" s="77"/>
    </row>
    <row r="309" spans="1:11" s="962" customFormat="1" x14ac:dyDescent="0.2">
      <c r="B309" s="963" t="s">
        <v>2933</v>
      </c>
      <c r="D309" s="1206" t="s">
        <v>2934</v>
      </c>
      <c r="E309" s="1206"/>
    </row>
    <row r="310" spans="1:11" s="962" customFormat="1" x14ac:dyDescent="0.2">
      <c r="D310" s="964"/>
      <c r="E310" s="964"/>
      <c r="F310" s="964"/>
      <c r="G310" s="839" t="str">
        <f>G51</f>
        <v>Unloaded</v>
      </c>
      <c r="H310" s="964"/>
      <c r="I310" s="964"/>
    </row>
    <row r="311" spans="1:11" s="962" customFormat="1" x14ac:dyDescent="0.2">
      <c r="A311" s="959"/>
      <c r="B311" s="959"/>
      <c r="C311" s="959"/>
      <c r="D311" s="959" t="str">
        <f>D$52</f>
        <v>Forecast</v>
      </c>
      <c r="E311" s="959" t="str">
        <f t="shared" ref="E311:J311" si="72">E$52</f>
        <v>Corporate</v>
      </c>
      <c r="F311" s="959" t="str">
        <f t="shared" si="72"/>
        <v xml:space="preserve">Total </v>
      </c>
      <c r="G311" s="839" t="str">
        <f t="shared" ref="G311:G312" si="73">G52</f>
        <v>Total</v>
      </c>
      <c r="H311" s="959" t="str">
        <f t="shared" si="72"/>
        <v>Prior Period</v>
      </c>
      <c r="I311" s="959" t="str">
        <f t="shared" si="72"/>
        <v>Over Heads</v>
      </c>
      <c r="J311" s="959" t="str">
        <f t="shared" si="72"/>
        <v>Forecast</v>
      </c>
      <c r="K311" s="839" t="str">
        <f>K$52</f>
        <v>Forecast Period</v>
      </c>
    </row>
    <row r="312" spans="1:11" s="962" customFormat="1" x14ac:dyDescent="0.2">
      <c r="A312" s="53" t="s">
        <v>372</v>
      </c>
      <c r="B312" s="921" t="s">
        <v>222</v>
      </c>
      <c r="C312" s="921" t="s">
        <v>223</v>
      </c>
      <c r="D312" s="957" t="str">
        <f>D$53</f>
        <v>Expenditures</v>
      </c>
      <c r="E312" s="957" t="str">
        <f t="shared" ref="E312:J312" si="74">E$53</f>
        <v>Overheads</v>
      </c>
      <c r="F312" s="957" t="str">
        <f t="shared" si="74"/>
        <v>CWIP Exp</v>
      </c>
      <c r="G312" s="3" t="str">
        <f t="shared" si="73"/>
        <v>Plant Adds</v>
      </c>
      <c r="H312" s="957" t="str">
        <f t="shared" si="74"/>
        <v>CWIP Closed</v>
      </c>
      <c r="I312" s="957" t="str">
        <f t="shared" si="74"/>
        <v>Closed to PIS</v>
      </c>
      <c r="J312" s="957" t="str">
        <f t="shared" si="74"/>
        <v>Period CWIP</v>
      </c>
      <c r="K312" s="957" t="str">
        <f>K$53</f>
        <v>Incremental CWIP</v>
      </c>
    </row>
    <row r="313" spans="1:11" s="962" customFormat="1" x14ac:dyDescent="0.2">
      <c r="A313" s="839">
        <f>A307+1</f>
        <v>236</v>
      </c>
      <c r="B313" s="922" t="s">
        <v>210</v>
      </c>
      <c r="C313" s="923">
        <f>C285</f>
        <v>2010</v>
      </c>
      <c r="D313" s="966" t="s">
        <v>88</v>
      </c>
      <c r="E313" s="966" t="s">
        <v>88</v>
      </c>
      <c r="F313" s="966" t="s">
        <v>88</v>
      </c>
      <c r="G313" s="966" t="s">
        <v>88</v>
      </c>
      <c r="H313" s="966" t="s">
        <v>88</v>
      </c>
      <c r="I313" s="966" t="s">
        <v>88</v>
      </c>
      <c r="J313" s="65">
        <f>G45</f>
        <v>0</v>
      </c>
      <c r="K313" s="966" t="s">
        <v>88</v>
      </c>
    </row>
    <row r="314" spans="1:11" s="962" customFormat="1" x14ac:dyDescent="0.2">
      <c r="A314" s="839">
        <f>A313+1</f>
        <v>237</v>
      </c>
      <c r="B314" s="922" t="s">
        <v>211</v>
      </c>
      <c r="C314" s="923">
        <f>C313+1</f>
        <v>2011</v>
      </c>
      <c r="D314" s="113">
        <v>0</v>
      </c>
      <c r="E314" s="65">
        <f>D314*'16-PlantAdditions'!$E$94</f>
        <v>0</v>
      </c>
      <c r="F314" s="65">
        <f>E314+D314</f>
        <v>0</v>
      </c>
      <c r="G314" s="113">
        <v>0</v>
      </c>
      <c r="H314" s="113">
        <v>0</v>
      </c>
      <c r="I314" s="65">
        <f>(G314-H314)*'16-PlantAdditions'!$E$94</f>
        <v>0</v>
      </c>
      <c r="J314" s="65">
        <f>J313+F314-G314-I314</f>
        <v>0</v>
      </c>
      <c r="K314" s="65">
        <f>J314-J313</f>
        <v>0</v>
      </c>
    </row>
    <row r="315" spans="1:11" s="962" customFormat="1" x14ac:dyDescent="0.2">
      <c r="A315" s="839">
        <f t="shared" ref="A315:A334" si="75">A314+1</f>
        <v>238</v>
      </c>
      <c r="B315" s="925" t="s">
        <v>212</v>
      </c>
      <c r="C315" s="923">
        <f>C314</f>
        <v>2011</v>
      </c>
      <c r="D315" s="113">
        <v>0</v>
      </c>
      <c r="E315" s="65">
        <f>D315*'16-PlantAdditions'!$E$94</f>
        <v>0</v>
      </c>
      <c r="F315" s="65">
        <f t="shared" ref="F315:F334" si="76">E315+D315</f>
        <v>0</v>
      </c>
      <c r="G315" s="113">
        <v>0</v>
      </c>
      <c r="H315" s="113">
        <v>0</v>
      </c>
      <c r="I315" s="65">
        <f>(G315-H315)*'16-PlantAdditions'!$E$94</f>
        <v>0</v>
      </c>
      <c r="J315" s="65">
        <f t="shared" ref="J315:J334" si="77">J314+F315-G315-I315</f>
        <v>0</v>
      </c>
      <c r="K315" s="65">
        <f>J315-J$171</f>
        <v>0</v>
      </c>
    </row>
    <row r="316" spans="1:11" s="962" customFormat="1" x14ac:dyDescent="0.2">
      <c r="A316" s="839">
        <f t="shared" si="75"/>
        <v>239</v>
      </c>
      <c r="B316" s="925" t="s">
        <v>225</v>
      </c>
      <c r="C316" s="923">
        <f t="shared" ref="C316:C325" si="78">C315</f>
        <v>2011</v>
      </c>
      <c r="D316" s="113">
        <v>0</v>
      </c>
      <c r="E316" s="65">
        <f>D316*'16-PlantAdditions'!$E$94</f>
        <v>0</v>
      </c>
      <c r="F316" s="65">
        <f t="shared" si="76"/>
        <v>0</v>
      </c>
      <c r="G316" s="113">
        <v>0</v>
      </c>
      <c r="H316" s="113">
        <v>0</v>
      </c>
      <c r="I316" s="65">
        <f>(G316-H316)*'16-PlantAdditions'!$E$94</f>
        <v>0</v>
      </c>
      <c r="J316" s="65">
        <f t="shared" si="77"/>
        <v>0</v>
      </c>
      <c r="K316" s="65">
        <f>J316-J313</f>
        <v>0</v>
      </c>
    </row>
    <row r="317" spans="1:11" s="962" customFormat="1" x14ac:dyDescent="0.2">
      <c r="A317" s="839">
        <f t="shared" si="75"/>
        <v>240</v>
      </c>
      <c r="B317" s="922" t="s">
        <v>213</v>
      </c>
      <c r="C317" s="923">
        <f t="shared" si="78"/>
        <v>2011</v>
      </c>
      <c r="D317" s="113">
        <v>1428107.0500000007</v>
      </c>
      <c r="E317" s="65">
        <f>D317*'16-PlantAdditions'!$E$94</f>
        <v>107108.02875000006</v>
      </c>
      <c r="F317" s="65">
        <f t="shared" si="76"/>
        <v>1535215.0787500008</v>
      </c>
      <c r="G317" s="113">
        <v>0</v>
      </c>
      <c r="H317" s="113">
        <v>0</v>
      </c>
      <c r="I317" s="65">
        <f>(G317-H317)*'16-PlantAdditions'!$E$94</f>
        <v>0</v>
      </c>
      <c r="J317" s="65">
        <f t="shared" si="77"/>
        <v>1535215.0787500008</v>
      </c>
      <c r="K317" s="65">
        <f>J317-J313</f>
        <v>1535215.0787500008</v>
      </c>
    </row>
    <row r="318" spans="1:11" s="962" customFormat="1" x14ac:dyDescent="0.2">
      <c r="A318" s="839">
        <f t="shared" si="75"/>
        <v>241</v>
      </c>
      <c r="B318" s="925" t="s">
        <v>214</v>
      </c>
      <c r="C318" s="923">
        <f t="shared" si="78"/>
        <v>2011</v>
      </c>
      <c r="D318" s="113">
        <v>57000</v>
      </c>
      <c r="E318" s="65">
        <f>D318*'16-PlantAdditions'!$E$94</f>
        <v>4275</v>
      </c>
      <c r="F318" s="65">
        <f t="shared" si="76"/>
        <v>61275</v>
      </c>
      <c r="G318" s="113">
        <v>0</v>
      </c>
      <c r="H318" s="113">
        <v>0</v>
      </c>
      <c r="I318" s="65">
        <f>(G318-H318)*'16-PlantAdditions'!$E$94</f>
        <v>0</v>
      </c>
      <c r="J318" s="65">
        <f t="shared" si="77"/>
        <v>1596490.0787500008</v>
      </c>
      <c r="K318" s="65">
        <f>J318-J313</f>
        <v>1596490.0787500008</v>
      </c>
    </row>
    <row r="319" spans="1:11" s="962" customFormat="1" x14ac:dyDescent="0.2">
      <c r="A319" s="839">
        <f t="shared" si="75"/>
        <v>242</v>
      </c>
      <c r="B319" s="925" t="s">
        <v>1920</v>
      </c>
      <c r="C319" s="923">
        <f t="shared" si="78"/>
        <v>2011</v>
      </c>
      <c r="D319" s="113">
        <v>57000</v>
      </c>
      <c r="E319" s="65">
        <f>D319*'16-PlantAdditions'!$E$94</f>
        <v>4275</v>
      </c>
      <c r="F319" s="65">
        <f t="shared" si="76"/>
        <v>61275</v>
      </c>
      <c r="G319" s="113">
        <v>0</v>
      </c>
      <c r="H319" s="113">
        <v>0</v>
      </c>
      <c r="I319" s="65">
        <f>(G319-H319)*'16-PlantAdditions'!$E$94</f>
        <v>0</v>
      </c>
      <c r="J319" s="65">
        <f t="shared" si="77"/>
        <v>1657765.0787500008</v>
      </c>
      <c r="K319" s="65">
        <f>J319-J313</f>
        <v>1657765.0787500008</v>
      </c>
    </row>
    <row r="320" spans="1:11" s="962" customFormat="1" x14ac:dyDescent="0.2">
      <c r="A320" s="839">
        <f t="shared" si="75"/>
        <v>243</v>
      </c>
      <c r="B320" s="922" t="s">
        <v>216</v>
      </c>
      <c r="C320" s="923">
        <f t="shared" si="78"/>
        <v>2011</v>
      </c>
      <c r="D320" s="113">
        <v>100000</v>
      </c>
      <c r="E320" s="65">
        <f>D320*'16-PlantAdditions'!$E$94</f>
        <v>7500</v>
      </c>
      <c r="F320" s="65">
        <f t="shared" si="76"/>
        <v>107500</v>
      </c>
      <c r="G320" s="113">
        <v>0</v>
      </c>
      <c r="H320" s="113">
        <v>0</v>
      </c>
      <c r="I320" s="65">
        <f>(G320-H320)*'16-PlantAdditions'!$E$94</f>
        <v>0</v>
      </c>
      <c r="J320" s="65">
        <f t="shared" si="77"/>
        <v>1765265.0787500008</v>
      </c>
      <c r="K320" s="65">
        <f>J320-J313</f>
        <v>1765265.0787500008</v>
      </c>
    </row>
    <row r="321" spans="1:11" s="962" customFormat="1" x14ac:dyDescent="0.2">
      <c r="A321" s="839">
        <f t="shared" si="75"/>
        <v>244</v>
      </c>
      <c r="B321" s="925" t="s">
        <v>217</v>
      </c>
      <c r="C321" s="923">
        <f t="shared" si="78"/>
        <v>2011</v>
      </c>
      <c r="D321" s="113">
        <v>150000</v>
      </c>
      <c r="E321" s="65">
        <f>D321*'16-PlantAdditions'!$E$94</f>
        <v>11250</v>
      </c>
      <c r="F321" s="65">
        <f t="shared" si="76"/>
        <v>161250</v>
      </c>
      <c r="G321" s="113">
        <v>0</v>
      </c>
      <c r="H321" s="113">
        <v>0</v>
      </c>
      <c r="I321" s="65">
        <f>(G321-H321)*'16-PlantAdditions'!$E$94</f>
        <v>0</v>
      </c>
      <c r="J321" s="65">
        <f t="shared" si="77"/>
        <v>1926515.0787500008</v>
      </c>
      <c r="K321" s="65">
        <f>J321-J313</f>
        <v>1926515.0787500008</v>
      </c>
    </row>
    <row r="322" spans="1:11" s="962" customFormat="1" x14ac:dyDescent="0.2">
      <c r="A322" s="839">
        <f t="shared" si="75"/>
        <v>245</v>
      </c>
      <c r="B322" s="925" t="s">
        <v>218</v>
      </c>
      <c r="C322" s="923">
        <f t="shared" si="78"/>
        <v>2011</v>
      </c>
      <c r="D322" s="113">
        <v>200000</v>
      </c>
      <c r="E322" s="65">
        <f>D322*'16-PlantAdditions'!$E$94</f>
        <v>15000</v>
      </c>
      <c r="F322" s="65">
        <f t="shared" si="76"/>
        <v>215000</v>
      </c>
      <c r="G322" s="113">
        <v>0</v>
      </c>
      <c r="H322" s="113">
        <v>0</v>
      </c>
      <c r="I322" s="65">
        <f>(G322-H322)*'16-PlantAdditions'!$E$94</f>
        <v>0</v>
      </c>
      <c r="J322" s="65">
        <f t="shared" si="77"/>
        <v>2141515.0787500008</v>
      </c>
      <c r="K322" s="65">
        <f>J322-J313</f>
        <v>2141515.0787500008</v>
      </c>
    </row>
    <row r="323" spans="1:11" s="962" customFormat="1" x14ac:dyDescent="0.2">
      <c r="A323" s="839">
        <f t="shared" si="75"/>
        <v>246</v>
      </c>
      <c r="B323" s="922" t="s">
        <v>221</v>
      </c>
      <c r="C323" s="923">
        <f t="shared" si="78"/>
        <v>2011</v>
      </c>
      <c r="D323" s="113">
        <v>200000</v>
      </c>
      <c r="E323" s="65">
        <f>D323*'16-PlantAdditions'!$E$94</f>
        <v>15000</v>
      </c>
      <c r="F323" s="65">
        <f t="shared" si="76"/>
        <v>215000</v>
      </c>
      <c r="G323" s="113">
        <v>0</v>
      </c>
      <c r="H323" s="113">
        <v>0</v>
      </c>
      <c r="I323" s="65">
        <f>(G323-H323)*'16-PlantAdditions'!$E$94</f>
        <v>0</v>
      </c>
      <c r="J323" s="65">
        <f t="shared" si="77"/>
        <v>2356515.0787500008</v>
      </c>
      <c r="K323" s="65">
        <f>J323-J313</f>
        <v>2356515.0787500008</v>
      </c>
    </row>
    <row r="324" spans="1:11" s="962" customFormat="1" x14ac:dyDescent="0.2">
      <c r="A324" s="839">
        <f t="shared" si="75"/>
        <v>247</v>
      </c>
      <c r="B324" s="922" t="s">
        <v>220</v>
      </c>
      <c r="C324" s="923">
        <f t="shared" si="78"/>
        <v>2011</v>
      </c>
      <c r="D324" s="113">
        <v>250000</v>
      </c>
      <c r="E324" s="65">
        <f>D324*'16-PlantAdditions'!$E$94</f>
        <v>18750</v>
      </c>
      <c r="F324" s="65">
        <f t="shared" si="76"/>
        <v>268750</v>
      </c>
      <c r="G324" s="113">
        <v>0</v>
      </c>
      <c r="H324" s="113">
        <v>0</v>
      </c>
      <c r="I324" s="65">
        <f>(G324-H324)*'16-PlantAdditions'!$E$94</f>
        <v>0</v>
      </c>
      <c r="J324" s="65">
        <f t="shared" si="77"/>
        <v>2625265.0787500008</v>
      </c>
      <c r="K324" s="65">
        <f>J324-J313</f>
        <v>2625265.0787500008</v>
      </c>
    </row>
    <row r="325" spans="1:11" s="962" customFormat="1" x14ac:dyDescent="0.2">
      <c r="A325" s="839">
        <f t="shared" si="75"/>
        <v>248</v>
      </c>
      <c r="B325" s="922" t="s">
        <v>210</v>
      </c>
      <c r="C325" s="923">
        <f t="shared" si="78"/>
        <v>2011</v>
      </c>
      <c r="D325" s="113">
        <v>276000</v>
      </c>
      <c r="E325" s="65">
        <f>D325*'16-PlantAdditions'!$E$94</f>
        <v>20700</v>
      </c>
      <c r="F325" s="65">
        <f t="shared" si="76"/>
        <v>296700</v>
      </c>
      <c r="G325" s="113">
        <v>0</v>
      </c>
      <c r="H325" s="113">
        <v>0</v>
      </c>
      <c r="I325" s="65">
        <f>(G325-H325)*'16-PlantAdditions'!$E$94</f>
        <v>0</v>
      </c>
      <c r="J325" s="65">
        <f t="shared" si="77"/>
        <v>2921965.0787500008</v>
      </c>
      <c r="K325" s="65">
        <f>J325-J313</f>
        <v>2921965.0787500008</v>
      </c>
    </row>
    <row r="326" spans="1:11" s="962" customFormat="1" x14ac:dyDescent="0.2">
      <c r="A326" s="839">
        <f t="shared" si="75"/>
        <v>249</v>
      </c>
      <c r="B326" s="922" t="s">
        <v>211</v>
      </c>
      <c r="C326" s="923">
        <f>C325+1</f>
        <v>2012</v>
      </c>
      <c r="D326" s="113">
        <v>300000</v>
      </c>
      <c r="E326" s="65">
        <f>D326*'16-PlantAdditions'!$E$94</f>
        <v>22500</v>
      </c>
      <c r="F326" s="65">
        <f t="shared" si="76"/>
        <v>322500</v>
      </c>
      <c r="G326" s="113">
        <v>0</v>
      </c>
      <c r="H326" s="113">
        <v>0</v>
      </c>
      <c r="I326" s="65">
        <f>(G326-H326)*'16-PlantAdditions'!$E$94</f>
        <v>0</v>
      </c>
      <c r="J326" s="65">
        <f t="shared" si="77"/>
        <v>3244465.0787500008</v>
      </c>
      <c r="K326" s="65">
        <f>J326-J313</f>
        <v>3244465.0787500008</v>
      </c>
    </row>
    <row r="327" spans="1:11" s="962" customFormat="1" x14ac:dyDescent="0.2">
      <c r="A327" s="839">
        <f t="shared" si="75"/>
        <v>250</v>
      </c>
      <c r="B327" s="925" t="s">
        <v>212</v>
      </c>
      <c r="C327" s="923">
        <f>C326</f>
        <v>2012</v>
      </c>
      <c r="D327" s="113">
        <v>300000</v>
      </c>
      <c r="E327" s="65">
        <f>D327*'16-PlantAdditions'!$E$94</f>
        <v>22500</v>
      </c>
      <c r="F327" s="65">
        <f t="shared" si="76"/>
        <v>322500</v>
      </c>
      <c r="G327" s="113">
        <v>0</v>
      </c>
      <c r="H327" s="113">
        <v>0</v>
      </c>
      <c r="I327" s="65">
        <f>(G327-H327)*'16-PlantAdditions'!$E$94</f>
        <v>0</v>
      </c>
      <c r="J327" s="65">
        <f t="shared" si="77"/>
        <v>3566965.0787500008</v>
      </c>
      <c r="K327" s="65">
        <f>J327-J313</f>
        <v>3566965.0787500008</v>
      </c>
    </row>
    <row r="328" spans="1:11" s="962" customFormat="1" x14ac:dyDescent="0.2">
      <c r="A328" s="839">
        <f t="shared" si="75"/>
        <v>251</v>
      </c>
      <c r="B328" s="925" t="s">
        <v>225</v>
      </c>
      <c r="C328" s="923">
        <f t="shared" ref="C328:C334" si="79">C327</f>
        <v>2012</v>
      </c>
      <c r="D328" s="113">
        <v>300000</v>
      </c>
      <c r="E328" s="65">
        <f>D328*'16-PlantAdditions'!$E$94</f>
        <v>22500</v>
      </c>
      <c r="F328" s="65">
        <f t="shared" si="76"/>
        <v>322500</v>
      </c>
      <c r="G328" s="113">
        <v>0</v>
      </c>
      <c r="H328" s="113">
        <v>0</v>
      </c>
      <c r="I328" s="65">
        <f>(G328-H328)*'16-PlantAdditions'!$E$94</f>
        <v>0</v>
      </c>
      <c r="J328" s="65">
        <f t="shared" si="77"/>
        <v>3889465.0787500008</v>
      </c>
      <c r="K328" s="65">
        <f>J328-J313</f>
        <v>3889465.0787500008</v>
      </c>
    </row>
    <row r="329" spans="1:11" s="962" customFormat="1" x14ac:dyDescent="0.2">
      <c r="A329" s="839">
        <f t="shared" si="75"/>
        <v>252</v>
      </c>
      <c r="B329" s="922" t="s">
        <v>213</v>
      </c>
      <c r="C329" s="923">
        <f t="shared" si="79"/>
        <v>2012</v>
      </c>
      <c r="D329" s="113">
        <v>300000</v>
      </c>
      <c r="E329" s="65">
        <f>D329*'16-PlantAdditions'!$E$94</f>
        <v>22500</v>
      </c>
      <c r="F329" s="65">
        <f t="shared" si="76"/>
        <v>322500</v>
      </c>
      <c r="G329" s="113">
        <v>0</v>
      </c>
      <c r="H329" s="113">
        <v>0</v>
      </c>
      <c r="I329" s="65">
        <f>(G329-H329)*'16-PlantAdditions'!$E$94</f>
        <v>0</v>
      </c>
      <c r="J329" s="65">
        <f t="shared" si="77"/>
        <v>4211965.0787500013</v>
      </c>
      <c r="K329" s="65">
        <f>J329-J313</f>
        <v>4211965.0787500013</v>
      </c>
    </row>
    <row r="330" spans="1:11" s="962" customFormat="1" x14ac:dyDescent="0.2">
      <c r="A330" s="839">
        <f t="shared" si="75"/>
        <v>253</v>
      </c>
      <c r="B330" s="925" t="s">
        <v>214</v>
      </c>
      <c r="C330" s="923">
        <f t="shared" si="79"/>
        <v>2012</v>
      </c>
      <c r="D330" s="113">
        <v>300000</v>
      </c>
      <c r="E330" s="65">
        <f>D330*'16-PlantAdditions'!$E$94</f>
        <v>22500</v>
      </c>
      <c r="F330" s="65">
        <f t="shared" si="76"/>
        <v>322500</v>
      </c>
      <c r="G330" s="113">
        <v>0</v>
      </c>
      <c r="H330" s="113">
        <v>0</v>
      </c>
      <c r="I330" s="65">
        <f>(G330-H330)*'16-PlantAdditions'!$E$94</f>
        <v>0</v>
      </c>
      <c r="J330" s="65">
        <f t="shared" si="77"/>
        <v>4534465.0787500013</v>
      </c>
      <c r="K330" s="65">
        <f>J330-J313</f>
        <v>4534465.0787500013</v>
      </c>
    </row>
    <row r="331" spans="1:11" s="962" customFormat="1" x14ac:dyDescent="0.2">
      <c r="A331" s="839">
        <f t="shared" si="75"/>
        <v>254</v>
      </c>
      <c r="B331" s="925" t="s">
        <v>1920</v>
      </c>
      <c r="C331" s="923">
        <f t="shared" si="79"/>
        <v>2012</v>
      </c>
      <c r="D331" s="113">
        <v>300000</v>
      </c>
      <c r="E331" s="65">
        <f>D331*'16-PlantAdditions'!$E$94</f>
        <v>22500</v>
      </c>
      <c r="F331" s="65">
        <f t="shared" si="76"/>
        <v>322500</v>
      </c>
      <c r="G331" s="113">
        <v>0</v>
      </c>
      <c r="H331" s="113">
        <v>0</v>
      </c>
      <c r="I331" s="65">
        <f>(G331-H331)*'16-PlantAdditions'!$E$94</f>
        <v>0</v>
      </c>
      <c r="J331" s="65">
        <f t="shared" si="77"/>
        <v>4856965.0787500013</v>
      </c>
      <c r="K331" s="65">
        <f>J331-J313</f>
        <v>4856965.0787500013</v>
      </c>
    </row>
    <row r="332" spans="1:11" s="962" customFormat="1" x14ac:dyDescent="0.2">
      <c r="A332" s="839">
        <f t="shared" si="75"/>
        <v>255</v>
      </c>
      <c r="B332" s="922" t="s">
        <v>216</v>
      </c>
      <c r="C332" s="923">
        <f t="shared" si="79"/>
        <v>2012</v>
      </c>
      <c r="D332" s="113">
        <v>300000</v>
      </c>
      <c r="E332" s="65">
        <f>D332*'16-PlantAdditions'!$E$94</f>
        <v>22500</v>
      </c>
      <c r="F332" s="65">
        <f t="shared" si="76"/>
        <v>322500</v>
      </c>
      <c r="G332" s="113">
        <v>0</v>
      </c>
      <c r="H332" s="113">
        <v>0</v>
      </c>
      <c r="I332" s="65">
        <f>(G332-H332)*'16-PlantAdditions'!$E$94</f>
        <v>0</v>
      </c>
      <c r="J332" s="65">
        <f t="shared" si="77"/>
        <v>5179465.0787500013</v>
      </c>
      <c r="K332" s="65">
        <f>J332-J313</f>
        <v>5179465.0787500013</v>
      </c>
    </row>
    <row r="333" spans="1:11" s="962" customFormat="1" x14ac:dyDescent="0.2">
      <c r="A333" s="839">
        <f t="shared" si="75"/>
        <v>256</v>
      </c>
      <c r="B333" s="925" t="s">
        <v>217</v>
      </c>
      <c r="C333" s="923">
        <f t="shared" si="79"/>
        <v>2012</v>
      </c>
      <c r="D333" s="113">
        <v>300000</v>
      </c>
      <c r="E333" s="65">
        <f>D333*'16-PlantAdditions'!$E$94</f>
        <v>22500</v>
      </c>
      <c r="F333" s="65">
        <f t="shared" si="76"/>
        <v>322500</v>
      </c>
      <c r="G333" s="113">
        <v>0</v>
      </c>
      <c r="H333" s="113">
        <v>0</v>
      </c>
      <c r="I333" s="65">
        <f>(G333-H333)*'16-PlantAdditions'!$E$94</f>
        <v>0</v>
      </c>
      <c r="J333" s="65">
        <f t="shared" si="77"/>
        <v>5501965.0787500013</v>
      </c>
      <c r="K333" s="65">
        <f>J333-J313</f>
        <v>5501965.0787500013</v>
      </c>
    </row>
    <row r="334" spans="1:11" s="962" customFormat="1" x14ac:dyDescent="0.2">
      <c r="A334" s="839">
        <f t="shared" si="75"/>
        <v>257</v>
      </c>
      <c r="B334" s="925" t="s">
        <v>218</v>
      </c>
      <c r="C334" s="923">
        <f t="shared" si="79"/>
        <v>2012</v>
      </c>
      <c r="D334" s="113">
        <v>300000</v>
      </c>
      <c r="E334" s="65">
        <f>D334*'16-PlantAdditions'!$E$94</f>
        <v>22500</v>
      </c>
      <c r="F334" s="65">
        <f t="shared" si="76"/>
        <v>322500</v>
      </c>
      <c r="G334" s="113">
        <v>0</v>
      </c>
      <c r="H334" s="113">
        <v>0</v>
      </c>
      <c r="I334" s="65">
        <f>(G334-H334)*'16-PlantAdditions'!$E$94</f>
        <v>0</v>
      </c>
      <c r="J334" s="65">
        <f t="shared" si="77"/>
        <v>5824465.0787500013</v>
      </c>
      <c r="K334" s="118">
        <f>J334-J313</f>
        <v>5824465.0787500013</v>
      </c>
    </row>
    <row r="335" spans="1:11" s="962" customFormat="1" x14ac:dyDescent="0.2">
      <c r="A335" s="839">
        <f>A334+1</f>
        <v>258</v>
      </c>
      <c r="B335"/>
      <c r="C335" s="961" t="s">
        <v>2309</v>
      </c>
      <c r="D335"/>
      <c r="E335"/>
      <c r="F335"/>
      <c r="G335"/>
      <c r="H335"/>
      <c r="I335"/>
      <c r="J335"/>
      <c r="K335" s="77">
        <f>AVERAGE(K322:K334)</f>
        <v>3911957.3864423078</v>
      </c>
    </row>
    <row r="336" spans="1:11" s="962" customFormat="1" x14ac:dyDescent="0.2">
      <c r="A336" s="839"/>
      <c r="B336"/>
      <c r="C336" s="961"/>
      <c r="D336"/>
      <c r="E336"/>
      <c r="F336"/>
      <c r="G336"/>
      <c r="H336"/>
      <c r="I336"/>
      <c r="J336"/>
      <c r="K336" s="77"/>
    </row>
    <row r="337" spans="1:11" s="962" customFormat="1" x14ac:dyDescent="0.2">
      <c r="B337" s="963" t="s">
        <v>2935</v>
      </c>
      <c r="D337" s="969" t="s">
        <v>2936</v>
      </c>
      <c r="E337" s="969"/>
      <c r="F337" s="970"/>
    </row>
    <row r="338" spans="1:11" s="962" customFormat="1" x14ac:dyDescent="0.2">
      <c r="A338" s="957"/>
      <c r="B338" s="957"/>
      <c r="C338" s="957"/>
      <c r="D338" s="957" t="s">
        <v>406</v>
      </c>
      <c r="E338" s="957" t="s">
        <v>390</v>
      </c>
      <c r="F338" s="957" t="s">
        <v>391</v>
      </c>
      <c r="G338" s="957" t="s">
        <v>392</v>
      </c>
      <c r="H338" s="957" t="s">
        <v>393</v>
      </c>
      <c r="I338" s="957" t="s">
        <v>394</v>
      </c>
      <c r="J338" s="957" t="s">
        <v>395</v>
      </c>
      <c r="K338" s="957" t="s">
        <v>610</v>
      </c>
    </row>
    <row r="339" spans="1:11" s="962" customFormat="1" ht="25.9" customHeight="1" x14ac:dyDescent="0.2">
      <c r="D339" s="964"/>
      <c r="E339" s="965" t="s">
        <v>2956</v>
      </c>
      <c r="F339" s="966" t="s">
        <v>2916</v>
      </c>
      <c r="G339" s="665"/>
      <c r="H339" s="964"/>
      <c r="I339" s="965" t="s">
        <v>2957</v>
      </c>
      <c r="J339" s="965" t="s">
        <v>2917</v>
      </c>
      <c r="K339" s="965" t="s">
        <v>2918</v>
      </c>
    </row>
    <row r="340" spans="1:11" s="962" customFormat="1" x14ac:dyDescent="0.2">
      <c r="D340" s="964"/>
      <c r="E340" s="965"/>
      <c r="F340" s="966"/>
      <c r="G340" s="4" t="str">
        <f>G51</f>
        <v>Unloaded</v>
      </c>
      <c r="H340" s="964"/>
      <c r="I340" s="965"/>
      <c r="J340" s="965"/>
      <c r="K340" s="965"/>
    </row>
    <row r="341" spans="1:11" s="962" customFormat="1" x14ac:dyDescent="0.2">
      <c r="A341" s="959"/>
      <c r="B341" s="959"/>
      <c r="C341" s="959"/>
      <c r="D341" s="959" t="str">
        <f>D$52</f>
        <v>Forecast</v>
      </c>
      <c r="E341" s="959" t="str">
        <f t="shared" ref="E341:J341" si="80">E$52</f>
        <v>Corporate</v>
      </c>
      <c r="F341" s="959" t="str">
        <f t="shared" si="80"/>
        <v xml:space="preserve">Total </v>
      </c>
      <c r="G341" s="4" t="str">
        <f t="shared" ref="G341:G342" si="81">G52</f>
        <v>Total</v>
      </c>
      <c r="H341" s="959" t="str">
        <f t="shared" si="80"/>
        <v>Prior Period</v>
      </c>
      <c r="I341" s="959" t="str">
        <f t="shared" si="80"/>
        <v>Over Heads</v>
      </c>
      <c r="J341" s="959" t="str">
        <f t="shared" si="80"/>
        <v>Forecast</v>
      </c>
      <c r="K341" s="959" t="str">
        <f>K$52</f>
        <v>Forecast Period</v>
      </c>
    </row>
    <row r="342" spans="1:11" s="962" customFormat="1" x14ac:dyDescent="0.2">
      <c r="A342" s="53" t="s">
        <v>372</v>
      </c>
      <c r="B342" s="921" t="s">
        <v>222</v>
      </c>
      <c r="C342" s="921" t="s">
        <v>223</v>
      </c>
      <c r="D342" s="957" t="str">
        <f>D$53</f>
        <v>Expenditures</v>
      </c>
      <c r="E342" s="957" t="str">
        <f t="shared" ref="E342:J342" si="82">E$53</f>
        <v>Overheads</v>
      </c>
      <c r="F342" s="957" t="str">
        <f t="shared" si="82"/>
        <v>CWIP Exp</v>
      </c>
      <c r="G342" s="88" t="str">
        <f t="shared" si="81"/>
        <v>Plant Adds</v>
      </c>
      <c r="H342" s="957" t="str">
        <f t="shared" si="82"/>
        <v>CWIP Closed</v>
      </c>
      <c r="I342" s="957" t="str">
        <f t="shared" si="82"/>
        <v>Closed to PIS</v>
      </c>
      <c r="J342" s="957" t="str">
        <f t="shared" si="82"/>
        <v>Period CWIP</v>
      </c>
      <c r="K342" s="957" t="str">
        <f>K$53</f>
        <v>Incremental CWIP</v>
      </c>
    </row>
    <row r="343" spans="1:11" s="962" customFormat="1" x14ac:dyDescent="0.2">
      <c r="A343" s="839">
        <f>A335+1</f>
        <v>259</v>
      </c>
      <c r="B343" s="922" t="s">
        <v>210</v>
      </c>
      <c r="C343" s="923">
        <f>C313</f>
        <v>2010</v>
      </c>
      <c r="D343" s="966" t="s">
        <v>88</v>
      </c>
      <c r="E343" s="966" t="s">
        <v>88</v>
      </c>
      <c r="F343" s="966" t="s">
        <v>88</v>
      </c>
      <c r="G343" s="966" t="s">
        <v>88</v>
      </c>
      <c r="H343" s="966" t="s">
        <v>88</v>
      </c>
      <c r="I343" s="966" t="s">
        <v>88</v>
      </c>
      <c r="J343" s="65">
        <v>0</v>
      </c>
      <c r="K343" s="966" t="s">
        <v>88</v>
      </c>
    </row>
    <row r="344" spans="1:11" s="962" customFormat="1" x14ac:dyDescent="0.2">
      <c r="A344" s="839">
        <f>A343+1</f>
        <v>260</v>
      </c>
      <c r="B344" s="922" t="s">
        <v>211</v>
      </c>
      <c r="C344" s="923">
        <f>C343+1</f>
        <v>2011</v>
      </c>
      <c r="D344" s="113">
        <v>0</v>
      </c>
      <c r="E344" s="65">
        <f>D344*'16-PlantAdditions'!$E$94</f>
        <v>0</v>
      </c>
      <c r="F344" s="65">
        <f>E344+D344</f>
        <v>0</v>
      </c>
      <c r="G344" s="113">
        <v>0</v>
      </c>
      <c r="H344" s="113">
        <v>0</v>
      </c>
      <c r="I344" s="65">
        <f>(G344-H344)*'16-PlantAdditions'!$E$94</f>
        <v>0</v>
      </c>
      <c r="J344" s="65">
        <f>J343+F344-G344-I344</f>
        <v>0</v>
      </c>
      <c r="K344" s="65">
        <f>J344-J343</f>
        <v>0</v>
      </c>
    </row>
    <row r="345" spans="1:11" s="962" customFormat="1" x14ac:dyDescent="0.2">
      <c r="A345" s="839">
        <f t="shared" ref="A345:A364" si="83">A344+1</f>
        <v>261</v>
      </c>
      <c r="B345" s="925" t="s">
        <v>212</v>
      </c>
      <c r="C345" s="923">
        <f>C344</f>
        <v>2011</v>
      </c>
      <c r="D345" s="113">
        <v>0</v>
      </c>
      <c r="E345" s="65">
        <f>D345*'16-PlantAdditions'!$E$94</f>
        <v>0</v>
      </c>
      <c r="F345" s="65">
        <f t="shared" ref="F345:F364" si="84">E345+D345</f>
        <v>0</v>
      </c>
      <c r="G345" s="113">
        <v>0</v>
      </c>
      <c r="H345" s="113">
        <v>0</v>
      </c>
      <c r="I345" s="65">
        <f>(G345-H345)*'16-PlantAdditions'!$E$94</f>
        <v>0</v>
      </c>
      <c r="J345" s="65">
        <f t="shared" ref="J345:J364" si="85">J344+F345-G345-I345</f>
        <v>0</v>
      </c>
      <c r="K345" s="65">
        <f>J345-J$171</f>
        <v>0</v>
      </c>
    </row>
    <row r="346" spans="1:11" s="962" customFormat="1" x14ac:dyDescent="0.2">
      <c r="A346" s="839">
        <f t="shared" si="83"/>
        <v>262</v>
      </c>
      <c r="B346" s="925" t="s">
        <v>225</v>
      </c>
      <c r="C346" s="923">
        <f t="shared" ref="C346:C355" si="86">C345</f>
        <v>2011</v>
      </c>
      <c r="D346" s="113">
        <v>0</v>
      </c>
      <c r="E346" s="65">
        <f>D346*'16-PlantAdditions'!$E$94</f>
        <v>0</v>
      </c>
      <c r="F346" s="65">
        <f t="shared" si="84"/>
        <v>0</v>
      </c>
      <c r="G346" s="113">
        <v>0</v>
      </c>
      <c r="H346" s="113">
        <v>0</v>
      </c>
      <c r="I346" s="65">
        <f>(G346-H346)*'16-PlantAdditions'!$E$94</f>
        <v>0</v>
      </c>
      <c r="J346" s="65">
        <f t="shared" si="85"/>
        <v>0</v>
      </c>
      <c r="K346" s="65">
        <f>J346-J343</f>
        <v>0</v>
      </c>
    </row>
    <row r="347" spans="1:11" s="962" customFormat="1" x14ac:dyDescent="0.2">
      <c r="A347" s="839">
        <f t="shared" si="83"/>
        <v>263</v>
      </c>
      <c r="B347" s="922" t="s">
        <v>213</v>
      </c>
      <c r="C347" s="923">
        <f t="shared" si="86"/>
        <v>2011</v>
      </c>
      <c r="D347" s="113">
        <v>0</v>
      </c>
      <c r="E347" s="65">
        <f>D347*'16-PlantAdditions'!$E$94</f>
        <v>0</v>
      </c>
      <c r="F347" s="65">
        <f t="shared" si="84"/>
        <v>0</v>
      </c>
      <c r="G347" s="113">
        <v>0</v>
      </c>
      <c r="H347" s="113">
        <v>0</v>
      </c>
      <c r="I347" s="65">
        <f>(G347-H347)*'16-PlantAdditions'!$E$94</f>
        <v>0</v>
      </c>
      <c r="J347" s="65">
        <f t="shared" si="85"/>
        <v>0</v>
      </c>
      <c r="K347" s="65">
        <f>J347-J343</f>
        <v>0</v>
      </c>
    </row>
    <row r="348" spans="1:11" s="962" customFormat="1" x14ac:dyDescent="0.2">
      <c r="A348" s="839">
        <f t="shared" si="83"/>
        <v>264</v>
      </c>
      <c r="B348" s="925" t="s">
        <v>214</v>
      </c>
      <c r="C348" s="923">
        <f t="shared" si="86"/>
        <v>2011</v>
      </c>
      <c r="D348" s="113">
        <v>0</v>
      </c>
      <c r="E348" s="65">
        <f>D348*'16-PlantAdditions'!$E$94</f>
        <v>0</v>
      </c>
      <c r="F348" s="65">
        <f t="shared" si="84"/>
        <v>0</v>
      </c>
      <c r="G348" s="113">
        <v>0</v>
      </c>
      <c r="H348" s="113">
        <v>0</v>
      </c>
      <c r="I348" s="65">
        <f>(G348-H348)*'16-PlantAdditions'!$E$94</f>
        <v>0</v>
      </c>
      <c r="J348" s="65">
        <f t="shared" si="85"/>
        <v>0</v>
      </c>
      <c r="K348" s="65">
        <f>J348-J343</f>
        <v>0</v>
      </c>
    </row>
    <row r="349" spans="1:11" s="962" customFormat="1" x14ac:dyDescent="0.2">
      <c r="A349" s="839">
        <f t="shared" si="83"/>
        <v>265</v>
      </c>
      <c r="B349" s="925" t="s">
        <v>1920</v>
      </c>
      <c r="C349" s="923">
        <f t="shared" si="86"/>
        <v>2011</v>
      </c>
      <c r="D349" s="113">
        <v>0</v>
      </c>
      <c r="E349" s="65">
        <f>D349*'16-PlantAdditions'!$E$94</f>
        <v>0</v>
      </c>
      <c r="F349" s="65">
        <f t="shared" si="84"/>
        <v>0</v>
      </c>
      <c r="G349" s="113">
        <v>0</v>
      </c>
      <c r="H349" s="113">
        <v>0</v>
      </c>
      <c r="I349" s="65">
        <f>(G349-H349)*'16-PlantAdditions'!$E$94</f>
        <v>0</v>
      </c>
      <c r="J349" s="65">
        <f t="shared" si="85"/>
        <v>0</v>
      </c>
      <c r="K349" s="65">
        <f>J349-J343</f>
        <v>0</v>
      </c>
    </row>
    <row r="350" spans="1:11" s="962" customFormat="1" x14ac:dyDescent="0.2">
      <c r="A350" s="839">
        <f t="shared" si="83"/>
        <v>266</v>
      </c>
      <c r="B350" s="922" t="s">
        <v>216</v>
      </c>
      <c r="C350" s="923">
        <f t="shared" si="86"/>
        <v>2011</v>
      </c>
      <c r="D350" s="113">
        <v>0</v>
      </c>
      <c r="E350" s="65">
        <f>D350*'16-PlantAdditions'!$E$94</f>
        <v>0</v>
      </c>
      <c r="F350" s="65">
        <f t="shared" si="84"/>
        <v>0</v>
      </c>
      <c r="G350" s="113">
        <v>0</v>
      </c>
      <c r="H350" s="113">
        <v>0</v>
      </c>
      <c r="I350" s="65">
        <f>(G350-H350)*'16-PlantAdditions'!$E$94</f>
        <v>0</v>
      </c>
      <c r="J350" s="65">
        <f t="shared" si="85"/>
        <v>0</v>
      </c>
      <c r="K350" s="65">
        <f>J350-J343</f>
        <v>0</v>
      </c>
    </row>
    <row r="351" spans="1:11" s="962" customFormat="1" x14ac:dyDescent="0.2">
      <c r="A351" s="839">
        <f t="shared" si="83"/>
        <v>267</v>
      </c>
      <c r="B351" s="925" t="s">
        <v>217</v>
      </c>
      <c r="C351" s="923">
        <f t="shared" si="86"/>
        <v>2011</v>
      </c>
      <c r="D351" s="113">
        <v>0</v>
      </c>
      <c r="E351" s="65">
        <f>D351*'16-PlantAdditions'!$E$94</f>
        <v>0</v>
      </c>
      <c r="F351" s="65">
        <f t="shared" si="84"/>
        <v>0</v>
      </c>
      <c r="G351" s="113">
        <v>0</v>
      </c>
      <c r="H351" s="113">
        <v>0</v>
      </c>
      <c r="I351" s="65">
        <f>(G351-H351)*'16-PlantAdditions'!$E$94</f>
        <v>0</v>
      </c>
      <c r="J351" s="65">
        <f t="shared" si="85"/>
        <v>0</v>
      </c>
      <c r="K351" s="65">
        <f>J351-J343</f>
        <v>0</v>
      </c>
    </row>
    <row r="352" spans="1:11" s="962" customFormat="1" x14ac:dyDescent="0.2">
      <c r="A352" s="839">
        <f t="shared" si="83"/>
        <v>268</v>
      </c>
      <c r="B352" s="925" t="s">
        <v>218</v>
      </c>
      <c r="C352" s="923">
        <f t="shared" si="86"/>
        <v>2011</v>
      </c>
      <c r="D352" s="113">
        <v>0</v>
      </c>
      <c r="E352" s="65">
        <f>D352*'16-PlantAdditions'!$E$94</f>
        <v>0</v>
      </c>
      <c r="F352" s="65">
        <f t="shared" si="84"/>
        <v>0</v>
      </c>
      <c r="G352" s="113">
        <v>0</v>
      </c>
      <c r="H352" s="113">
        <v>0</v>
      </c>
      <c r="I352" s="65">
        <f>(G352-H352)*'16-PlantAdditions'!$E$94</f>
        <v>0</v>
      </c>
      <c r="J352" s="65">
        <f t="shared" si="85"/>
        <v>0</v>
      </c>
      <c r="K352" s="65">
        <f>J352-J343</f>
        <v>0</v>
      </c>
    </row>
    <row r="353" spans="1:11" s="962" customFormat="1" x14ac:dyDescent="0.2">
      <c r="A353" s="839">
        <f t="shared" si="83"/>
        <v>269</v>
      </c>
      <c r="B353" s="922" t="s">
        <v>221</v>
      </c>
      <c r="C353" s="923">
        <f t="shared" si="86"/>
        <v>2011</v>
      </c>
      <c r="D353" s="113">
        <v>0</v>
      </c>
      <c r="E353" s="65">
        <f>D353*'16-PlantAdditions'!$E$94</f>
        <v>0</v>
      </c>
      <c r="F353" s="65">
        <f t="shared" si="84"/>
        <v>0</v>
      </c>
      <c r="G353" s="113">
        <v>0</v>
      </c>
      <c r="H353" s="113">
        <v>0</v>
      </c>
      <c r="I353" s="65">
        <f>(G353-H353)*'16-PlantAdditions'!$E$94</f>
        <v>0</v>
      </c>
      <c r="J353" s="65">
        <f t="shared" si="85"/>
        <v>0</v>
      </c>
      <c r="K353" s="65">
        <f>J353-J343</f>
        <v>0</v>
      </c>
    </row>
    <row r="354" spans="1:11" s="962" customFormat="1" x14ac:dyDescent="0.2">
      <c r="A354" s="839">
        <f t="shared" si="83"/>
        <v>270</v>
      </c>
      <c r="B354" s="922" t="s">
        <v>220</v>
      </c>
      <c r="C354" s="923">
        <f t="shared" si="86"/>
        <v>2011</v>
      </c>
      <c r="D354" s="113">
        <v>0</v>
      </c>
      <c r="E354" s="65">
        <f>D354*'16-PlantAdditions'!$E$94</f>
        <v>0</v>
      </c>
      <c r="F354" s="65">
        <f t="shared" si="84"/>
        <v>0</v>
      </c>
      <c r="G354" s="113">
        <v>0</v>
      </c>
      <c r="H354" s="113">
        <v>0</v>
      </c>
      <c r="I354" s="65">
        <f>(G354-H354)*'16-PlantAdditions'!$E$94</f>
        <v>0</v>
      </c>
      <c r="J354" s="65">
        <f t="shared" si="85"/>
        <v>0</v>
      </c>
      <c r="K354" s="65">
        <f>J354-J343</f>
        <v>0</v>
      </c>
    </row>
    <row r="355" spans="1:11" s="962" customFormat="1" x14ac:dyDescent="0.2">
      <c r="A355" s="839">
        <f t="shared" si="83"/>
        <v>271</v>
      </c>
      <c r="B355" s="922" t="s">
        <v>210</v>
      </c>
      <c r="C355" s="923">
        <f t="shared" si="86"/>
        <v>2011</v>
      </c>
      <c r="D355" s="113">
        <v>0</v>
      </c>
      <c r="E355" s="65">
        <f>D355*'16-PlantAdditions'!$E$94</f>
        <v>0</v>
      </c>
      <c r="F355" s="65">
        <f t="shared" si="84"/>
        <v>0</v>
      </c>
      <c r="G355" s="113">
        <v>0</v>
      </c>
      <c r="H355" s="113">
        <v>0</v>
      </c>
      <c r="I355" s="65">
        <f>(G355-H355)*'16-PlantAdditions'!$E$94</f>
        <v>0</v>
      </c>
      <c r="J355" s="65">
        <f t="shared" si="85"/>
        <v>0</v>
      </c>
      <c r="K355" s="65">
        <f>J355-J343</f>
        <v>0</v>
      </c>
    </row>
    <row r="356" spans="1:11" s="962" customFormat="1" x14ac:dyDescent="0.2">
      <c r="A356" s="839">
        <f t="shared" si="83"/>
        <v>272</v>
      </c>
      <c r="B356" s="922" t="s">
        <v>211</v>
      </c>
      <c r="C356" s="923">
        <f>C355+1</f>
        <v>2012</v>
      </c>
      <c r="D356" s="113">
        <v>0</v>
      </c>
      <c r="E356" s="65">
        <f>D356*'16-PlantAdditions'!$E$94</f>
        <v>0</v>
      </c>
      <c r="F356" s="65">
        <f t="shared" si="84"/>
        <v>0</v>
      </c>
      <c r="G356" s="113">
        <v>0</v>
      </c>
      <c r="H356" s="113">
        <v>0</v>
      </c>
      <c r="I356" s="65">
        <f>(G356-H356)*'16-PlantAdditions'!$E$94</f>
        <v>0</v>
      </c>
      <c r="J356" s="65">
        <f t="shared" si="85"/>
        <v>0</v>
      </c>
      <c r="K356" s="65">
        <f>J356-J343</f>
        <v>0</v>
      </c>
    </row>
    <row r="357" spans="1:11" s="962" customFormat="1" x14ac:dyDescent="0.2">
      <c r="A357" s="839">
        <f t="shared" si="83"/>
        <v>273</v>
      </c>
      <c r="B357" s="925" t="s">
        <v>212</v>
      </c>
      <c r="C357" s="923">
        <f>C356</f>
        <v>2012</v>
      </c>
      <c r="D357" s="113">
        <v>0</v>
      </c>
      <c r="E357" s="65">
        <f>D357*'16-PlantAdditions'!$E$94</f>
        <v>0</v>
      </c>
      <c r="F357" s="65">
        <f t="shared" si="84"/>
        <v>0</v>
      </c>
      <c r="G357" s="113">
        <v>0</v>
      </c>
      <c r="H357" s="113">
        <v>0</v>
      </c>
      <c r="I357" s="65">
        <f>(G357-H357)*'16-PlantAdditions'!$E$94</f>
        <v>0</v>
      </c>
      <c r="J357" s="65">
        <f t="shared" si="85"/>
        <v>0</v>
      </c>
      <c r="K357" s="65">
        <f>J357-J343</f>
        <v>0</v>
      </c>
    </row>
    <row r="358" spans="1:11" s="962" customFormat="1" x14ac:dyDescent="0.2">
      <c r="A358" s="839">
        <f t="shared" si="83"/>
        <v>274</v>
      </c>
      <c r="B358" s="925" t="s">
        <v>225</v>
      </c>
      <c r="C358" s="923">
        <f t="shared" ref="C358:C364" si="87">C357</f>
        <v>2012</v>
      </c>
      <c r="D358" s="113">
        <v>0</v>
      </c>
      <c r="E358" s="65">
        <f>D358*'16-PlantAdditions'!$E$94</f>
        <v>0</v>
      </c>
      <c r="F358" s="65">
        <f t="shared" si="84"/>
        <v>0</v>
      </c>
      <c r="G358" s="113">
        <v>0</v>
      </c>
      <c r="H358" s="113">
        <v>0</v>
      </c>
      <c r="I358" s="65">
        <f>(G358-H358)*'16-PlantAdditions'!$E$94</f>
        <v>0</v>
      </c>
      <c r="J358" s="65">
        <f t="shared" si="85"/>
        <v>0</v>
      </c>
      <c r="K358" s="65">
        <f>J358-J343</f>
        <v>0</v>
      </c>
    </row>
    <row r="359" spans="1:11" s="962" customFormat="1" x14ac:dyDescent="0.2">
      <c r="A359" s="839">
        <f t="shared" si="83"/>
        <v>275</v>
      </c>
      <c r="B359" s="922" t="s">
        <v>213</v>
      </c>
      <c r="C359" s="923">
        <f t="shared" si="87"/>
        <v>2012</v>
      </c>
      <c r="D359" s="113">
        <v>0</v>
      </c>
      <c r="E359" s="65">
        <f>D359*'16-PlantAdditions'!$E$94</f>
        <v>0</v>
      </c>
      <c r="F359" s="65">
        <f t="shared" si="84"/>
        <v>0</v>
      </c>
      <c r="G359" s="113">
        <v>0</v>
      </c>
      <c r="H359" s="113">
        <v>0</v>
      </c>
      <c r="I359" s="65">
        <f>(G359-H359)*'16-PlantAdditions'!$E$94</f>
        <v>0</v>
      </c>
      <c r="J359" s="65">
        <f t="shared" si="85"/>
        <v>0</v>
      </c>
      <c r="K359" s="65">
        <f>J359-J343</f>
        <v>0</v>
      </c>
    </row>
    <row r="360" spans="1:11" s="962" customFormat="1" x14ac:dyDescent="0.2">
      <c r="A360" s="839">
        <f t="shared" si="83"/>
        <v>276</v>
      </c>
      <c r="B360" s="925" t="s">
        <v>214</v>
      </c>
      <c r="C360" s="923">
        <f t="shared" si="87"/>
        <v>2012</v>
      </c>
      <c r="D360" s="113">
        <v>0</v>
      </c>
      <c r="E360" s="65">
        <f>D360*'16-PlantAdditions'!$E$94</f>
        <v>0</v>
      </c>
      <c r="F360" s="65">
        <f t="shared" si="84"/>
        <v>0</v>
      </c>
      <c r="G360" s="113">
        <v>0</v>
      </c>
      <c r="H360" s="113">
        <v>0</v>
      </c>
      <c r="I360" s="65">
        <f>(G360-H360)*'16-PlantAdditions'!$E$94</f>
        <v>0</v>
      </c>
      <c r="J360" s="65">
        <f t="shared" si="85"/>
        <v>0</v>
      </c>
      <c r="K360" s="65">
        <f>J360-J343</f>
        <v>0</v>
      </c>
    </row>
    <row r="361" spans="1:11" s="962" customFormat="1" x14ac:dyDescent="0.2">
      <c r="A361" s="839">
        <f t="shared" si="83"/>
        <v>277</v>
      </c>
      <c r="B361" s="925" t="s">
        <v>1920</v>
      </c>
      <c r="C361" s="923">
        <f t="shared" si="87"/>
        <v>2012</v>
      </c>
      <c r="D361" s="113">
        <v>0</v>
      </c>
      <c r="E361" s="65">
        <f>D361*'16-PlantAdditions'!$E$94</f>
        <v>0</v>
      </c>
      <c r="F361" s="65">
        <f t="shared" si="84"/>
        <v>0</v>
      </c>
      <c r="G361" s="113">
        <v>0</v>
      </c>
      <c r="H361" s="113">
        <v>0</v>
      </c>
      <c r="I361" s="65">
        <f>(G361-H361)*'16-PlantAdditions'!$E$94</f>
        <v>0</v>
      </c>
      <c r="J361" s="65">
        <f t="shared" si="85"/>
        <v>0</v>
      </c>
      <c r="K361" s="65">
        <f>J361-J343</f>
        <v>0</v>
      </c>
    </row>
    <row r="362" spans="1:11" s="962" customFormat="1" x14ac:dyDescent="0.2">
      <c r="A362" s="839">
        <f t="shared" si="83"/>
        <v>278</v>
      </c>
      <c r="B362" s="922" t="s">
        <v>216</v>
      </c>
      <c r="C362" s="923">
        <f t="shared" si="87"/>
        <v>2012</v>
      </c>
      <c r="D362" s="113">
        <v>0</v>
      </c>
      <c r="E362" s="65">
        <f>D362*'16-PlantAdditions'!$E$94</f>
        <v>0</v>
      </c>
      <c r="F362" s="65">
        <f t="shared" si="84"/>
        <v>0</v>
      </c>
      <c r="G362" s="113">
        <v>0</v>
      </c>
      <c r="H362" s="113">
        <v>0</v>
      </c>
      <c r="I362" s="65">
        <f>(G362-H362)*'16-PlantAdditions'!$E$94</f>
        <v>0</v>
      </c>
      <c r="J362" s="65">
        <f t="shared" si="85"/>
        <v>0</v>
      </c>
      <c r="K362" s="65">
        <f>J362-J343</f>
        <v>0</v>
      </c>
    </row>
    <row r="363" spans="1:11" s="962" customFormat="1" x14ac:dyDescent="0.2">
      <c r="A363" s="839">
        <f t="shared" si="83"/>
        <v>279</v>
      </c>
      <c r="B363" s="925" t="s">
        <v>217</v>
      </c>
      <c r="C363" s="923">
        <f t="shared" si="87"/>
        <v>2012</v>
      </c>
      <c r="D363" s="113">
        <v>0</v>
      </c>
      <c r="E363" s="65">
        <f>D363*'16-PlantAdditions'!$E$94</f>
        <v>0</v>
      </c>
      <c r="F363" s="65">
        <f t="shared" si="84"/>
        <v>0</v>
      </c>
      <c r="G363" s="113">
        <v>0</v>
      </c>
      <c r="H363" s="113">
        <v>0</v>
      </c>
      <c r="I363" s="65">
        <f>(G363-H363)*'16-PlantAdditions'!$E$94</f>
        <v>0</v>
      </c>
      <c r="J363" s="65">
        <f t="shared" si="85"/>
        <v>0</v>
      </c>
      <c r="K363" s="65">
        <f>J363-J343</f>
        <v>0</v>
      </c>
    </row>
    <row r="364" spans="1:11" s="962" customFormat="1" x14ac:dyDescent="0.2">
      <c r="A364" s="839">
        <f t="shared" si="83"/>
        <v>280</v>
      </c>
      <c r="B364" s="925" t="s">
        <v>218</v>
      </c>
      <c r="C364" s="923">
        <f t="shared" si="87"/>
        <v>2012</v>
      </c>
      <c r="D364" s="113">
        <v>0</v>
      </c>
      <c r="E364" s="65">
        <f>D364*'16-PlantAdditions'!$E$94</f>
        <v>0</v>
      </c>
      <c r="F364" s="65">
        <f t="shared" si="84"/>
        <v>0</v>
      </c>
      <c r="G364" s="113">
        <v>0</v>
      </c>
      <c r="H364" s="113">
        <v>0</v>
      </c>
      <c r="I364" s="65">
        <f>(G364-H364)*'16-PlantAdditions'!$E$94</f>
        <v>0</v>
      </c>
      <c r="J364" s="65">
        <f t="shared" si="85"/>
        <v>0</v>
      </c>
      <c r="K364" s="118">
        <f>J364-J343</f>
        <v>0</v>
      </c>
    </row>
    <row r="365" spans="1:11" s="962" customFormat="1" x14ac:dyDescent="0.2">
      <c r="A365" s="839">
        <f>A364+1</f>
        <v>281</v>
      </c>
      <c r="B365"/>
      <c r="C365" s="961" t="s">
        <v>2309</v>
      </c>
      <c r="H365" s="966"/>
      <c r="I365" s="966"/>
      <c r="K365" s="77">
        <f>AVERAGE(K352:K364)</f>
        <v>0</v>
      </c>
    </row>
    <row r="366" spans="1:11" s="962" customFormat="1" x14ac:dyDescent="0.2">
      <c r="A366" s="839"/>
      <c r="B366"/>
      <c r="C366" s="961"/>
      <c r="H366" s="966"/>
      <c r="I366" s="966"/>
      <c r="K366" s="77"/>
    </row>
    <row r="367" spans="1:11" s="962" customFormat="1" x14ac:dyDescent="0.2">
      <c r="A367" s="839"/>
      <c r="B367"/>
      <c r="C367" s="961"/>
      <c r="H367" s="966"/>
      <c r="I367" s="966"/>
      <c r="K367" s="77"/>
    </row>
    <row r="368" spans="1:11" s="962" customFormat="1" x14ac:dyDescent="0.2">
      <c r="A368" s="959"/>
      <c r="B368" s="930" t="s">
        <v>267</v>
      </c>
      <c r="C368"/>
      <c r="D368"/>
      <c r="E368"/>
      <c r="F368"/>
      <c r="G368"/>
      <c r="H368"/>
      <c r="I368"/>
    </row>
    <row r="369" spans="1:9" s="962" customFormat="1" x14ac:dyDescent="0.2">
      <c r="A369" s="959"/>
      <c r="B369" s="925" t="s">
        <v>2413</v>
      </c>
    </row>
    <row r="370" spans="1:9" s="962" customFormat="1" x14ac:dyDescent="0.2">
      <c r="A370" s="959"/>
      <c r="B370" s="925" t="s">
        <v>3186</v>
      </c>
      <c r="C370"/>
      <c r="D370"/>
      <c r="E370"/>
      <c r="F370"/>
      <c r="G370"/>
      <c r="H370"/>
      <c r="I370"/>
    </row>
    <row r="371" spans="1:9" s="962" customFormat="1" x14ac:dyDescent="0.2">
      <c r="A371" s="959"/>
      <c r="C371"/>
      <c r="D371"/>
      <c r="E371"/>
      <c r="F371"/>
      <c r="G371"/>
      <c r="H371"/>
      <c r="I371"/>
    </row>
    <row r="372" spans="1:9" s="962" customFormat="1" x14ac:dyDescent="0.2">
      <c r="A372" s="959"/>
      <c r="B372" s="1" t="s">
        <v>433</v>
      </c>
      <c r="C372"/>
      <c r="D372"/>
      <c r="E372"/>
      <c r="F372"/>
      <c r="G372"/>
      <c r="H372"/>
      <c r="I372"/>
    </row>
    <row r="373" spans="1:9" s="962" customFormat="1" x14ac:dyDescent="0.2">
      <c r="A373" s="959"/>
      <c r="B373" s="649" t="s">
        <v>1104</v>
      </c>
      <c r="C373"/>
      <c r="D373"/>
      <c r="E373"/>
      <c r="F373"/>
      <c r="G373"/>
      <c r="H373"/>
      <c r="I373"/>
    </row>
    <row r="374" spans="1:9" s="962" customFormat="1" x14ac:dyDescent="0.2">
      <c r="A374" s="959"/>
      <c r="B374" s="649" t="s">
        <v>3187</v>
      </c>
      <c r="C374"/>
      <c r="D374"/>
      <c r="E374"/>
      <c r="F374"/>
      <c r="G374"/>
      <c r="H374"/>
      <c r="I374"/>
    </row>
    <row r="375" spans="1:9" s="962" customFormat="1" x14ac:dyDescent="0.2">
      <c r="A375" s="959"/>
      <c r="B375" s="651" t="s">
        <v>2937</v>
      </c>
      <c r="C375" s="14"/>
      <c r="D375" s="14"/>
      <c r="E375" s="14"/>
      <c r="F375" s="14"/>
      <c r="G375" s="14"/>
      <c r="H375" s="14"/>
      <c r="I375" s="14"/>
    </row>
    <row r="376" spans="1:9" s="962" customFormat="1" x14ac:dyDescent="0.2">
      <c r="A376" s="959"/>
      <c r="B376" s="648"/>
      <c r="C376" s="14"/>
      <c r="D376" s="14"/>
      <c r="E376" s="14"/>
      <c r="F376" s="14"/>
      <c r="G376" s="14"/>
      <c r="H376" s="14"/>
      <c r="I376" s="14"/>
    </row>
    <row r="377" spans="1:9" s="962" customFormat="1" x14ac:dyDescent="0.2">
      <c r="A377" s="959"/>
      <c r="B377" s="925"/>
      <c r="C377" s="971"/>
      <c r="H377" s="966"/>
      <c r="I377" s="966"/>
    </row>
    <row r="378" spans="1:9" s="962" customFormat="1" x14ac:dyDescent="0.2">
      <c r="A378" s="959"/>
      <c r="B378" s="925"/>
      <c r="C378" s="971"/>
      <c r="H378" s="966"/>
      <c r="I378" s="966"/>
    </row>
    <row r="379" spans="1:9" s="962" customFormat="1" x14ac:dyDescent="0.2">
      <c r="A379" s="959"/>
      <c r="B379" s="925"/>
      <c r="C379" s="971"/>
      <c r="H379" s="966"/>
      <c r="I379" s="966"/>
    </row>
    <row r="380" spans="1:9" s="962" customFormat="1" x14ac:dyDescent="0.2">
      <c r="A380" s="959"/>
      <c r="B380" s="925"/>
      <c r="C380" s="971"/>
      <c r="H380" s="966"/>
      <c r="I380" s="966"/>
    </row>
    <row r="381" spans="1:9" s="962" customFormat="1" x14ac:dyDescent="0.2">
      <c r="A381" s="959"/>
      <c r="B381" s="925"/>
      <c r="C381" s="971"/>
      <c r="D381" s="972"/>
      <c r="E381" s="972"/>
      <c r="F381" s="972"/>
      <c r="G381" s="972"/>
      <c r="H381" s="966"/>
      <c r="I381" s="966"/>
    </row>
    <row r="382" spans="1:9" s="962" customFormat="1" x14ac:dyDescent="0.2">
      <c r="A382" s="959"/>
      <c r="C382" s="973"/>
      <c r="D382" s="974"/>
      <c r="E382" s="974"/>
      <c r="F382" s="974"/>
      <c r="G382" s="974"/>
      <c r="H382" s="966"/>
      <c r="I382" s="966"/>
    </row>
    <row r="383" spans="1:9" s="962" customFormat="1" x14ac:dyDescent="0.2"/>
    <row r="384" spans="1:9" s="962" customFormat="1" x14ac:dyDescent="0.2">
      <c r="B384" s="930"/>
    </row>
    <row r="385" spans="2:2" s="962" customFormat="1" x14ac:dyDescent="0.2">
      <c r="B385" s="925"/>
    </row>
    <row r="386" spans="2:2" s="962" customFormat="1" x14ac:dyDescent="0.2"/>
    <row r="387" spans="2:2" s="962" customFormat="1" x14ac:dyDescent="0.2">
      <c r="B387" s="975"/>
    </row>
    <row r="388" spans="2:2" s="962" customFormat="1" x14ac:dyDescent="0.2">
      <c r="B388" s="976"/>
    </row>
    <row r="389" spans="2:2" s="962" customFormat="1" x14ac:dyDescent="0.2">
      <c r="B389" s="976"/>
    </row>
    <row r="390" spans="2:2" s="962" customFormat="1" x14ac:dyDescent="0.2">
      <c r="B390" s="976"/>
    </row>
    <row r="391" spans="2:2" s="962" customFormat="1" x14ac:dyDescent="0.2">
      <c r="B391" s="977"/>
    </row>
  </sheetData>
  <mergeCells count="9">
    <mergeCell ref="D251:E251"/>
    <mergeCell ref="D281:E281"/>
    <mergeCell ref="D309:E309"/>
    <mergeCell ref="D79:E79"/>
    <mergeCell ref="D109:E109"/>
    <mergeCell ref="D137:E137"/>
    <mergeCell ref="D165:E165"/>
    <mergeCell ref="D195:E195"/>
    <mergeCell ref="D223:E223"/>
  </mergeCells>
  <pageMargins left="0.7" right="0.7" top="0.75" bottom="0.75" header="0.3" footer="0.3"/>
  <pageSetup scale="65" orientation="landscape" cellComments="asDisplayed" r:id="rId1"/>
  <headerFooter>
    <oddHeader>&amp;CSchedule 10
CWIP
&amp;"Arial,Bold"Exhibit G-1</oddHeader>
    <oddFooter>&amp;R&amp;A</oddFooter>
  </headerFooter>
  <rowBreaks count="6" manualBreakCount="6">
    <brk id="47" max="16383" man="1"/>
    <brk id="108" max="16383" man="1"/>
    <brk id="164" max="16383" man="1"/>
    <brk id="222" max="16383" man="1"/>
    <brk id="280" max="16383" man="1"/>
    <brk id="33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2.75" x14ac:dyDescent="0.2"/>
  <cols>
    <col min="1" max="1" width="4.7109375" customWidth="1"/>
    <col min="2" max="2" width="22.7109375" customWidth="1"/>
    <col min="3" max="3" width="8.7109375" customWidth="1"/>
    <col min="4" max="5" width="25.7109375" customWidth="1"/>
    <col min="6" max="6" width="22.7109375" customWidth="1"/>
  </cols>
  <sheetData>
    <row r="1" spans="1:6" x14ac:dyDescent="0.2">
      <c r="A1" s="38" t="s">
        <v>1480</v>
      </c>
      <c r="B1" s="127"/>
      <c r="C1" s="39"/>
      <c r="D1" s="39"/>
      <c r="E1" s="39"/>
      <c r="F1" s="39"/>
    </row>
    <row r="2" spans="1:6" x14ac:dyDescent="0.2">
      <c r="A2" s="129"/>
      <c r="B2" s="14"/>
      <c r="C2" s="130"/>
      <c r="D2" s="130"/>
      <c r="F2" s="44" t="s">
        <v>18</v>
      </c>
    </row>
    <row r="3" spans="1:6" x14ac:dyDescent="0.2">
      <c r="A3" s="129"/>
      <c r="B3" s="15" t="s">
        <v>563</v>
      </c>
      <c r="C3" s="130"/>
      <c r="D3" s="130"/>
      <c r="E3" s="130"/>
    </row>
    <row r="4" spans="1:6" x14ac:dyDescent="0.2">
      <c r="A4" s="129"/>
      <c r="B4" s="15" t="s">
        <v>442</v>
      </c>
      <c r="C4" s="130"/>
      <c r="D4" s="130"/>
      <c r="E4" s="130"/>
    </row>
    <row r="5" spans="1:6" x14ac:dyDescent="0.2">
      <c r="A5" s="129"/>
      <c r="B5" s="15" t="s">
        <v>447</v>
      </c>
      <c r="C5" s="130"/>
      <c r="D5" s="130"/>
      <c r="E5" s="130"/>
    </row>
    <row r="6" spans="1:6" x14ac:dyDescent="0.2">
      <c r="A6" s="129"/>
    </row>
    <row r="7" spans="1:6" x14ac:dyDescent="0.2">
      <c r="A7" s="53" t="s">
        <v>372</v>
      </c>
      <c r="B7" s="14"/>
      <c r="C7" s="130"/>
      <c r="D7" s="3" t="s">
        <v>445</v>
      </c>
      <c r="E7" s="128" t="s">
        <v>444</v>
      </c>
      <c r="F7" s="131" t="s">
        <v>209</v>
      </c>
    </row>
    <row r="8" spans="1:6" x14ac:dyDescent="0.2">
      <c r="A8" s="2">
        <v>1</v>
      </c>
      <c r="B8" s="15" t="s">
        <v>456</v>
      </c>
      <c r="D8" s="6">
        <v>480549</v>
      </c>
      <c r="E8" s="6">
        <v>480549</v>
      </c>
      <c r="F8" s="13" t="s">
        <v>1508</v>
      </c>
    </row>
    <row r="9" spans="1:6" x14ac:dyDescent="0.2">
      <c r="A9" s="2"/>
      <c r="B9" s="15"/>
      <c r="D9" s="14"/>
      <c r="E9" s="12"/>
    </row>
    <row r="10" spans="1:6" x14ac:dyDescent="0.2">
      <c r="A10" s="2"/>
      <c r="B10" s="15" t="s">
        <v>450</v>
      </c>
      <c r="D10" s="14"/>
      <c r="E10" s="12"/>
    </row>
    <row r="11" spans="1:6" x14ac:dyDescent="0.2">
      <c r="A11" s="2"/>
      <c r="B11" s="15"/>
      <c r="D11" s="14"/>
      <c r="E11" s="12"/>
    </row>
    <row r="12" spans="1:6" x14ac:dyDescent="0.2">
      <c r="A12" s="2"/>
      <c r="B12" s="88" t="s">
        <v>406</v>
      </c>
      <c r="C12" s="88" t="s">
        <v>390</v>
      </c>
      <c r="D12" s="88" t="s">
        <v>391</v>
      </c>
      <c r="E12" s="88" t="s">
        <v>392</v>
      </c>
      <c r="F12" s="88" t="s">
        <v>393</v>
      </c>
    </row>
    <row r="13" spans="1:6" x14ac:dyDescent="0.2">
      <c r="A13" s="2"/>
      <c r="B13" s="15"/>
      <c r="C13" s="2" t="s">
        <v>453</v>
      </c>
      <c r="D13" s="14"/>
      <c r="E13" s="12"/>
    </row>
    <row r="14" spans="1:6" x14ac:dyDescent="0.2">
      <c r="A14" s="2"/>
      <c r="B14" s="53" t="s">
        <v>114</v>
      </c>
      <c r="C14" s="3" t="s">
        <v>452</v>
      </c>
      <c r="D14" s="3" t="s">
        <v>445</v>
      </c>
      <c r="E14" s="128" t="s">
        <v>444</v>
      </c>
      <c r="F14" s="128" t="s">
        <v>209</v>
      </c>
    </row>
    <row r="15" spans="1:6" x14ac:dyDescent="0.2">
      <c r="A15" s="2" t="s">
        <v>582</v>
      </c>
      <c r="B15" s="122"/>
      <c r="C15" s="101"/>
      <c r="D15" s="6">
        <v>0</v>
      </c>
      <c r="E15" s="6">
        <v>0</v>
      </c>
      <c r="F15" s="101"/>
    </row>
    <row r="16" spans="1:6" x14ac:dyDescent="0.2">
      <c r="A16" s="2" t="s">
        <v>583</v>
      </c>
      <c r="B16" s="122"/>
      <c r="C16" s="101"/>
      <c r="D16" s="6">
        <v>0</v>
      </c>
      <c r="E16" s="6">
        <v>0</v>
      </c>
      <c r="F16" s="101"/>
    </row>
    <row r="17" spans="1:6" x14ac:dyDescent="0.2">
      <c r="A17" s="2" t="s">
        <v>584</v>
      </c>
      <c r="B17" s="122"/>
      <c r="C17" s="101"/>
      <c r="D17" s="6">
        <v>0</v>
      </c>
      <c r="E17" s="6">
        <v>0</v>
      </c>
      <c r="F17" s="101"/>
    </row>
    <row r="18" spans="1:6" x14ac:dyDescent="0.2">
      <c r="A18" s="2" t="s">
        <v>585</v>
      </c>
      <c r="B18" s="122"/>
      <c r="C18" s="101"/>
      <c r="D18" s="6">
        <v>0</v>
      </c>
      <c r="E18" s="6">
        <v>0</v>
      </c>
      <c r="F18" s="101"/>
    </row>
    <row r="19" spans="1:6" x14ac:dyDescent="0.2">
      <c r="A19" s="2" t="s">
        <v>586</v>
      </c>
      <c r="B19" s="122"/>
      <c r="C19" s="101"/>
      <c r="D19" s="6">
        <v>0</v>
      </c>
      <c r="E19" s="6">
        <v>0</v>
      </c>
      <c r="F19" s="101"/>
    </row>
    <row r="20" spans="1:6" x14ac:dyDescent="0.2">
      <c r="A20" s="2" t="s">
        <v>587</v>
      </c>
      <c r="B20" s="122"/>
      <c r="C20" s="101"/>
      <c r="D20" s="6">
        <v>0</v>
      </c>
      <c r="E20" s="6">
        <v>0</v>
      </c>
      <c r="F20" s="101"/>
    </row>
    <row r="21" spans="1:6" x14ac:dyDescent="0.2">
      <c r="A21" s="2" t="s">
        <v>588</v>
      </c>
      <c r="B21" s="122"/>
      <c r="C21" s="101"/>
      <c r="D21" s="6">
        <v>0</v>
      </c>
      <c r="E21" s="6">
        <v>0</v>
      </c>
      <c r="F21" s="101"/>
    </row>
    <row r="22" spans="1:6" x14ac:dyDescent="0.2">
      <c r="A22" s="2" t="s">
        <v>589</v>
      </c>
      <c r="B22" s="122"/>
      <c r="C22" s="101"/>
      <c r="D22" s="6">
        <v>0</v>
      </c>
      <c r="E22" s="6">
        <v>0</v>
      </c>
      <c r="F22" s="101"/>
    </row>
    <row r="23" spans="1:6" x14ac:dyDescent="0.2">
      <c r="A23" s="200"/>
      <c r="B23" s="475" t="s">
        <v>578</v>
      </c>
      <c r="C23" s="101"/>
      <c r="D23" s="476"/>
      <c r="E23" s="476"/>
      <c r="F23" s="101"/>
    </row>
    <row r="24" spans="1:6" x14ac:dyDescent="0.2">
      <c r="A24" s="2">
        <v>3</v>
      </c>
      <c r="C24" s="12" t="s">
        <v>5</v>
      </c>
      <c r="D24" s="7">
        <f>SUM(D15:D22)</f>
        <v>0</v>
      </c>
      <c r="E24" s="7">
        <f>SUM(E15:E22)</f>
        <v>0</v>
      </c>
      <c r="F24" s="13" t="s">
        <v>591</v>
      </c>
    </row>
    <row r="25" spans="1:6" x14ac:dyDescent="0.2">
      <c r="C25" s="12"/>
    </row>
    <row r="26" spans="1:6" x14ac:dyDescent="0.2">
      <c r="C26" s="12"/>
      <c r="D26" s="3" t="s">
        <v>445</v>
      </c>
      <c r="E26" s="128" t="s">
        <v>444</v>
      </c>
      <c r="F26" s="131" t="s">
        <v>209</v>
      </c>
    </row>
    <row r="27" spans="1:6" x14ac:dyDescent="0.2">
      <c r="A27" s="2">
        <v>4</v>
      </c>
      <c r="B27" s="12" t="s">
        <v>446</v>
      </c>
      <c r="C27" s="12"/>
      <c r="D27" s="6">
        <v>0</v>
      </c>
      <c r="E27" s="6">
        <v>0</v>
      </c>
      <c r="F27" s="47" t="s">
        <v>443</v>
      </c>
    </row>
    <row r="28" spans="1:6" x14ac:dyDescent="0.2">
      <c r="A28" s="2">
        <v>5</v>
      </c>
      <c r="B28" s="12" t="s">
        <v>345</v>
      </c>
      <c r="D28" s="132">
        <f>'27-Allocators'!G15</f>
        <v>4.0090597826729017E-2</v>
      </c>
      <c r="E28" s="132">
        <f>'27-Allocators'!G15</f>
        <v>4.0090597826729017E-2</v>
      </c>
      <c r="F28" s="47" t="str">
        <f>"27-Allocators, L "&amp;'27-Allocators'!A15&amp;""</f>
        <v>27-Allocators, L 9</v>
      </c>
    </row>
    <row r="29" spans="1:6" x14ac:dyDescent="0.2">
      <c r="A29" s="2">
        <v>6</v>
      </c>
      <c r="B29" s="12" t="s">
        <v>454</v>
      </c>
      <c r="C29" s="12"/>
      <c r="D29" s="65">
        <f>D27*D28</f>
        <v>0</v>
      </c>
      <c r="E29" s="65">
        <f>E27*E28</f>
        <v>0</v>
      </c>
      <c r="F29" s="13" t="str">
        <f>"L "&amp;A27&amp;" * L "&amp;A28&amp;""</f>
        <v>L 4 * L 5</v>
      </c>
    </row>
    <row r="30" spans="1:6" x14ac:dyDescent="0.2">
      <c r="C30" s="12"/>
    </row>
    <row r="31" spans="1:6" x14ac:dyDescent="0.2">
      <c r="B31" s="12" t="s">
        <v>451</v>
      </c>
    </row>
    <row r="32" spans="1:6" x14ac:dyDescent="0.2">
      <c r="C32" s="32"/>
      <c r="D32" s="33"/>
      <c r="E32" s="35"/>
    </row>
    <row r="33" spans="1:6" x14ac:dyDescent="0.2">
      <c r="D33" s="3" t="s">
        <v>445</v>
      </c>
      <c r="E33" s="128" t="s">
        <v>444</v>
      </c>
      <c r="F33" s="131" t="s">
        <v>209</v>
      </c>
    </row>
    <row r="34" spans="1:6" x14ac:dyDescent="0.2">
      <c r="A34" s="2">
        <v>7</v>
      </c>
      <c r="C34" s="12"/>
      <c r="D34" s="6">
        <v>480549</v>
      </c>
      <c r="E34" s="6">
        <v>480549</v>
      </c>
      <c r="F34" s="13" t="s">
        <v>407</v>
      </c>
    </row>
    <row r="37" spans="1:6" x14ac:dyDescent="0.2">
      <c r="B37" s="12" t="s">
        <v>455</v>
      </c>
      <c r="D37" s="3" t="s">
        <v>445</v>
      </c>
      <c r="E37" s="128" t="s">
        <v>444</v>
      </c>
      <c r="F37" s="131" t="s">
        <v>209</v>
      </c>
    </row>
    <row r="38" spans="1:6" x14ac:dyDescent="0.2">
      <c r="A38" s="2">
        <v>8</v>
      </c>
      <c r="D38" s="107">
        <f>D24+D29</f>
        <v>0</v>
      </c>
      <c r="E38" s="107">
        <f>E24+E29</f>
        <v>0</v>
      </c>
      <c r="F38" s="13" t="str">
        <f>"L "&amp;A24&amp;" + L "&amp;A29&amp;""</f>
        <v>L 3 + L 6</v>
      </c>
    </row>
    <row r="39" spans="1:6" x14ac:dyDescent="0.2">
      <c r="A39" s="2"/>
      <c r="D39" s="107"/>
      <c r="E39" s="107"/>
      <c r="F39" s="13"/>
    </row>
    <row r="40" spans="1:6" x14ac:dyDescent="0.2">
      <c r="B40" t="s">
        <v>457</v>
      </c>
    </row>
    <row r="41" spans="1:6" x14ac:dyDescent="0.2">
      <c r="A41" s="2">
        <v>9</v>
      </c>
      <c r="B41" s="12" t="s">
        <v>455</v>
      </c>
      <c r="D41" s="48">
        <f>(D38+E38)/2</f>
        <v>0</v>
      </c>
      <c r="E41" s="107"/>
      <c r="F41" s="13" t="str">
        <f>"Sum of Line "&amp;A38&amp;" / 2"</f>
        <v>Sum of Line 8 / 2</v>
      </c>
    </row>
    <row r="42" spans="1:6" x14ac:dyDescent="0.2">
      <c r="B42" s="12"/>
    </row>
    <row r="43" spans="1:6" x14ac:dyDescent="0.2">
      <c r="B43" s="1" t="s">
        <v>565</v>
      </c>
      <c r="C43" s="12"/>
    </row>
    <row r="44" spans="1:6" x14ac:dyDescent="0.2">
      <c r="C44" s="12"/>
    </row>
    <row r="45" spans="1:6" x14ac:dyDescent="0.2">
      <c r="A45" s="2"/>
      <c r="F45" s="131" t="s">
        <v>209</v>
      </c>
    </row>
    <row r="46" spans="1:6" x14ac:dyDescent="0.2">
      <c r="A46" s="2">
        <v>10</v>
      </c>
      <c r="B46" s="12" t="s">
        <v>564</v>
      </c>
      <c r="E46" s="113">
        <v>0</v>
      </c>
      <c r="F46" s="13" t="s">
        <v>35</v>
      </c>
    </row>
    <row r="49" spans="2:2" x14ac:dyDescent="0.2">
      <c r="B49" s="1" t="s">
        <v>433</v>
      </c>
    </row>
    <row r="50" spans="2:2" x14ac:dyDescent="0.2">
      <c r="B50" s="12" t="s">
        <v>448</v>
      </c>
    </row>
    <row r="51" spans="2:2" x14ac:dyDescent="0.2">
      <c r="B51" s="12" t="s">
        <v>1487</v>
      </c>
    </row>
    <row r="52" spans="2:2" x14ac:dyDescent="0.2">
      <c r="B52" s="12" t="s">
        <v>1488</v>
      </c>
    </row>
    <row r="53" spans="2:2" x14ac:dyDescent="0.2">
      <c r="B53" s="12" t="s">
        <v>590</v>
      </c>
    </row>
    <row r="54" spans="2:2" x14ac:dyDescent="0.2">
      <c r="B54" s="12" t="str">
        <f>"2) For any Electric Plant Held for Future Use classified as General note amount on Line "&amp;A27&amp;"."</f>
        <v>2) For any Electric Plant Held for Future Use classified as General note amount on Line 4.</v>
      </c>
    </row>
    <row r="55" spans="2:2" x14ac:dyDescent="0.2">
      <c r="B55" s="12" t="s">
        <v>1489</v>
      </c>
    </row>
    <row r="56" spans="2:2" x14ac:dyDescent="0.2">
      <c r="B56" s="12" t="s">
        <v>449</v>
      </c>
    </row>
    <row r="57" spans="2:2" x14ac:dyDescent="0.2">
      <c r="B57" s="649" t="s">
        <v>2414</v>
      </c>
    </row>
    <row r="58" spans="2:2" x14ac:dyDescent="0.2">
      <c r="B58" s="12" t="s">
        <v>1486</v>
      </c>
    </row>
    <row r="59" spans="2:2" x14ac:dyDescent="0.2">
      <c r="B59" s="12"/>
    </row>
    <row r="60" spans="2:2" x14ac:dyDescent="0.2">
      <c r="B60" s="1" t="s">
        <v>267</v>
      </c>
    </row>
    <row r="61" spans="2:2" x14ac:dyDescent="0.2">
      <c r="B61" s="12" t="s">
        <v>1509</v>
      </c>
    </row>
  </sheetData>
  <pageMargins left="0.7" right="0.7" top="0.75" bottom="0.75" header="0.3" footer="0.3"/>
  <pageSetup scale="80" orientation="portrait" cellComments="asDisplayed" r:id="rId1"/>
  <headerFooter>
    <oddHeader xml:space="preserve">&amp;CSchedule 11
Plant Held for Future Use
&amp;"Arial,Bold"Exhibit G-1&amp;"Arial,Regular"
</oddHeader>
    <oddFooter>&amp;R11-PHFU</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2.75" x14ac:dyDescent="0.2"/>
  <cols>
    <col min="1" max="1" width="4.7109375" customWidth="1"/>
    <col min="2" max="2" width="5.7109375" customWidth="1"/>
    <col min="3" max="10" width="12.7109375" customWidth="1"/>
    <col min="12" max="12" width="9.140625" style="14"/>
  </cols>
  <sheetData>
    <row r="1" spans="1:10" x14ac:dyDescent="0.2">
      <c r="A1" s="1" t="s">
        <v>333</v>
      </c>
    </row>
    <row r="2" spans="1:10" x14ac:dyDescent="0.2">
      <c r="I2" s="768" t="s">
        <v>283</v>
      </c>
      <c r="J2" s="768"/>
    </row>
    <row r="3" spans="1:10" x14ac:dyDescent="0.2">
      <c r="B3" t="s">
        <v>358</v>
      </c>
    </row>
    <row r="5" spans="1:10" x14ac:dyDescent="0.2">
      <c r="B5" t="s">
        <v>353</v>
      </c>
    </row>
    <row r="6" spans="1:10" x14ac:dyDescent="0.2">
      <c r="B6" t="s">
        <v>359</v>
      </c>
    </row>
    <row r="7" spans="1:10" x14ac:dyDescent="0.2">
      <c r="F7" s="79" t="s">
        <v>261</v>
      </c>
      <c r="H7" s="79" t="s">
        <v>2744</v>
      </c>
    </row>
    <row r="8" spans="1:10" x14ac:dyDescent="0.2">
      <c r="B8" s="14" t="s">
        <v>2743</v>
      </c>
      <c r="C8" s="14"/>
      <c r="D8" s="14"/>
      <c r="E8" s="14"/>
      <c r="F8" s="101"/>
      <c r="G8" s="101"/>
      <c r="H8" s="101"/>
      <c r="I8" s="101"/>
    </row>
    <row r="9" spans="1:10" x14ac:dyDescent="0.2">
      <c r="B9" s="14"/>
      <c r="C9" s="14"/>
      <c r="D9" s="14"/>
      <c r="E9" s="14"/>
      <c r="F9" s="101"/>
      <c r="G9" s="101"/>
      <c r="H9" s="101"/>
      <c r="I9" s="101"/>
    </row>
    <row r="10" spans="1:10" x14ac:dyDescent="0.2">
      <c r="B10" s="14"/>
      <c r="C10" s="14"/>
      <c r="D10" s="14"/>
      <c r="E10" s="14"/>
      <c r="F10" s="533" t="s">
        <v>578</v>
      </c>
      <c r="G10" s="14"/>
      <c r="H10" s="533" t="s">
        <v>578</v>
      </c>
      <c r="I10" s="14"/>
    </row>
    <row r="12" spans="1:10" x14ac:dyDescent="0.2">
      <c r="B12" s="649" t="s">
        <v>431</v>
      </c>
    </row>
    <row r="13" spans="1:10" x14ac:dyDescent="0.2">
      <c r="B13" s="649"/>
    </row>
    <row r="14" spans="1:10" x14ac:dyDescent="0.2">
      <c r="B14" s="649" t="s">
        <v>429</v>
      </c>
    </row>
    <row r="15" spans="1:10" x14ac:dyDescent="0.2">
      <c r="B15" s="649" t="s">
        <v>430</v>
      </c>
    </row>
    <row r="16" spans="1:10" x14ac:dyDescent="0.2">
      <c r="B16" s="649"/>
      <c r="G16" s="839" t="s">
        <v>432</v>
      </c>
    </row>
    <row r="17" spans="1:10" x14ac:dyDescent="0.2">
      <c r="A17" s="53" t="s">
        <v>372</v>
      </c>
      <c r="G17" s="3" t="s">
        <v>75</v>
      </c>
      <c r="I17" s="53" t="s">
        <v>273</v>
      </c>
    </row>
    <row r="18" spans="1:10" x14ac:dyDescent="0.2">
      <c r="A18" s="839">
        <v>1</v>
      </c>
      <c r="F18" s="37" t="s">
        <v>354</v>
      </c>
      <c r="G18" s="65">
        <v>0</v>
      </c>
      <c r="I18" s="649" t="s">
        <v>441</v>
      </c>
    </row>
    <row r="19" spans="1:10" x14ac:dyDescent="0.2">
      <c r="A19" s="839">
        <v>2</v>
      </c>
      <c r="F19" s="647" t="s">
        <v>435</v>
      </c>
      <c r="G19" s="65">
        <v>0</v>
      </c>
      <c r="I19" s="649" t="s">
        <v>441</v>
      </c>
    </row>
    <row r="20" spans="1:10" x14ac:dyDescent="0.2">
      <c r="A20" s="839">
        <v>3</v>
      </c>
      <c r="F20" s="37" t="s">
        <v>356</v>
      </c>
      <c r="G20" s="65">
        <v>0</v>
      </c>
      <c r="I20" s="649" t="s">
        <v>441</v>
      </c>
    </row>
    <row r="21" spans="1:10" x14ac:dyDescent="0.2">
      <c r="A21" s="839">
        <v>4</v>
      </c>
      <c r="F21" s="37" t="s">
        <v>357</v>
      </c>
      <c r="G21" s="65">
        <f>(G19+G20)/2</f>
        <v>0</v>
      </c>
      <c r="I21" s="649" t="str">
        <f>"Average of Lines "&amp;A19&amp;" and "&amp;A20&amp;"."</f>
        <v>Average of Lines 2 and 3.</v>
      </c>
    </row>
    <row r="22" spans="1:10" x14ac:dyDescent="0.2">
      <c r="I22" s="649"/>
    </row>
    <row r="24" spans="1:10" x14ac:dyDescent="0.2">
      <c r="A24" s="839">
        <v>5</v>
      </c>
      <c r="C24" s="1" t="s">
        <v>576</v>
      </c>
      <c r="D24" s="667" t="s">
        <v>577</v>
      </c>
      <c r="G24" s="161" t="s">
        <v>579</v>
      </c>
      <c r="H24" s="667" t="s">
        <v>577</v>
      </c>
      <c r="I24" s="841"/>
      <c r="J24" s="651"/>
    </row>
    <row r="25" spans="1:10" x14ac:dyDescent="0.2">
      <c r="A25" s="839"/>
      <c r="C25" s="1"/>
      <c r="D25" s="651"/>
      <c r="E25" s="14"/>
      <c r="G25" s="841"/>
      <c r="H25" s="651"/>
      <c r="I25" s="841"/>
      <c r="J25" s="651"/>
    </row>
    <row r="26" spans="1:10" x14ac:dyDescent="0.2">
      <c r="D26" s="117" t="s">
        <v>2471</v>
      </c>
      <c r="E26" s="117" t="s">
        <v>426</v>
      </c>
      <c r="F26" s="14"/>
      <c r="G26" s="14"/>
      <c r="H26" s="117" t="s">
        <v>2471</v>
      </c>
      <c r="I26" s="839" t="s">
        <v>426</v>
      </c>
      <c r="J26" s="117"/>
    </row>
    <row r="27" spans="1:10" x14ac:dyDescent="0.2">
      <c r="C27" s="839" t="s">
        <v>342</v>
      </c>
      <c r="D27" s="117" t="s">
        <v>426</v>
      </c>
      <c r="E27" s="117" t="s">
        <v>427</v>
      </c>
      <c r="F27" s="14"/>
      <c r="G27" s="117" t="s">
        <v>342</v>
      </c>
      <c r="H27" s="117" t="s">
        <v>426</v>
      </c>
      <c r="I27" s="839" t="s">
        <v>427</v>
      </c>
      <c r="J27" s="117"/>
    </row>
    <row r="28" spans="1:10" x14ac:dyDescent="0.2">
      <c r="C28" s="839" t="s">
        <v>426</v>
      </c>
      <c r="D28" s="117" t="s">
        <v>427</v>
      </c>
      <c r="E28" s="117" t="s">
        <v>428</v>
      </c>
      <c r="F28" s="14"/>
      <c r="G28" s="117" t="s">
        <v>426</v>
      </c>
      <c r="H28" s="117" t="s">
        <v>427</v>
      </c>
      <c r="I28" s="839" t="s">
        <v>428</v>
      </c>
      <c r="J28" s="117"/>
    </row>
    <row r="29" spans="1:10" x14ac:dyDescent="0.2">
      <c r="A29" s="839"/>
      <c r="B29" s="3" t="s">
        <v>223</v>
      </c>
      <c r="C29" s="3" t="s">
        <v>427</v>
      </c>
      <c r="D29" s="131" t="s">
        <v>2472</v>
      </c>
      <c r="E29" s="131" t="s">
        <v>366</v>
      </c>
      <c r="F29" s="14"/>
      <c r="G29" s="131" t="s">
        <v>427</v>
      </c>
      <c r="H29" s="131" t="s">
        <v>2472</v>
      </c>
      <c r="I29" s="3" t="s">
        <v>366</v>
      </c>
      <c r="J29" s="131"/>
    </row>
    <row r="30" spans="1:10" x14ac:dyDescent="0.2">
      <c r="A30" s="839">
        <v>6</v>
      </c>
      <c r="B30">
        <v>2011</v>
      </c>
      <c r="C30" s="101"/>
      <c r="D30" s="101"/>
      <c r="E30" s="101"/>
      <c r="G30" s="101"/>
      <c r="H30" s="101"/>
      <c r="I30" s="101"/>
      <c r="J30" s="14"/>
    </row>
    <row r="31" spans="1:10" x14ac:dyDescent="0.2">
      <c r="A31" s="839">
        <v>7</v>
      </c>
      <c r="B31">
        <v>2012</v>
      </c>
      <c r="C31" s="101"/>
      <c r="D31" s="101"/>
      <c r="E31" s="101"/>
      <c r="G31" s="101"/>
      <c r="H31" s="101"/>
      <c r="I31" s="101"/>
      <c r="J31" s="14"/>
    </row>
    <row r="32" spans="1:10" x14ac:dyDescent="0.2">
      <c r="A32" s="839">
        <v>8</v>
      </c>
      <c r="B32">
        <v>2013</v>
      </c>
      <c r="C32" s="101"/>
      <c r="D32" s="101"/>
      <c r="E32" s="101"/>
      <c r="G32" s="101"/>
      <c r="H32" s="101"/>
      <c r="I32" s="101"/>
      <c r="J32" s="14"/>
    </row>
    <row r="33" spans="1:10" x14ac:dyDescent="0.2">
      <c r="A33" s="839">
        <v>9</v>
      </c>
      <c r="B33">
        <v>2014</v>
      </c>
      <c r="C33" s="101"/>
      <c r="D33" s="101"/>
      <c r="E33" s="101"/>
      <c r="G33" s="101"/>
      <c r="H33" s="101"/>
      <c r="I33" s="101"/>
      <c r="J33" s="14"/>
    </row>
    <row r="34" spans="1:10" x14ac:dyDescent="0.2">
      <c r="A34" s="839">
        <v>10</v>
      </c>
      <c r="B34">
        <v>2015</v>
      </c>
      <c r="C34" s="101"/>
      <c r="D34" s="101"/>
      <c r="E34" s="101"/>
      <c r="G34" s="101"/>
      <c r="H34" s="101"/>
      <c r="I34" s="101"/>
      <c r="J34" s="14"/>
    </row>
    <row r="35" spans="1:10" x14ac:dyDescent="0.2">
      <c r="A35" s="839">
        <v>11</v>
      </c>
      <c r="B35">
        <v>2016</v>
      </c>
      <c r="C35" s="101"/>
      <c r="D35" s="101"/>
      <c r="E35" s="101"/>
      <c r="G35" s="101"/>
      <c r="H35" s="101"/>
      <c r="I35" s="101"/>
      <c r="J35" s="14"/>
    </row>
    <row r="36" spans="1:10" x14ac:dyDescent="0.2">
      <c r="A36" s="839">
        <v>12</v>
      </c>
      <c r="B36">
        <v>2017</v>
      </c>
      <c r="C36" s="101"/>
      <c r="D36" s="101"/>
      <c r="E36" s="101"/>
      <c r="G36" s="101"/>
      <c r="H36" s="101"/>
      <c r="I36" s="101"/>
      <c r="J36" s="14"/>
    </row>
    <row r="37" spans="1:10" x14ac:dyDescent="0.2">
      <c r="A37" s="839">
        <v>13</v>
      </c>
      <c r="B37">
        <v>2018</v>
      </c>
      <c r="C37" s="101"/>
      <c r="D37" s="101"/>
      <c r="E37" s="101"/>
      <c r="G37" s="101"/>
      <c r="H37" s="101"/>
      <c r="I37" s="101"/>
      <c r="J37" s="14"/>
    </row>
    <row r="38" spans="1:10" x14ac:dyDescent="0.2">
      <c r="A38" s="839">
        <v>14</v>
      </c>
      <c r="B38">
        <v>2019</v>
      </c>
      <c r="C38" s="101"/>
      <c r="D38" s="101"/>
      <c r="E38" s="101"/>
      <c r="G38" s="101"/>
      <c r="H38" s="101"/>
      <c r="I38" s="101"/>
      <c r="J38" s="14"/>
    </row>
    <row r="39" spans="1:10" x14ac:dyDescent="0.2">
      <c r="A39" s="839">
        <v>15</v>
      </c>
      <c r="B39">
        <v>2020</v>
      </c>
      <c r="C39" s="101"/>
      <c r="D39" s="101"/>
      <c r="E39" s="101"/>
      <c r="G39" s="101"/>
      <c r="H39" s="101"/>
      <c r="I39" s="101"/>
      <c r="J39" s="14"/>
    </row>
    <row r="40" spans="1:10" x14ac:dyDescent="0.2">
      <c r="A40" s="839">
        <v>16</v>
      </c>
      <c r="B40">
        <v>2021</v>
      </c>
      <c r="C40" s="101"/>
      <c r="D40" s="101"/>
      <c r="E40" s="101"/>
      <c r="G40" s="101"/>
      <c r="H40" s="101"/>
      <c r="I40" s="101"/>
      <c r="J40" s="14"/>
    </row>
    <row r="41" spans="1:10" x14ac:dyDescent="0.2">
      <c r="A41" s="839">
        <v>17</v>
      </c>
      <c r="B41">
        <v>2022</v>
      </c>
      <c r="C41" s="101"/>
      <c r="D41" s="101"/>
      <c r="E41" s="101"/>
      <c r="G41" s="101"/>
      <c r="H41" s="101"/>
      <c r="I41" s="101"/>
      <c r="J41" s="14"/>
    </row>
    <row r="42" spans="1:10" x14ac:dyDescent="0.2">
      <c r="A42" s="839">
        <v>18</v>
      </c>
      <c r="B42">
        <v>2023</v>
      </c>
      <c r="C42" s="101"/>
      <c r="D42" s="101"/>
      <c r="E42" s="101"/>
      <c r="G42" s="101"/>
      <c r="H42" s="101"/>
      <c r="I42" s="101"/>
      <c r="J42" s="14"/>
    </row>
    <row r="43" spans="1:10" x14ac:dyDescent="0.2">
      <c r="A43" s="839">
        <v>19</v>
      </c>
      <c r="B43">
        <v>2024</v>
      </c>
      <c r="C43" s="101"/>
      <c r="D43" s="101"/>
      <c r="E43" s="101"/>
      <c r="G43" s="101"/>
      <c r="H43" s="101"/>
      <c r="I43" s="101"/>
      <c r="J43" s="14"/>
    </row>
    <row r="44" spans="1:10" x14ac:dyDescent="0.2">
      <c r="A44" s="839">
        <v>20</v>
      </c>
      <c r="B44">
        <v>2025</v>
      </c>
      <c r="C44" s="101"/>
      <c r="D44" s="101"/>
      <c r="E44" s="101"/>
      <c r="G44" s="101"/>
      <c r="H44" s="101"/>
      <c r="I44" s="101"/>
      <c r="J44" s="14"/>
    </row>
    <row r="45" spans="1:10" x14ac:dyDescent="0.2">
      <c r="A45" s="839">
        <v>21</v>
      </c>
      <c r="B45">
        <v>2026</v>
      </c>
      <c r="C45" s="101"/>
      <c r="D45" s="101"/>
      <c r="E45" s="101"/>
      <c r="G45" s="101"/>
      <c r="H45" s="101"/>
      <c r="I45" s="101"/>
      <c r="J45" s="14"/>
    </row>
    <row r="46" spans="1:10" x14ac:dyDescent="0.2">
      <c r="A46" s="839">
        <v>22</v>
      </c>
      <c r="B46">
        <v>2027</v>
      </c>
      <c r="C46" s="101"/>
      <c r="D46" s="101"/>
      <c r="E46" s="101"/>
      <c r="G46" s="101"/>
      <c r="H46" s="101"/>
      <c r="I46" s="101"/>
      <c r="J46" s="14"/>
    </row>
    <row r="47" spans="1:10" x14ac:dyDescent="0.2">
      <c r="A47" s="839">
        <v>23</v>
      </c>
      <c r="B47">
        <v>2028</v>
      </c>
      <c r="C47" s="101"/>
      <c r="D47" s="101"/>
      <c r="E47" s="101"/>
      <c r="G47" s="101"/>
      <c r="H47" s="101"/>
      <c r="I47" s="101"/>
      <c r="J47" s="14"/>
    </row>
    <row r="48" spans="1:10" x14ac:dyDescent="0.2">
      <c r="A48" s="839">
        <v>24</v>
      </c>
      <c r="B48">
        <v>2029</v>
      </c>
      <c r="C48" s="101"/>
      <c r="D48" s="101"/>
      <c r="E48" s="101"/>
      <c r="G48" s="101"/>
      <c r="H48" s="101"/>
      <c r="I48" s="101"/>
      <c r="J48" s="14"/>
    </row>
    <row r="49" spans="1:10" x14ac:dyDescent="0.2">
      <c r="A49" s="839">
        <v>25</v>
      </c>
      <c r="B49">
        <v>2030</v>
      </c>
      <c r="C49" s="101"/>
      <c r="D49" s="101"/>
      <c r="E49" s="101"/>
      <c r="G49" s="101"/>
      <c r="H49" s="101"/>
      <c r="I49" s="101"/>
      <c r="J49" s="14"/>
    </row>
    <row r="50" spans="1:10" x14ac:dyDescent="0.2">
      <c r="A50" s="839">
        <v>26</v>
      </c>
      <c r="B50">
        <v>2031</v>
      </c>
      <c r="C50" s="101"/>
      <c r="D50" s="101"/>
      <c r="E50" s="101"/>
      <c r="G50" s="101"/>
      <c r="H50" s="101"/>
      <c r="I50" s="101"/>
      <c r="J50" s="14"/>
    </row>
    <row r="51" spans="1:10" x14ac:dyDescent="0.2">
      <c r="A51" s="839">
        <v>27</v>
      </c>
      <c r="B51">
        <v>2032</v>
      </c>
      <c r="C51" s="101"/>
      <c r="D51" s="101"/>
      <c r="E51" s="101"/>
      <c r="G51" s="101"/>
      <c r="H51" s="101"/>
      <c r="I51" s="101"/>
      <c r="J51" s="14"/>
    </row>
    <row r="52" spans="1:10" x14ac:dyDescent="0.2">
      <c r="A52" s="839">
        <v>28</v>
      </c>
      <c r="B52">
        <v>2033</v>
      </c>
      <c r="C52" s="101"/>
      <c r="D52" s="101"/>
      <c r="E52" s="101"/>
      <c r="G52" s="101"/>
      <c r="H52" s="101"/>
      <c r="I52" s="101"/>
      <c r="J52" s="14"/>
    </row>
    <row r="53" spans="1:10" x14ac:dyDescent="0.2">
      <c r="A53" s="839">
        <v>29</v>
      </c>
      <c r="B53">
        <v>2034</v>
      </c>
      <c r="C53" s="101"/>
      <c r="D53" s="101"/>
      <c r="E53" s="101"/>
      <c r="G53" s="101"/>
      <c r="H53" s="101"/>
      <c r="I53" s="101"/>
      <c r="J53" s="14"/>
    </row>
    <row r="54" spans="1:10" x14ac:dyDescent="0.2">
      <c r="A54" s="839">
        <v>30</v>
      </c>
      <c r="B54">
        <v>2035</v>
      </c>
      <c r="C54" s="101"/>
      <c r="D54" s="101"/>
      <c r="E54" s="101"/>
      <c r="G54" s="101"/>
      <c r="H54" s="101"/>
      <c r="I54" s="101"/>
      <c r="J54" s="14"/>
    </row>
    <row r="55" spans="1:10" x14ac:dyDescent="0.2">
      <c r="A55" s="839">
        <v>31</v>
      </c>
      <c r="B55" s="842" t="s">
        <v>578</v>
      </c>
    </row>
    <row r="56" spans="1:10" x14ac:dyDescent="0.2">
      <c r="A56" s="839"/>
      <c r="B56" s="842"/>
    </row>
    <row r="57" spans="1:10" x14ac:dyDescent="0.2">
      <c r="A57" s="839"/>
      <c r="B57" s="45" t="s">
        <v>267</v>
      </c>
      <c r="C57" s="14"/>
      <c r="D57" s="14"/>
      <c r="E57" s="14"/>
      <c r="F57" s="14"/>
      <c r="G57" s="14"/>
      <c r="H57" s="14"/>
      <c r="I57" s="14"/>
      <c r="J57" s="14"/>
    </row>
    <row r="58" spans="1:10" x14ac:dyDescent="0.2">
      <c r="A58" s="839"/>
      <c r="B58" s="651" t="s">
        <v>2473</v>
      </c>
      <c r="C58" s="14"/>
      <c r="D58" s="14"/>
      <c r="E58" s="14"/>
      <c r="F58" s="14"/>
      <c r="G58" s="14"/>
      <c r="H58" s="14"/>
      <c r="I58" s="14"/>
      <c r="J58" s="14"/>
    </row>
    <row r="59" spans="1:10" x14ac:dyDescent="0.2">
      <c r="A59" s="839"/>
      <c r="B59" s="14"/>
      <c r="C59" s="14"/>
      <c r="D59" s="14"/>
      <c r="E59" s="14"/>
      <c r="F59" s="14"/>
      <c r="G59" s="14"/>
      <c r="H59" s="14"/>
      <c r="I59" s="14"/>
      <c r="J59" s="14"/>
    </row>
    <row r="60" spans="1:10" x14ac:dyDescent="0.2">
      <c r="A60" s="839"/>
      <c r="B60" s="45" t="s">
        <v>433</v>
      </c>
      <c r="C60" s="14"/>
      <c r="D60" s="14"/>
      <c r="E60" s="14"/>
      <c r="F60" s="14"/>
      <c r="G60" s="14"/>
      <c r="H60" s="14"/>
      <c r="I60" s="14"/>
      <c r="J60" s="14"/>
    </row>
    <row r="61" spans="1:10" x14ac:dyDescent="0.2">
      <c r="A61" s="839"/>
      <c r="B61" s="651" t="s">
        <v>434</v>
      </c>
      <c r="C61" s="14"/>
      <c r="D61" s="14"/>
      <c r="E61" s="14"/>
      <c r="F61" s="14"/>
      <c r="G61" s="14"/>
      <c r="H61" s="14"/>
      <c r="I61" s="14"/>
      <c r="J61" s="14"/>
    </row>
    <row r="62" spans="1:10" x14ac:dyDescent="0.2">
      <c r="A62" s="839"/>
      <c r="B62" s="648" t="s">
        <v>2474</v>
      </c>
      <c r="C62" s="14"/>
      <c r="D62" s="14"/>
      <c r="E62" s="14"/>
      <c r="F62" s="14"/>
      <c r="G62" s="14"/>
      <c r="H62" s="14"/>
      <c r="I62" s="14"/>
      <c r="J62" s="14"/>
    </row>
    <row r="63" spans="1:10" x14ac:dyDescent="0.2">
      <c r="A63" s="839"/>
      <c r="B63" s="648" t="s">
        <v>2475</v>
      </c>
      <c r="C63" s="14"/>
      <c r="D63" s="14"/>
      <c r="E63" s="14"/>
      <c r="F63" s="14"/>
      <c r="G63" s="14"/>
      <c r="H63" s="14"/>
      <c r="I63" s="14"/>
      <c r="J63" s="14"/>
    </row>
    <row r="64" spans="1:10" x14ac:dyDescent="0.2">
      <c r="A64" s="839"/>
      <c r="B64" s="648" t="s">
        <v>439</v>
      </c>
      <c r="C64" s="14"/>
      <c r="D64" s="14"/>
      <c r="E64" s="14"/>
      <c r="F64" s="14"/>
      <c r="G64" s="14"/>
      <c r="H64" s="14"/>
      <c r="I64" s="14"/>
      <c r="J64" s="14"/>
    </row>
    <row r="65" spans="1:10" x14ac:dyDescent="0.2">
      <c r="A65" s="839"/>
      <c r="B65" s="648" t="s">
        <v>440</v>
      </c>
      <c r="C65" s="14"/>
      <c r="D65" s="14"/>
      <c r="E65" s="14"/>
      <c r="F65" s="14"/>
      <c r="G65" s="14"/>
      <c r="H65" s="14"/>
      <c r="I65" s="14"/>
      <c r="J65" s="14"/>
    </row>
    <row r="66" spans="1:10" x14ac:dyDescent="0.2">
      <c r="B66" s="648" t="s">
        <v>437</v>
      </c>
      <c r="C66" s="14"/>
      <c r="D66" s="14"/>
      <c r="E66" s="14"/>
      <c r="F66" s="14"/>
      <c r="G66" s="14"/>
      <c r="H66" s="14"/>
      <c r="I66" s="14"/>
      <c r="J66" s="14"/>
    </row>
    <row r="67" spans="1:10" x14ac:dyDescent="0.2">
      <c r="B67" s="1097" t="s">
        <v>580</v>
      </c>
      <c r="C67" s="14"/>
      <c r="D67" s="14"/>
      <c r="E67" s="14"/>
      <c r="F67" s="14"/>
      <c r="G67" s="14"/>
      <c r="H67" s="14"/>
      <c r="I67" s="14"/>
      <c r="J67" s="14"/>
    </row>
    <row r="68" spans="1:10" x14ac:dyDescent="0.2">
      <c r="B68" s="651" t="s">
        <v>438</v>
      </c>
      <c r="C68" s="14"/>
      <c r="D68" s="14"/>
      <c r="E68" s="14"/>
      <c r="F68" s="14"/>
      <c r="G68" s="14"/>
      <c r="H68" s="14"/>
      <c r="I68" s="14"/>
      <c r="J68" s="14"/>
    </row>
    <row r="69" spans="1:10" x14ac:dyDescent="0.2">
      <c r="B69" s="651" t="s">
        <v>581</v>
      </c>
      <c r="C69" s="14"/>
      <c r="D69" s="14"/>
      <c r="E69" s="14"/>
      <c r="F69" s="14"/>
      <c r="G69" s="14"/>
      <c r="H69" s="14"/>
      <c r="I69" s="14"/>
      <c r="J69" s="14"/>
    </row>
  </sheetData>
  <pageMargins left="0.7" right="0.7" top="0.75" bottom="0.75" header="0.3" footer="0.3"/>
  <pageSetup scale="80" orientation="portrait" cellComments="asDisplayed" r:id="rId1"/>
  <headerFooter>
    <oddHeader>&amp;CSchedule 12
Abandoned Plant
&amp;"Arial,Bold"Exhibit G-1</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zoomScale="90" zoomScaleNormal="90" workbookViewId="0"/>
  </sheetViews>
  <sheetFormatPr defaultRowHeight="12.75" x14ac:dyDescent="0.2"/>
  <cols>
    <col min="1" max="1" width="4.7109375" customWidth="1"/>
    <col min="2" max="2" width="3.7109375" customWidth="1"/>
    <col min="3" max="3" width="14.7109375" customWidth="1"/>
    <col min="4" max="4" width="8.7109375" customWidth="1"/>
    <col min="5" max="5" width="15.28515625" customWidth="1"/>
    <col min="6" max="6" width="24.7109375" customWidth="1"/>
    <col min="7" max="7" width="35.7109375" customWidth="1"/>
  </cols>
  <sheetData>
    <row r="1" spans="1:7" x14ac:dyDescent="0.2">
      <c r="A1" s="1" t="s">
        <v>7</v>
      </c>
    </row>
    <row r="2" spans="1:7" x14ac:dyDescent="0.2">
      <c r="F2" s="44" t="s">
        <v>18</v>
      </c>
    </row>
    <row r="3" spans="1:7" x14ac:dyDescent="0.2">
      <c r="B3" s="1" t="s">
        <v>188</v>
      </c>
    </row>
    <row r="4" spans="1:7" x14ac:dyDescent="0.2">
      <c r="C4" s="12" t="s">
        <v>626</v>
      </c>
      <c r="E4" s="18"/>
      <c r="F4" s="28"/>
      <c r="G4" s="27"/>
    </row>
    <row r="5" spans="1:7" x14ac:dyDescent="0.2">
      <c r="C5" s="12" t="s">
        <v>627</v>
      </c>
      <c r="E5" s="18"/>
      <c r="F5" s="28"/>
      <c r="G5" s="27"/>
    </row>
    <row r="6" spans="1:7" x14ac:dyDescent="0.2">
      <c r="E6" s="18"/>
      <c r="F6" s="78"/>
      <c r="G6" s="27"/>
    </row>
    <row r="7" spans="1:7" x14ac:dyDescent="0.2">
      <c r="C7" s="21"/>
      <c r="D7" s="17"/>
      <c r="E7" s="26" t="s">
        <v>224</v>
      </c>
      <c r="F7" s="26" t="s">
        <v>2455</v>
      </c>
      <c r="G7" s="26"/>
    </row>
    <row r="8" spans="1:7" x14ac:dyDescent="0.2">
      <c r="A8" s="55" t="s">
        <v>362</v>
      </c>
      <c r="C8" s="25" t="s">
        <v>222</v>
      </c>
      <c r="D8" s="25" t="s">
        <v>223</v>
      </c>
      <c r="E8" s="25" t="s">
        <v>209</v>
      </c>
      <c r="F8" s="31" t="s">
        <v>2454</v>
      </c>
      <c r="G8" s="29" t="s">
        <v>198</v>
      </c>
    </row>
    <row r="9" spans="1:7" x14ac:dyDescent="0.2">
      <c r="A9" s="2">
        <v>1</v>
      </c>
      <c r="C9" s="19" t="s">
        <v>210</v>
      </c>
      <c r="D9" s="156">
        <v>2009</v>
      </c>
      <c r="E9" s="30" t="s">
        <v>625</v>
      </c>
      <c r="F9" s="68">
        <v>293865256</v>
      </c>
      <c r="G9" s="30" t="s">
        <v>97</v>
      </c>
    </row>
    <row r="10" spans="1:7" x14ac:dyDescent="0.2">
      <c r="A10" s="117">
        <f>A9+1</f>
        <v>2</v>
      </c>
      <c r="B10" s="14"/>
      <c r="C10" s="1098" t="s">
        <v>211</v>
      </c>
      <c r="D10" s="156">
        <v>2010</v>
      </c>
      <c r="E10" s="749" t="s">
        <v>35</v>
      </c>
      <c r="F10" s="113">
        <v>317633885.70999998</v>
      </c>
      <c r="G10" s="30"/>
    </row>
    <row r="11" spans="1:7" x14ac:dyDescent="0.2">
      <c r="A11" s="117">
        <f t="shared" ref="A11:A21" si="0">A10+1</f>
        <v>3</v>
      </c>
      <c r="B11" s="14"/>
      <c r="C11" s="1098" t="s">
        <v>212</v>
      </c>
      <c r="D11" s="156">
        <v>2010</v>
      </c>
      <c r="E11" s="749" t="s">
        <v>35</v>
      </c>
      <c r="F11" s="113">
        <v>299686186.64999998</v>
      </c>
      <c r="G11" s="30"/>
    </row>
    <row r="12" spans="1:7" x14ac:dyDescent="0.2">
      <c r="A12" s="117">
        <f t="shared" si="0"/>
        <v>4</v>
      </c>
      <c r="B12" s="14"/>
      <c r="C12" s="1098" t="s">
        <v>225</v>
      </c>
      <c r="D12" s="156">
        <v>2010</v>
      </c>
      <c r="E12" s="749" t="s">
        <v>35</v>
      </c>
      <c r="F12" s="113">
        <v>300954698.55000001</v>
      </c>
      <c r="G12" s="30"/>
    </row>
    <row r="13" spans="1:7" x14ac:dyDescent="0.2">
      <c r="A13" s="117">
        <f t="shared" si="0"/>
        <v>5</v>
      </c>
      <c r="B13" s="14"/>
      <c r="C13" s="1098" t="s">
        <v>213</v>
      </c>
      <c r="D13" s="156">
        <v>2010</v>
      </c>
      <c r="E13" s="749" t="s">
        <v>35</v>
      </c>
      <c r="F13" s="113">
        <v>342508632.24000001</v>
      </c>
      <c r="G13" s="30"/>
    </row>
    <row r="14" spans="1:7" x14ac:dyDescent="0.2">
      <c r="A14" s="117">
        <f t="shared" si="0"/>
        <v>6</v>
      </c>
      <c r="B14" s="14"/>
      <c r="C14" s="1098" t="s">
        <v>214</v>
      </c>
      <c r="D14" s="156">
        <v>2010</v>
      </c>
      <c r="E14" s="749" t="s">
        <v>35</v>
      </c>
      <c r="F14" s="113">
        <v>301145470.77999997</v>
      </c>
      <c r="G14" s="30"/>
    </row>
    <row r="15" spans="1:7" x14ac:dyDescent="0.2">
      <c r="A15" s="117">
        <f t="shared" si="0"/>
        <v>7</v>
      </c>
      <c r="B15" s="14"/>
      <c r="C15" s="1098" t="s">
        <v>1920</v>
      </c>
      <c r="D15" s="156">
        <v>2010</v>
      </c>
      <c r="E15" s="749" t="s">
        <v>35</v>
      </c>
      <c r="F15" s="113">
        <v>302948972.14999998</v>
      </c>
      <c r="G15" s="30"/>
    </row>
    <row r="16" spans="1:7" x14ac:dyDescent="0.2">
      <c r="A16" s="117">
        <f t="shared" si="0"/>
        <v>8</v>
      </c>
      <c r="B16" s="14"/>
      <c r="C16" s="1098" t="s">
        <v>216</v>
      </c>
      <c r="D16" s="156">
        <v>2010</v>
      </c>
      <c r="E16" s="749" t="s">
        <v>35</v>
      </c>
      <c r="F16" s="113">
        <v>304456371.45999998</v>
      </c>
      <c r="G16" s="30"/>
    </row>
    <row r="17" spans="1:7" x14ac:dyDescent="0.2">
      <c r="A17" s="117">
        <f t="shared" si="0"/>
        <v>9</v>
      </c>
      <c r="B17" s="14"/>
      <c r="C17" s="1098" t="s">
        <v>217</v>
      </c>
      <c r="D17" s="156">
        <v>2010</v>
      </c>
      <c r="E17" s="749" t="s">
        <v>35</v>
      </c>
      <c r="F17" s="113">
        <v>311399336.54000002</v>
      </c>
      <c r="G17" s="30"/>
    </row>
    <row r="18" spans="1:7" x14ac:dyDescent="0.2">
      <c r="A18" s="117">
        <f t="shared" si="0"/>
        <v>10</v>
      </c>
      <c r="B18" s="14"/>
      <c r="C18" s="1098" t="s">
        <v>218</v>
      </c>
      <c r="D18" s="156">
        <v>2010</v>
      </c>
      <c r="E18" s="749" t="s">
        <v>35</v>
      </c>
      <c r="F18" s="113">
        <v>305198475.5</v>
      </c>
      <c r="G18" s="30"/>
    </row>
    <row r="19" spans="1:7" x14ac:dyDescent="0.2">
      <c r="A19" s="117">
        <f t="shared" si="0"/>
        <v>11</v>
      </c>
      <c r="B19" s="14"/>
      <c r="C19" s="1098" t="s">
        <v>221</v>
      </c>
      <c r="D19" s="156">
        <v>2010</v>
      </c>
      <c r="E19" s="749" t="s">
        <v>35</v>
      </c>
      <c r="F19" s="113">
        <v>305353621.67000002</v>
      </c>
      <c r="G19" s="30"/>
    </row>
    <row r="20" spans="1:7" x14ac:dyDescent="0.2">
      <c r="A20" s="117">
        <f t="shared" si="0"/>
        <v>12</v>
      </c>
      <c r="B20" s="14"/>
      <c r="C20" s="1098" t="s">
        <v>220</v>
      </c>
      <c r="D20" s="156">
        <v>2010</v>
      </c>
      <c r="E20" s="749" t="s">
        <v>35</v>
      </c>
      <c r="F20" s="738">
        <v>306727750.64999998</v>
      </c>
      <c r="G20" s="30"/>
    </row>
    <row r="21" spans="1:7" x14ac:dyDescent="0.2">
      <c r="A21" s="117">
        <f t="shared" si="0"/>
        <v>13</v>
      </c>
      <c r="B21" s="14"/>
      <c r="C21" s="21" t="s">
        <v>210</v>
      </c>
      <c r="D21" s="156">
        <v>2010</v>
      </c>
      <c r="E21" s="30" t="s">
        <v>624</v>
      </c>
      <c r="F21" s="68">
        <v>310981122</v>
      </c>
      <c r="G21" s="16" t="s">
        <v>103</v>
      </c>
    </row>
    <row r="22" spans="1:7" x14ac:dyDescent="0.2">
      <c r="C22" s="22"/>
      <c r="D22" s="22"/>
      <c r="E22" s="18"/>
      <c r="G22" s="30"/>
    </row>
    <row r="23" spans="1:7" x14ac:dyDescent="0.2">
      <c r="A23" s="117">
        <f>A21+1</f>
        <v>14</v>
      </c>
      <c r="B23" s="14"/>
      <c r="C23" s="22"/>
      <c r="D23" s="22"/>
      <c r="E23" s="741" t="s">
        <v>2758</v>
      </c>
      <c r="F23" s="1099">
        <f>SUM(F9:F21)/13</f>
        <v>307912290.76153845</v>
      </c>
      <c r="G23" s="120" t="str">
        <f>"(Sum Line "&amp;A9&amp;" to Line "&amp;A21&amp;") / 13"</f>
        <v>(Sum Line 1 to Line 13) / 13</v>
      </c>
    </row>
    <row r="24" spans="1:7" x14ac:dyDescent="0.2">
      <c r="A24" s="117">
        <f>A23+1</f>
        <v>15</v>
      </c>
      <c r="B24" s="14"/>
      <c r="C24" s="22"/>
      <c r="D24" s="22"/>
      <c r="E24" s="34" t="s">
        <v>352</v>
      </c>
      <c r="F24" s="115">
        <f>'27-Allocators'!G15</f>
        <v>4.0090597826729017E-2</v>
      </c>
      <c r="G24" s="120" t="str">
        <f>"27-Allocators, Line "&amp;'27-Allocators'!A15&amp;""</f>
        <v>27-Allocators, Line 9</v>
      </c>
    </row>
    <row r="25" spans="1:7" x14ac:dyDescent="0.2">
      <c r="A25" s="14"/>
      <c r="B25" s="14"/>
      <c r="C25" s="14"/>
      <c r="D25" s="22"/>
      <c r="E25" s="34"/>
      <c r="F25" s="33"/>
      <c r="G25" s="120"/>
    </row>
    <row r="26" spans="1:7" x14ac:dyDescent="0.2">
      <c r="A26" s="117">
        <f>A24+1</f>
        <v>16</v>
      </c>
      <c r="B26" s="14"/>
      <c r="C26" s="22" t="s">
        <v>105</v>
      </c>
      <c r="D26" s="22"/>
      <c r="E26" s="390" t="s">
        <v>176</v>
      </c>
      <c r="F26" s="33">
        <f>F21*F24</f>
        <v>12467419.093806952</v>
      </c>
      <c r="G26" s="47" t="str">
        <f>"Line "&amp;A21&amp;" * Line "&amp;A24&amp;""</f>
        <v>Line 13 * Line 15</v>
      </c>
    </row>
    <row r="27" spans="1:7" x14ac:dyDescent="0.2">
      <c r="A27" s="117">
        <f>A26+1</f>
        <v>17</v>
      </c>
      <c r="B27" s="14"/>
      <c r="C27" s="22"/>
      <c r="D27" s="22"/>
      <c r="E27" s="741" t="s">
        <v>2759</v>
      </c>
      <c r="F27" s="33">
        <f>F23*F24</f>
        <v>12344387.814827686</v>
      </c>
      <c r="G27" s="47" t="str">
        <f>"Line "&amp;A23&amp;" * Line "&amp;A24&amp;""</f>
        <v>Line 14 * Line 15</v>
      </c>
    </row>
    <row r="28" spans="1:7" x14ac:dyDescent="0.2">
      <c r="A28" s="14"/>
      <c r="B28" s="14"/>
      <c r="C28" s="14"/>
      <c r="D28" s="14"/>
      <c r="E28" s="14"/>
      <c r="F28" s="14"/>
      <c r="G28" s="14"/>
    </row>
    <row r="29" spans="1:7" x14ac:dyDescent="0.2">
      <c r="A29" s="14"/>
      <c r="B29" s="45" t="s">
        <v>186</v>
      </c>
      <c r="C29" s="14"/>
      <c r="D29" s="14"/>
      <c r="E29" s="14"/>
      <c r="F29" s="14"/>
      <c r="G29" s="14"/>
    </row>
    <row r="30" spans="1:7" x14ac:dyDescent="0.2">
      <c r="A30" s="14"/>
      <c r="B30" s="14"/>
      <c r="C30" s="14" t="s">
        <v>8</v>
      </c>
      <c r="D30" s="14"/>
      <c r="E30" s="759"/>
      <c r="F30" s="28"/>
      <c r="G30" s="27"/>
    </row>
    <row r="31" spans="1:7" x14ac:dyDescent="0.2">
      <c r="A31" s="14"/>
      <c r="B31" s="14"/>
      <c r="C31" s="14" t="s">
        <v>2597</v>
      </c>
      <c r="D31" s="14"/>
      <c r="E31" s="759"/>
      <c r="F31" s="28"/>
      <c r="G31" s="27"/>
    </row>
    <row r="32" spans="1:7" x14ac:dyDescent="0.2">
      <c r="A32" s="14"/>
      <c r="B32" s="14"/>
      <c r="C32" s="21"/>
      <c r="D32" s="285"/>
      <c r="E32" s="506" t="s">
        <v>224</v>
      </c>
      <c r="F32" s="78" t="s">
        <v>279</v>
      </c>
      <c r="G32" s="506"/>
    </row>
    <row r="33" spans="1:7" x14ac:dyDescent="0.2">
      <c r="C33" s="25" t="s">
        <v>222</v>
      </c>
      <c r="D33" s="25" t="s">
        <v>223</v>
      </c>
      <c r="E33" s="25" t="s">
        <v>209</v>
      </c>
      <c r="F33" s="31" t="s">
        <v>3</v>
      </c>
      <c r="G33" s="29" t="s">
        <v>198</v>
      </c>
    </row>
    <row r="34" spans="1:7" x14ac:dyDescent="0.2">
      <c r="A34" s="117">
        <f>A27+1</f>
        <v>18</v>
      </c>
      <c r="B34" s="14"/>
      <c r="C34" s="312" t="s">
        <v>210</v>
      </c>
      <c r="D34" s="156">
        <v>2009</v>
      </c>
      <c r="E34" s="749" t="s">
        <v>2622</v>
      </c>
      <c r="F34" s="742">
        <f>F63</f>
        <v>47097165</v>
      </c>
      <c r="G34" s="749" t="str">
        <f>"See Note 1, "&amp;B63&amp;""</f>
        <v>See Note 1, c</v>
      </c>
    </row>
    <row r="35" spans="1:7" x14ac:dyDescent="0.2">
      <c r="A35" s="117">
        <f>A34+1</f>
        <v>19</v>
      </c>
      <c r="B35" s="14"/>
      <c r="C35" s="1098" t="s">
        <v>211</v>
      </c>
      <c r="D35" s="156">
        <v>2010</v>
      </c>
      <c r="E35" s="749" t="s">
        <v>35</v>
      </c>
      <c r="F35" s="863">
        <v>42724210.549999997</v>
      </c>
      <c r="G35" s="749"/>
    </row>
    <row r="36" spans="1:7" x14ac:dyDescent="0.2">
      <c r="A36" s="117">
        <f t="shared" ref="A36:A46" si="1">A35+1</f>
        <v>20</v>
      </c>
      <c r="B36" s="14"/>
      <c r="C36" s="1098" t="s">
        <v>212</v>
      </c>
      <c r="D36" s="156">
        <v>2010</v>
      </c>
      <c r="E36" s="749" t="s">
        <v>35</v>
      </c>
      <c r="F36" s="863">
        <v>36390677.299999997</v>
      </c>
      <c r="G36" s="749"/>
    </row>
    <row r="37" spans="1:7" x14ac:dyDescent="0.2">
      <c r="A37" s="117">
        <f t="shared" si="1"/>
        <v>21</v>
      </c>
      <c r="B37" s="14"/>
      <c r="C37" s="1098" t="s">
        <v>225</v>
      </c>
      <c r="D37" s="156">
        <v>2010</v>
      </c>
      <c r="E37" s="749" t="s">
        <v>35</v>
      </c>
      <c r="F37" s="863">
        <v>79490765.920000002</v>
      </c>
      <c r="G37" s="749"/>
    </row>
    <row r="38" spans="1:7" x14ac:dyDescent="0.2">
      <c r="A38" s="117">
        <f t="shared" si="1"/>
        <v>22</v>
      </c>
      <c r="B38" s="14"/>
      <c r="C38" s="1098" t="s">
        <v>213</v>
      </c>
      <c r="D38" s="156">
        <v>2010</v>
      </c>
      <c r="E38" s="749" t="s">
        <v>35</v>
      </c>
      <c r="F38" s="863">
        <v>68066575.760000005</v>
      </c>
      <c r="G38" s="749"/>
    </row>
    <row r="39" spans="1:7" x14ac:dyDescent="0.2">
      <c r="A39" s="117">
        <f t="shared" si="1"/>
        <v>23</v>
      </c>
      <c r="B39" s="14"/>
      <c r="C39" s="1098" t="s">
        <v>214</v>
      </c>
      <c r="D39" s="156">
        <v>2010</v>
      </c>
      <c r="E39" s="749" t="s">
        <v>35</v>
      </c>
      <c r="F39" s="863">
        <v>48159798.770000003</v>
      </c>
      <c r="G39" s="749"/>
    </row>
    <row r="40" spans="1:7" x14ac:dyDescent="0.2">
      <c r="A40" s="117">
        <f t="shared" si="1"/>
        <v>24</v>
      </c>
      <c r="B40" s="14"/>
      <c r="C40" s="1098" t="s">
        <v>1920</v>
      </c>
      <c r="D40" s="156">
        <v>2010</v>
      </c>
      <c r="E40" s="749" t="s">
        <v>35</v>
      </c>
      <c r="F40" s="863">
        <v>38744251.810000002</v>
      </c>
      <c r="G40" s="749"/>
    </row>
    <row r="41" spans="1:7" x14ac:dyDescent="0.2">
      <c r="A41" s="117">
        <f t="shared" si="1"/>
        <v>25</v>
      </c>
      <c r="B41" s="14"/>
      <c r="C41" s="1098" t="s">
        <v>216</v>
      </c>
      <c r="D41" s="156">
        <v>2010</v>
      </c>
      <c r="E41" s="749" t="s">
        <v>35</v>
      </c>
      <c r="F41" s="863">
        <v>33055146.280000001</v>
      </c>
      <c r="G41" s="749"/>
    </row>
    <row r="42" spans="1:7" x14ac:dyDescent="0.2">
      <c r="A42" s="117">
        <f t="shared" si="1"/>
        <v>26</v>
      </c>
      <c r="B42" s="14"/>
      <c r="C42" s="1098" t="s">
        <v>217</v>
      </c>
      <c r="D42" s="156">
        <v>2010</v>
      </c>
      <c r="E42" s="749" t="s">
        <v>35</v>
      </c>
      <c r="F42" s="863">
        <v>32168765.579999998</v>
      </c>
      <c r="G42" s="749"/>
    </row>
    <row r="43" spans="1:7" x14ac:dyDescent="0.2">
      <c r="A43" s="117">
        <f t="shared" si="1"/>
        <v>27</v>
      </c>
      <c r="B43" s="14"/>
      <c r="C43" s="1098" t="s">
        <v>218</v>
      </c>
      <c r="D43" s="156">
        <v>2010</v>
      </c>
      <c r="E43" s="749" t="s">
        <v>35</v>
      </c>
      <c r="F43" s="863">
        <v>58603946.219999999</v>
      </c>
      <c r="G43" s="749"/>
    </row>
    <row r="44" spans="1:7" x14ac:dyDescent="0.2">
      <c r="A44" s="117">
        <f t="shared" si="1"/>
        <v>28</v>
      </c>
      <c r="B44" s="14"/>
      <c r="C44" s="1098" t="s">
        <v>221</v>
      </c>
      <c r="D44" s="156">
        <v>2010</v>
      </c>
      <c r="E44" s="749" t="s">
        <v>35</v>
      </c>
      <c r="F44" s="863">
        <v>55411207.090000004</v>
      </c>
      <c r="G44" s="749"/>
    </row>
    <row r="45" spans="1:7" x14ac:dyDescent="0.2">
      <c r="A45" s="117">
        <f t="shared" si="1"/>
        <v>29</v>
      </c>
      <c r="B45" s="14"/>
      <c r="C45" s="1098" t="s">
        <v>220</v>
      </c>
      <c r="D45" s="156">
        <v>2010</v>
      </c>
      <c r="E45" s="749" t="s">
        <v>35</v>
      </c>
      <c r="F45" s="863">
        <v>-30080659.719999999</v>
      </c>
      <c r="G45" s="749"/>
    </row>
    <row r="46" spans="1:7" x14ac:dyDescent="0.2">
      <c r="A46" s="117">
        <f t="shared" si="1"/>
        <v>30</v>
      </c>
      <c r="B46" s="14"/>
      <c r="C46" s="21" t="s">
        <v>210</v>
      </c>
      <c r="D46" s="156">
        <v>2010</v>
      </c>
      <c r="E46" s="749" t="s">
        <v>2599</v>
      </c>
      <c r="F46" s="33">
        <f>F69</f>
        <v>49976455</v>
      </c>
      <c r="G46" s="749" t="str">
        <f>"See Note 1, "&amp;B69&amp;""</f>
        <v>See Note 1, f</v>
      </c>
    </row>
    <row r="47" spans="1:7" x14ac:dyDescent="0.2">
      <c r="A47" s="14"/>
      <c r="B47" s="14"/>
      <c r="C47" s="21"/>
      <c r="D47" s="24"/>
      <c r="E47" s="23"/>
      <c r="F47" s="33"/>
      <c r="G47" s="16"/>
    </row>
    <row r="48" spans="1:7" x14ac:dyDescent="0.2">
      <c r="A48" s="14"/>
      <c r="B48" s="14"/>
      <c r="C48" s="930" t="s">
        <v>2595</v>
      </c>
      <c r="D48" s="930"/>
      <c r="E48" s="1100"/>
      <c r="F48" s="14"/>
      <c r="G48" s="30"/>
    </row>
    <row r="49" spans="1:8" x14ac:dyDescent="0.2">
      <c r="A49" s="117">
        <f>A46+1</f>
        <v>31</v>
      </c>
      <c r="B49" s="14"/>
      <c r="C49" s="22"/>
      <c r="D49" s="22"/>
      <c r="E49" s="973" t="s">
        <v>2596</v>
      </c>
      <c r="F49" s="1099">
        <f>SUM(F34:F46)/13</f>
        <v>43062177.350769229</v>
      </c>
      <c r="G49" s="120" t="str">
        <f>"(Sum Line "&amp;A34&amp;" to Line "&amp;A46&amp;") / 13"</f>
        <v>(Sum Line 18 to Line 30) / 13</v>
      </c>
    </row>
    <row r="50" spans="1:8" x14ac:dyDescent="0.2">
      <c r="A50" s="117">
        <f>A49+1</f>
        <v>32</v>
      </c>
      <c r="B50" s="14"/>
      <c r="C50" s="22"/>
      <c r="D50" s="22"/>
      <c r="E50" s="34" t="s">
        <v>352</v>
      </c>
      <c r="F50" s="36">
        <f>'27-Allocators'!G15</f>
        <v>4.0090597826729017E-2</v>
      </c>
      <c r="G50" s="120" t="str">
        <f>"27-Allocators, Line "&amp;'27-Allocators'!A15&amp;""</f>
        <v>27-Allocators, Line 9</v>
      </c>
    </row>
    <row r="51" spans="1:8" x14ac:dyDescent="0.2">
      <c r="A51" s="117">
        <f>A50+1</f>
        <v>33</v>
      </c>
      <c r="B51" s="14"/>
      <c r="C51" s="22"/>
      <c r="D51" s="22"/>
      <c r="E51" s="1101" t="s">
        <v>191</v>
      </c>
      <c r="F51" s="33">
        <f>F49*F50</f>
        <v>1726388.4337129684</v>
      </c>
      <c r="G51" s="47" t="str">
        <f>"Line "&amp;A49&amp;" * Line "&amp;A50&amp;""</f>
        <v>Line 31 * Line 32</v>
      </c>
    </row>
    <row r="52" spans="1:8" x14ac:dyDescent="0.2">
      <c r="A52" s="14"/>
      <c r="B52" s="14"/>
      <c r="C52" s="22" t="s">
        <v>278</v>
      </c>
      <c r="D52" s="22"/>
      <c r="E52" s="759"/>
      <c r="F52" s="14"/>
      <c r="G52" s="35"/>
    </row>
    <row r="53" spans="1:8" x14ac:dyDescent="0.2">
      <c r="A53" s="117">
        <f>A51+1</f>
        <v>34</v>
      </c>
      <c r="B53" s="14"/>
      <c r="C53" s="22"/>
      <c r="D53" s="22"/>
      <c r="E53" s="34" t="s">
        <v>176</v>
      </c>
      <c r="F53" s="33">
        <f>F46</f>
        <v>49976455</v>
      </c>
      <c r="G53" s="35" t="str">
        <f>"Line "&amp;A46&amp;""</f>
        <v>Line 30</v>
      </c>
    </row>
    <row r="54" spans="1:8" x14ac:dyDescent="0.2">
      <c r="A54" s="117">
        <f>A53+1</f>
        <v>35</v>
      </c>
      <c r="B54" s="14"/>
      <c r="C54" s="22"/>
      <c r="D54" s="22"/>
      <c r="E54" s="34" t="s">
        <v>352</v>
      </c>
      <c r="F54" s="36">
        <f>'27-Allocators'!G15</f>
        <v>4.0090597826729017E-2</v>
      </c>
      <c r="G54" s="120" t="str">
        <f>"27-Allocators, Line "&amp;'27-Allocators'!A15&amp;""</f>
        <v>27-Allocators, Line 9</v>
      </c>
    </row>
    <row r="55" spans="1:8" x14ac:dyDescent="0.2">
      <c r="A55" s="117">
        <f>A54+1</f>
        <v>36</v>
      </c>
      <c r="B55" s="14"/>
      <c r="C55" s="22"/>
      <c r="D55" s="22"/>
      <c r="E55" s="1101" t="s">
        <v>191</v>
      </c>
      <c r="F55" s="33">
        <f>F53*F54</f>
        <v>2003585.9582106206</v>
      </c>
      <c r="G55" s="47" t="str">
        <f>"Line "&amp;A53&amp;" * Line "&amp;A54&amp;""</f>
        <v>Line 34 * Line 35</v>
      </c>
    </row>
    <row r="56" spans="1:8" x14ac:dyDescent="0.2">
      <c r="A56" s="14"/>
      <c r="B56" s="1067" t="s">
        <v>267</v>
      </c>
      <c r="C56" s="15"/>
      <c r="D56" s="14"/>
      <c r="E56" s="14"/>
      <c r="F56" s="14"/>
      <c r="G56" s="14"/>
    </row>
    <row r="57" spans="1:8" x14ac:dyDescent="0.2">
      <c r="B57" t="s">
        <v>2451</v>
      </c>
      <c r="C57" s="649" t="str">
        <f>"Remove any amounts related to years prior to the effective date of the formula on "&amp;B62&amp;" and "&amp;B68&amp;" below."</f>
        <v>Remove any amounts related to years prior to the effective date of the formula on b and e below.</v>
      </c>
    </row>
    <row r="58" spans="1:8" x14ac:dyDescent="0.2">
      <c r="A58" s="2"/>
      <c r="E58" s="98"/>
      <c r="F58" s="7"/>
      <c r="G58" s="439"/>
      <c r="H58" s="1"/>
    </row>
    <row r="59" spans="1:8" x14ac:dyDescent="0.2">
      <c r="A59" s="2"/>
      <c r="C59" s="649" t="s">
        <v>3185</v>
      </c>
      <c r="E59" s="98"/>
      <c r="F59" s="78" t="s">
        <v>106</v>
      </c>
      <c r="G59" s="120"/>
    </row>
    <row r="60" spans="1:8" x14ac:dyDescent="0.2">
      <c r="A60" s="2"/>
      <c r="E60" s="98"/>
      <c r="F60" s="31" t="s">
        <v>3</v>
      </c>
      <c r="G60" s="440" t="s">
        <v>209</v>
      </c>
    </row>
    <row r="61" spans="1:8" x14ac:dyDescent="0.2">
      <c r="A61" s="835"/>
      <c r="B61" s="838" t="s">
        <v>2462</v>
      </c>
      <c r="C61" s="19"/>
      <c r="E61" s="647" t="s">
        <v>2452</v>
      </c>
      <c r="F61" s="68">
        <v>47097165</v>
      </c>
      <c r="G61" s="30" t="s">
        <v>189</v>
      </c>
    </row>
    <row r="62" spans="1:8" x14ac:dyDescent="0.2">
      <c r="A62" s="835"/>
      <c r="B62" s="838" t="s">
        <v>2463</v>
      </c>
      <c r="E62" s="647" t="s">
        <v>2461</v>
      </c>
      <c r="F62" s="123">
        <v>0</v>
      </c>
      <c r="G62" s="653" t="s">
        <v>407</v>
      </c>
    </row>
    <row r="63" spans="1:8" x14ac:dyDescent="0.2">
      <c r="A63" s="835"/>
      <c r="B63" s="838" t="s">
        <v>2464</v>
      </c>
      <c r="E63" s="37" t="s">
        <v>2453</v>
      </c>
      <c r="F63" s="7">
        <f>F61-F62</f>
        <v>47097165</v>
      </c>
      <c r="G63" s="13" t="str">
        <f>""&amp;B61&amp;" - "&amp;B62&amp;""</f>
        <v>a - b</v>
      </c>
    </row>
    <row r="64" spans="1:8" x14ac:dyDescent="0.2">
      <c r="A64" s="835"/>
    </row>
    <row r="65" spans="1:7" x14ac:dyDescent="0.2">
      <c r="A65" s="835"/>
      <c r="C65" s="649" t="s">
        <v>3184</v>
      </c>
      <c r="E65" s="98"/>
      <c r="F65" s="78" t="s">
        <v>106</v>
      </c>
      <c r="G65" s="120"/>
    </row>
    <row r="66" spans="1:7" x14ac:dyDescent="0.2">
      <c r="A66" s="835"/>
      <c r="E66" s="98"/>
      <c r="F66" s="31" t="s">
        <v>3</v>
      </c>
      <c r="G66" s="440" t="s">
        <v>209</v>
      </c>
    </row>
    <row r="67" spans="1:7" x14ac:dyDescent="0.2">
      <c r="A67" s="835"/>
      <c r="B67" s="838" t="s">
        <v>2465</v>
      </c>
      <c r="C67" s="19"/>
      <c r="E67" s="647" t="s">
        <v>2452</v>
      </c>
      <c r="F67" s="68">
        <v>132347508</v>
      </c>
      <c r="G67" s="30" t="s">
        <v>190</v>
      </c>
    </row>
    <row r="68" spans="1:7" x14ac:dyDescent="0.2">
      <c r="A68" s="835"/>
      <c r="B68" s="838" t="s">
        <v>2466</v>
      </c>
      <c r="E68" s="647" t="s">
        <v>2461</v>
      </c>
      <c r="F68" s="123">
        <v>82371053</v>
      </c>
      <c r="G68" s="653" t="s">
        <v>407</v>
      </c>
    </row>
    <row r="69" spans="1:7" x14ac:dyDescent="0.2">
      <c r="A69" s="835"/>
      <c r="B69" s="838" t="s">
        <v>2467</v>
      </c>
      <c r="D69" s="14"/>
      <c r="E69" s="647" t="s">
        <v>2508</v>
      </c>
      <c r="F69" s="7">
        <f>F67-F68</f>
        <v>49976455</v>
      </c>
      <c r="G69" s="13" t="str">
        <f>""&amp;B67&amp;" - "&amp;B68&amp;""</f>
        <v>d - e</v>
      </c>
    </row>
    <row r="73" spans="1:7" x14ac:dyDescent="0.2">
      <c r="F73" s="836"/>
    </row>
  </sheetData>
  <phoneticPr fontId="10" type="noConversion"/>
  <pageMargins left="0.75" right="0.75" top="1" bottom="1" header="0.5" footer="0.5"/>
  <pageSetup scale="75" orientation="portrait" cellComments="asDisplayed" r:id="rId1"/>
  <headerFooter alignWithMargins="0">
    <oddHeader>&amp;CSchedule 13
Working Capital
&amp;"Arial,Bold"Exhibit G-1</oddHeader>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 t="s">
        <v>281</v>
      </c>
    </row>
    <row r="2" spans="1:10" x14ac:dyDescent="0.2">
      <c r="A2" s="1" t="s">
        <v>282</v>
      </c>
    </row>
    <row r="3" spans="1:10" x14ac:dyDescent="0.2">
      <c r="B3" s="1"/>
      <c r="H3" s="198" t="s">
        <v>283</v>
      </c>
      <c r="I3" s="101"/>
      <c r="J3" s="58"/>
    </row>
    <row r="4" spans="1:10" x14ac:dyDescent="0.2">
      <c r="B4" s="1" t="s">
        <v>284</v>
      </c>
    </row>
    <row r="5" spans="1:10" x14ac:dyDescent="0.2">
      <c r="B5" s="57" t="s">
        <v>285</v>
      </c>
    </row>
    <row r="6" spans="1:10" x14ac:dyDescent="0.2">
      <c r="B6" s="57" t="s">
        <v>340</v>
      </c>
    </row>
    <row r="7" spans="1:10" x14ac:dyDescent="0.2">
      <c r="B7" s="109" t="s">
        <v>1106</v>
      </c>
    </row>
    <row r="8" spans="1:10" x14ac:dyDescent="0.2">
      <c r="B8" s="109" t="s">
        <v>1980</v>
      </c>
    </row>
    <row r="9" spans="1:10" x14ac:dyDescent="0.2">
      <c r="B9" s="109" t="s">
        <v>1981</v>
      </c>
      <c r="D9" s="1"/>
      <c r="E9" s="1"/>
    </row>
    <row r="10" spans="1:10" x14ac:dyDescent="0.2">
      <c r="B10" s="57"/>
    </row>
    <row r="11" spans="1:10" x14ac:dyDescent="0.2">
      <c r="B11" s="57"/>
      <c r="C11" s="12" t="s">
        <v>403</v>
      </c>
    </row>
    <row r="12" spans="1:10" x14ac:dyDescent="0.2">
      <c r="B12" s="57"/>
      <c r="C12" s="653" t="s">
        <v>1983</v>
      </c>
    </row>
    <row r="13" spans="1:10" x14ac:dyDescent="0.2">
      <c r="B13" s="57"/>
      <c r="C13" s="648" t="s">
        <v>2623</v>
      </c>
      <c r="D13" s="14"/>
      <c r="E13" s="14"/>
      <c r="F13" s="14"/>
      <c r="G13" s="14"/>
      <c r="H13" s="14"/>
    </row>
    <row r="14" spans="1:10" x14ac:dyDescent="0.2">
      <c r="B14" s="57"/>
      <c r="C14" s="653" t="s">
        <v>1984</v>
      </c>
    </row>
    <row r="15" spans="1:10" x14ac:dyDescent="0.2">
      <c r="B15" s="57"/>
      <c r="C15" s="728" t="s">
        <v>1985</v>
      </c>
    </row>
    <row r="16" spans="1:10" x14ac:dyDescent="0.2">
      <c r="B16" s="57"/>
      <c r="C16" s="653" t="s">
        <v>1987</v>
      </c>
    </row>
    <row r="17" spans="1:10" x14ac:dyDescent="0.2">
      <c r="B17" s="57"/>
      <c r="C17" s="653" t="s">
        <v>1986</v>
      </c>
    </row>
    <row r="18" spans="1:10" x14ac:dyDescent="0.2">
      <c r="B18" s="57"/>
      <c r="C18" s="13"/>
    </row>
    <row r="19" spans="1:10" x14ac:dyDescent="0.2">
      <c r="C19" s="1" t="s">
        <v>1105</v>
      </c>
    </row>
    <row r="20" spans="1:10" x14ac:dyDescent="0.2">
      <c r="C20" s="1"/>
      <c r="E20" s="3" t="s">
        <v>406</v>
      </c>
      <c r="F20" s="3" t="s">
        <v>390</v>
      </c>
      <c r="G20" s="3" t="s">
        <v>391</v>
      </c>
    </row>
    <row r="21" spans="1:10" x14ac:dyDescent="0.2">
      <c r="B21" s="1"/>
      <c r="F21" s="2" t="s">
        <v>75</v>
      </c>
      <c r="G21" s="2" t="s">
        <v>19</v>
      </c>
    </row>
    <row r="22" spans="1:10" x14ac:dyDescent="0.2">
      <c r="B22" s="1"/>
      <c r="E22" s="2" t="s">
        <v>75</v>
      </c>
      <c r="F22" s="4" t="s">
        <v>265</v>
      </c>
      <c r="G22" s="2" t="s">
        <v>339</v>
      </c>
    </row>
    <row r="23" spans="1:10" x14ac:dyDescent="0.2">
      <c r="B23" s="1"/>
      <c r="C23" s="12"/>
      <c r="E23" s="2" t="s">
        <v>264</v>
      </c>
      <c r="F23" s="2" t="s">
        <v>266</v>
      </c>
      <c r="G23" s="2" t="s">
        <v>2</v>
      </c>
    </row>
    <row r="24" spans="1:10" x14ac:dyDescent="0.2">
      <c r="B24" s="1"/>
      <c r="C24" s="2" t="s">
        <v>9</v>
      </c>
      <c r="E24" s="2" t="s">
        <v>277</v>
      </c>
      <c r="F24" s="2" t="s">
        <v>277</v>
      </c>
      <c r="G24" s="4" t="s">
        <v>11</v>
      </c>
    </row>
    <row r="25" spans="1:10" x14ac:dyDescent="0.2">
      <c r="A25" s="53" t="s">
        <v>372</v>
      </c>
      <c r="B25" s="1"/>
      <c r="C25" s="3" t="s">
        <v>261</v>
      </c>
      <c r="E25" s="3" t="s">
        <v>205</v>
      </c>
      <c r="F25" s="3" t="s">
        <v>205</v>
      </c>
      <c r="G25" s="3" t="s">
        <v>205</v>
      </c>
      <c r="H25" s="3" t="s">
        <v>267</v>
      </c>
      <c r="I25" s="52"/>
      <c r="J25" s="52"/>
    </row>
    <row r="26" spans="1:10" x14ac:dyDescent="0.2">
      <c r="A26" s="2">
        <v>1</v>
      </c>
      <c r="B26" s="1"/>
      <c r="C26" s="12" t="s">
        <v>381</v>
      </c>
      <c r="E26" s="7">
        <f>'10-CWIP'!E25</f>
        <v>581251930.19000006</v>
      </c>
      <c r="F26" s="7">
        <f>'10-CWIP'!E26</f>
        <v>297083743.84538466</v>
      </c>
      <c r="G26" s="7">
        <f>'10-CWIP'!K107</f>
        <v>390683326.58493894</v>
      </c>
      <c r="H26" s="47" t="str">
        <f>"10-CWIP Lines "&amp;'10-CWIP'!A25&amp;", "&amp;'10-CWIP'!A26&amp;", and "&amp;'10-CWIP'!A107&amp;""</f>
        <v>10-CWIP Lines 13, 14, and 74</v>
      </c>
    </row>
    <row r="27" spans="1:10" x14ac:dyDescent="0.2">
      <c r="A27" s="2">
        <f t="shared" ref="A27:A37" si="0">A26+1</f>
        <v>2</v>
      </c>
      <c r="B27" s="1"/>
      <c r="C27" s="12" t="s">
        <v>382</v>
      </c>
      <c r="E27" s="7">
        <f>'10-CWIP'!F25</f>
        <v>46741390.93</v>
      </c>
      <c r="F27" s="7">
        <f>'10-CWIP'!F26</f>
        <v>38248534.286923081</v>
      </c>
      <c r="G27" s="7">
        <f>'10-CWIP'!K135</f>
        <v>141354042.57044607</v>
      </c>
      <c r="H27" s="47" t="str">
        <f>"10-CWIP Lines "&amp;'10-CWIP'!A25&amp;", "&amp;'10-CWIP'!A26&amp;", and "&amp;'10-CWIP'!A135&amp;""</f>
        <v>10-CWIP Lines 13, 14, and 97</v>
      </c>
    </row>
    <row r="28" spans="1:10" x14ac:dyDescent="0.2">
      <c r="A28" s="2">
        <f t="shared" si="0"/>
        <v>3</v>
      </c>
      <c r="B28" s="1"/>
      <c r="C28" s="12" t="s">
        <v>383</v>
      </c>
      <c r="E28" s="7">
        <f>'10-CWIP'!G25</f>
        <v>9549455.3900000006</v>
      </c>
      <c r="F28" s="7">
        <f>'10-CWIP'!G26</f>
        <v>734573.49153846153</v>
      </c>
      <c r="G28" s="7">
        <f>'10-CWIP'!K163</f>
        <v>40292809.968941346</v>
      </c>
      <c r="H28" s="47" t="str">
        <f>"10-CWIP Lines "&amp;'10-CWIP'!A25&amp;", "&amp;'10-CWIP'!A26&amp;", and "&amp;'10-CWIP'!A163&amp;""</f>
        <v>10-CWIP Lines 13, 14, and 120</v>
      </c>
    </row>
    <row r="29" spans="1:10" x14ac:dyDescent="0.2">
      <c r="A29" s="2">
        <f t="shared" si="0"/>
        <v>4</v>
      </c>
      <c r="B29" s="1"/>
      <c r="C29" s="12" t="s">
        <v>1111</v>
      </c>
      <c r="E29" s="7">
        <f>'10-CWIP'!H25</f>
        <v>0</v>
      </c>
      <c r="F29" s="7">
        <f>'10-CWIP'!H26</f>
        <v>0</v>
      </c>
      <c r="G29" s="7">
        <f>'10-CWIP'!K193</f>
        <v>3006477.3076923075</v>
      </c>
      <c r="H29" s="47" t="str">
        <f>"10-CWIP Lines "&amp;'10-CWIP'!A25&amp;", "&amp;'10-CWIP'!A26&amp;", and "&amp;'10-CWIP'!A193&amp;""</f>
        <v>10-CWIP Lines 13, 14, and 143</v>
      </c>
    </row>
    <row r="30" spans="1:10" x14ac:dyDescent="0.2">
      <c r="A30" s="2">
        <f t="shared" si="0"/>
        <v>5</v>
      </c>
      <c r="B30" s="1"/>
      <c r="C30" s="12" t="s">
        <v>1112</v>
      </c>
      <c r="E30" s="7">
        <f>'10-CWIP'!I25</f>
        <v>538216</v>
      </c>
      <c r="F30" s="7">
        <f>'10-CWIP'!I26</f>
        <v>41401.230769230766</v>
      </c>
      <c r="G30" s="7">
        <f>'10-CWIP'!K221</f>
        <v>41755148.436194852</v>
      </c>
      <c r="H30" s="47" t="str">
        <f>"10-CWIP Lines "&amp;'10-CWIP'!A25&amp;", "&amp;'10-CWIP'!A26&amp;", and "&amp;'10-CWIP'!A221&amp;""</f>
        <v>10-CWIP Lines 13, 14, and 166</v>
      </c>
    </row>
    <row r="31" spans="1:10" x14ac:dyDescent="0.2">
      <c r="A31" s="2">
        <f t="shared" si="0"/>
        <v>6</v>
      </c>
      <c r="B31" s="1"/>
      <c r="C31" s="12" t="s">
        <v>1113</v>
      </c>
      <c r="E31" s="7">
        <f>'10-CWIP'!D45</f>
        <v>0</v>
      </c>
      <c r="F31" s="7">
        <f>'10-CWIP'!D46</f>
        <v>0</v>
      </c>
      <c r="G31" s="7">
        <f>'10-CWIP'!K249</f>
        <v>3795217.6911538462</v>
      </c>
      <c r="H31" s="47" t="str">
        <f>"10-CWIP Lines "&amp;'10-CWIP'!A45&amp;", "&amp;'10-CWIP'!A46&amp;", and "&amp;'10-CWIP'!A249&amp;""</f>
        <v>10-CWIP Lines 27, 28, and 189</v>
      </c>
    </row>
    <row r="32" spans="1:10" x14ac:dyDescent="0.2">
      <c r="A32" s="2">
        <f t="shared" si="0"/>
        <v>7</v>
      </c>
      <c r="B32" s="1"/>
      <c r="C32" s="12" t="s">
        <v>1114</v>
      </c>
      <c r="E32" s="7">
        <f>'10-CWIP'!E45</f>
        <v>0</v>
      </c>
      <c r="F32" s="7">
        <f>'10-CWIP'!E46</f>
        <v>0</v>
      </c>
      <c r="G32" s="7">
        <f>'10-CWIP'!K279</f>
        <v>29064217.651365384</v>
      </c>
      <c r="H32" s="47" t="str">
        <f>"10-CWIP Lines "&amp;'10-CWIP'!A45&amp;", "&amp;'10-CWIP'!A46&amp;", and "&amp;'10-CWIP'!A279&amp;""</f>
        <v>10-CWIP Lines 27, 28, and 212</v>
      </c>
    </row>
    <row r="33" spans="1:10" x14ac:dyDescent="0.2">
      <c r="A33" s="2">
        <f t="shared" si="0"/>
        <v>8</v>
      </c>
      <c r="B33" s="1"/>
      <c r="C33" s="12" t="s">
        <v>1115</v>
      </c>
      <c r="E33" s="7">
        <f>'10-CWIP'!F45</f>
        <v>0</v>
      </c>
      <c r="F33" s="7">
        <f>'10-CWIP'!F46</f>
        <v>0</v>
      </c>
      <c r="G33" s="7">
        <f>'10-CWIP'!K307</f>
        <v>2431153.846153846</v>
      </c>
      <c r="H33" s="47" t="str">
        <f>"10-CWIP Lines "&amp;'10-CWIP'!A45&amp;", "&amp;'10-CWIP'!A46&amp;", and "&amp;'10-CWIP'!A307&amp;""</f>
        <v>10-CWIP Lines 27, 28, and 235</v>
      </c>
    </row>
    <row r="34" spans="1:10" x14ac:dyDescent="0.2">
      <c r="A34" s="2">
        <f t="shared" si="0"/>
        <v>9</v>
      </c>
      <c r="B34" s="1"/>
      <c r="C34" s="12" t="s">
        <v>1116</v>
      </c>
      <c r="E34" s="7">
        <f>'10-CWIP'!G45</f>
        <v>0</v>
      </c>
      <c r="F34" s="7">
        <f>'10-CWIP'!G46</f>
        <v>0</v>
      </c>
      <c r="G34" s="7">
        <f>'10-CWIP'!K335</f>
        <v>3911957.3864423078</v>
      </c>
      <c r="H34" s="47" t="str">
        <f>"10-CWIP Lines "&amp;'10-CWIP'!A45&amp;", "&amp;'10-CWIP'!A46&amp;", and "&amp;'10-CWIP'!A335&amp;""</f>
        <v>10-CWIP Lines 27, 28, and 258</v>
      </c>
    </row>
    <row r="35" spans="1:10" x14ac:dyDescent="0.2">
      <c r="A35" s="2">
        <f t="shared" si="0"/>
        <v>10</v>
      </c>
      <c r="B35" s="1"/>
      <c r="C35" s="784" t="s">
        <v>578</v>
      </c>
      <c r="E35" s="204" t="s">
        <v>88</v>
      </c>
      <c r="F35" s="204" t="s">
        <v>88</v>
      </c>
      <c r="G35" s="204" t="s">
        <v>88</v>
      </c>
      <c r="H35" s="784" t="s">
        <v>578</v>
      </c>
      <c r="I35" s="14"/>
      <c r="J35" s="14"/>
    </row>
    <row r="36" spans="1:10" x14ac:dyDescent="0.2">
      <c r="A36" s="2">
        <f t="shared" si="0"/>
        <v>11</v>
      </c>
      <c r="B36" s="1"/>
      <c r="C36" s="199"/>
      <c r="E36" s="204"/>
      <c r="F36" s="204"/>
      <c r="G36" s="204"/>
      <c r="H36" s="13"/>
    </row>
    <row r="37" spans="1:10" x14ac:dyDescent="0.2">
      <c r="A37" s="2">
        <f t="shared" si="0"/>
        <v>12</v>
      </c>
      <c r="B37" s="1"/>
      <c r="D37" s="37" t="s">
        <v>227</v>
      </c>
      <c r="E37" s="7">
        <f>SUM(E26:E34)</f>
        <v>638080992.50999999</v>
      </c>
      <c r="F37" s="7">
        <f>SUM(F26:F34)</f>
        <v>336108252.85461545</v>
      </c>
      <c r="G37" s="7">
        <f>SUM(G26:G34)</f>
        <v>656294351.44332898</v>
      </c>
      <c r="H37" s="54"/>
    </row>
    <row r="38" spans="1:10" x14ac:dyDescent="0.2">
      <c r="B38" s="1"/>
    </row>
    <row r="39" spans="1:10" x14ac:dyDescent="0.2">
      <c r="B39" s="1"/>
      <c r="C39" s="1" t="s">
        <v>1550</v>
      </c>
    </row>
    <row r="40" spans="1:10" x14ac:dyDescent="0.2">
      <c r="B40" s="1"/>
      <c r="C40" s="1"/>
    </row>
    <row r="41" spans="1:10" x14ac:dyDescent="0.2">
      <c r="B41" s="1"/>
      <c r="E41" s="3" t="s">
        <v>406</v>
      </c>
      <c r="F41" s="3" t="s">
        <v>390</v>
      </c>
      <c r="G41" s="3" t="s">
        <v>391</v>
      </c>
    </row>
    <row r="42" spans="1:10" x14ac:dyDescent="0.2">
      <c r="B42" s="1"/>
      <c r="E42" s="665" t="s">
        <v>1954</v>
      </c>
      <c r="F42" s="3"/>
      <c r="G42" s="3"/>
    </row>
    <row r="43" spans="1:10" x14ac:dyDescent="0.2">
      <c r="B43" s="1"/>
      <c r="E43" s="2" t="s">
        <v>75</v>
      </c>
      <c r="F43" s="2" t="s">
        <v>342</v>
      </c>
      <c r="G43" s="2" t="s">
        <v>342</v>
      </c>
    </row>
    <row r="44" spans="1:10" x14ac:dyDescent="0.2">
      <c r="B44" s="1"/>
      <c r="E44" s="2" t="s">
        <v>9</v>
      </c>
      <c r="F44" s="2" t="s">
        <v>2</v>
      </c>
      <c r="G44" s="2" t="s">
        <v>341</v>
      </c>
    </row>
    <row r="45" spans="1:10" x14ac:dyDescent="0.2">
      <c r="B45" s="1"/>
      <c r="E45" s="3" t="s">
        <v>203</v>
      </c>
      <c r="F45" s="3" t="s">
        <v>286</v>
      </c>
      <c r="G45" s="3" t="s">
        <v>4</v>
      </c>
      <c r="H45" s="3" t="s">
        <v>267</v>
      </c>
    </row>
    <row r="46" spans="1:10" x14ac:dyDescent="0.2">
      <c r="A46" s="2">
        <f>A37+1</f>
        <v>13</v>
      </c>
      <c r="B46" s="1"/>
      <c r="C46" t="s">
        <v>262</v>
      </c>
      <c r="E46" s="107">
        <f>F46+G46</f>
        <v>183961490.22307685</v>
      </c>
      <c r="F46" s="65">
        <v>0</v>
      </c>
      <c r="G46" s="65">
        <f>H84</f>
        <v>183961490.22307685</v>
      </c>
      <c r="H46" s="13" t="str">
        <f>"Line "&amp;A84&amp;", C4"</f>
        <v>Line 37, C4</v>
      </c>
    </row>
    <row r="47" spans="1:10" x14ac:dyDescent="0.2">
      <c r="A47" s="2">
        <f>A46+1</f>
        <v>14</v>
      </c>
      <c r="B47" s="1"/>
      <c r="C47" t="s">
        <v>263</v>
      </c>
      <c r="E47" s="107">
        <f>F47+G47</f>
        <v>954848188.05639052</v>
      </c>
      <c r="F47" s="65">
        <f>E26</f>
        <v>581251930.19000006</v>
      </c>
      <c r="G47" s="65">
        <f>F84</f>
        <v>373596257.86639041</v>
      </c>
      <c r="H47" s="13" t="str">
        <f>"Line "&amp;A26&amp;", C1, and Line "&amp;A84&amp;", C2"</f>
        <v>Line 1, C1, and Line 37, C2</v>
      </c>
    </row>
    <row r="48" spans="1:10" x14ac:dyDescent="0.2">
      <c r="A48" s="2">
        <f>A47+1</f>
        <v>15</v>
      </c>
      <c r="B48" s="1"/>
      <c r="C48" s="649" t="s">
        <v>2415</v>
      </c>
      <c r="E48" s="107">
        <f>F48+G48</f>
        <v>46790129.102323584</v>
      </c>
      <c r="F48" s="65">
        <f>E27</f>
        <v>46741390.93</v>
      </c>
      <c r="G48" s="65">
        <f>G84</f>
        <v>48738.172323583327</v>
      </c>
      <c r="H48" s="13" t="str">
        <f>"Line "&amp;A27&amp;", C1, and Line "&amp;A84&amp;", C3"</f>
        <v>Line 2, C1, and Line 37, C3</v>
      </c>
    </row>
    <row r="49" spans="1:8" x14ac:dyDescent="0.2">
      <c r="A49" s="2">
        <f>A48+1</f>
        <v>16</v>
      </c>
      <c r="B49" s="1"/>
      <c r="C49" s="784" t="s">
        <v>578</v>
      </c>
      <c r="E49" s="100" t="s">
        <v>88</v>
      </c>
      <c r="F49" s="100" t="s">
        <v>88</v>
      </c>
      <c r="G49" s="100" t="s">
        <v>88</v>
      </c>
      <c r="H49" s="784" t="s">
        <v>578</v>
      </c>
    </row>
    <row r="50" spans="1:8" x14ac:dyDescent="0.2">
      <c r="A50" s="2">
        <f>A49+1</f>
        <v>17</v>
      </c>
      <c r="B50" s="1"/>
      <c r="C50" s="199"/>
      <c r="E50" s="100"/>
      <c r="F50" s="100"/>
      <c r="G50" s="100"/>
      <c r="H50" s="13"/>
    </row>
    <row r="51" spans="1:8" x14ac:dyDescent="0.2">
      <c r="A51" s="2">
        <f>A50+1</f>
        <v>18</v>
      </c>
      <c r="B51" s="1"/>
      <c r="D51" s="647" t="s">
        <v>2419</v>
      </c>
      <c r="E51" s="7">
        <f>SUM(E46:E48)</f>
        <v>1185599807.3817909</v>
      </c>
      <c r="F51" s="100"/>
      <c r="G51" s="100"/>
      <c r="H51" s="653" t="s">
        <v>2420</v>
      </c>
    </row>
    <row r="52" spans="1:8" x14ac:dyDescent="0.2">
      <c r="B52" s="1"/>
    </row>
    <row r="53" spans="1:8" x14ac:dyDescent="0.2">
      <c r="B53" s="1"/>
      <c r="C53" s="1" t="s">
        <v>1982</v>
      </c>
    </row>
    <row r="54" spans="1:8" x14ac:dyDescent="0.2">
      <c r="B54" s="1"/>
      <c r="C54" s="1"/>
    </row>
    <row r="55" spans="1:8" x14ac:dyDescent="0.2">
      <c r="B55" s="1"/>
      <c r="C55" s="1"/>
      <c r="E55" s="3" t="s">
        <v>406</v>
      </c>
      <c r="F55" s="3" t="s">
        <v>390</v>
      </c>
      <c r="G55" s="3" t="s">
        <v>391</v>
      </c>
    </row>
    <row r="56" spans="1:8" x14ac:dyDescent="0.2">
      <c r="B56" s="1"/>
      <c r="E56" s="665" t="s">
        <v>1954</v>
      </c>
      <c r="G56" s="2" t="s">
        <v>11</v>
      </c>
    </row>
    <row r="57" spans="1:8" x14ac:dyDescent="0.2">
      <c r="B57" s="1"/>
      <c r="E57" s="2" t="s">
        <v>75</v>
      </c>
      <c r="F57" s="2" t="s">
        <v>11</v>
      </c>
      <c r="G57" s="2" t="s">
        <v>341</v>
      </c>
    </row>
    <row r="58" spans="1:8" x14ac:dyDescent="0.2">
      <c r="B58" s="1"/>
      <c r="C58" s="2" t="s">
        <v>9</v>
      </c>
      <c r="E58" s="2" t="s">
        <v>9</v>
      </c>
      <c r="F58" s="2" t="s">
        <v>2</v>
      </c>
      <c r="G58" s="2" t="s">
        <v>4</v>
      </c>
    </row>
    <row r="59" spans="1:8" ht="12.75" customHeight="1" x14ac:dyDescent="0.2">
      <c r="B59" s="1"/>
      <c r="C59" s="3" t="s">
        <v>261</v>
      </c>
      <c r="E59" s="3" t="s">
        <v>203</v>
      </c>
      <c r="F59" s="3" t="s">
        <v>286</v>
      </c>
      <c r="G59" s="3" t="s">
        <v>286</v>
      </c>
      <c r="H59" s="3" t="s">
        <v>267</v>
      </c>
    </row>
    <row r="60" spans="1:8" x14ac:dyDescent="0.2">
      <c r="A60" s="2">
        <f>A51+1</f>
        <v>19</v>
      </c>
      <c r="B60" s="1"/>
      <c r="C60" t="s">
        <v>262</v>
      </c>
      <c r="E60" s="107">
        <f>F60+G60</f>
        <v>185242918.08505863</v>
      </c>
      <c r="F60" s="65">
        <v>0</v>
      </c>
      <c r="G60" s="110">
        <f>H85</f>
        <v>185242918.08505863</v>
      </c>
      <c r="H60" s="13" t="str">
        <f>"Line "&amp;A85&amp;", C4"</f>
        <v>Line 38, C4</v>
      </c>
    </row>
    <row r="61" spans="1:8" x14ac:dyDescent="0.2">
      <c r="A61" s="2">
        <f>A60+1</f>
        <v>20</v>
      </c>
      <c r="B61" s="1"/>
      <c r="C61" t="s">
        <v>263</v>
      </c>
      <c r="E61" s="107">
        <f>F61+G61</f>
        <v>659708892.49414384</v>
      </c>
      <c r="F61" s="65">
        <f>F26</f>
        <v>297083743.84538466</v>
      </c>
      <c r="G61" s="110">
        <f>F85</f>
        <v>362625148.64875919</v>
      </c>
      <c r="H61" s="13" t="str">
        <f>"Line "&amp;A26&amp;", C2, and Line "&amp;A85&amp;", C2"</f>
        <v>Line 1, C2, and Line 38, C2</v>
      </c>
    </row>
    <row r="62" spans="1:8" x14ac:dyDescent="0.2">
      <c r="A62" s="2">
        <f>A61+1</f>
        <v>21</v>
      </c>
      <c r="B62" s="1"/>
      <c r="C62" s="12" t="s">
        <v>616</v>
      </c>
      <c r="E62" s="107">
        <f>F62+G62</f>
        <v>38270827.432369165</v>
      </c>
      <c r="F62" s="65">
        <f>F27</f>
        <v>38248534.286923081</v>
      </c>
      <c r="G62" s="110">
        <f>G85</f>
        <v>22293.14544608333</v>
      </c>
      <c r="H62" s="13" t="str">
        <f>"Line "&amp;A27&amp;", C2, and Line "&amp;A85&amp;", C3"</f>
        <v>Line 2, C2, and Line 38, C3</v>
      </c>
    </row>
    <row r="63" spans="1:8" x14ac:dyDescent="0.2">
      <c r="A63" s="2">
        <f>A62+1</f>
        <v>22</v>
      </c>
      <c r="B63" s="1"/>
      <c r="C63" s="784" t="s">
        <v>578</v>
      </c>
      <c r="E63" s="100" t="s">
        <v>88</v>
      </c>
      <c r="F63" s="100" t="s">
        <v>88</v>
      </c>
      <c r="G63" s="100" t="s">
        <v>88</v>
      </c>
      <c r="H63" s="784" t="s">
        <v>578</v>
      </c>
    </row>
    <row r="64" spans="1:8" x14ac:dyDescent="0.2">
      <c r="A64" s="2">
        <f>A63+1</f>
        <v>23</v>
      </c>
      <c r="B64" s="1"/>
      <c r="C64" s="199"/>
      <c r="E64" s="100"/>
      <c r="F64" s="100"/>
      <c r="G64" s="100"/>
      <c r="H64" s="13"/>
    </row>
    <row r="65" spans="1:11" x14ac:dyDescent="0.2">
      <c r="A65" s="2">
        <f>A64+1</f>
        <v>24</v>
      </c>
      <c r="B65" s="1"/>
      <c r="D65" s="647" t="s">
        <v>2419</v>
      </c>
      <c r="E65" s="7">
        <f>SUM(E60:E62)</f>
        <v>883222638.01157153</v>
      </c>
      <c r="H65" s="817" t="s">
        <v>2421</v>
      </c>
    </row>
    <row r="66" spans="1:11" x14ac:dyDescent="0.2">
      <c r="A66" s="760"/>
      <c r="B66" s="1"/>
      <c r="D66" s="98"/>
      <c r="E66" s="7"/>
    </row>
    <row r="67" spans="1:11" x14ac:dyDescent="0.2">
      <c r="C67" s="1" t="s">
        <v>1117</v>
      </c>
    </row>
    <row r="68" spans="1:11" x14ac:dyDescent="0.2">
      <c r="E68" s="88" t="s">
        <v>406</v>
      </c>
      <c r="F68" s="88" t="s">
        <v>390</v>
      </c>
      <c r="G68" s="88" t="s">
        <v>391</v>
      </c>
      <c r="H68" s="88" t="s">
        <v>392</v>
      </c>
      <c r="I68" s="88" t="s">
        <v>393</v>
      </c>
      <c r="J68" s="88"/>
    </row>
    <row r="69" spans="1:11" x14ac:dyDescent="0.2">
      <c r="C69" s="2" t="s">
        <v>604</v>
      </c>
      <c r="E69" s="2" t="s">
        <v>607</v>
      </c>
      <c r="F69" s="1047" t="str">
        <f>"L "&amp;A117&amp;" to L "&amp;A129&amp;", C3"</f>
        <v>L 53 to L 65, C3</v>
      </c>
      <c r="G69" s="1047" t="str">
        <f>"L "&amp;A157&amp;" to L "&amp;A169&amp;", C3"</f>
        <v>L 79 to L 91, C3</v>
      </c>
      <c r="H69" s="1047" t="str">
        <f>"L "&amp;A137&amp;" to L "&amp;A149&amp;", C3"</f>
        <v>L 66 to L 78, C3</v>
      </c>
      <c r="I69" s="101"/>
      <c r="K69" s="2"/>
    </row>
    <row r="70" spans="1:11" x14ac:dyDescent="0.2">
      <c r="C70" s="2" t="s">
        <v>223</v>
      </c>
      <c r="E70" s="2" t="s">
        <v>608</v>
      </c>
      <c r="F70" s="14"/>
      <c r="G70" s="117" t="s">
        <v>386</v>
      </c>
      <c r="H70" s="117" t="s">
        <v>605</v>
      </c>
      <c r="I70" s="200"/>
      <c r="J70" s="389"/>
      <c r="K70" s="2"/>
    </row>
    <row r="71" spans="1:11" x14ac:dyDescent="0.2">
      <c r="A71" s="53"/>
      <c r="C71" s="25" t="s">
        <v>222</v>
      </c>
      <c r="D71" s="25" t="s">
        <v>223</v>
      </c>
      <c r="E71" s="3" t="s">
        <v>4</v>
      </c>
      <c r="F71" s="131" t="s">
        <v>260</v>
      </c>
      <c r="G71" s="131" t="s">
        <v>387</v>
      </c>
      <c r="H71" s="131" t="s">
        <v>606</v>
      </c>
      <c r="I71" s="201"/>
      <c r="J71" s="3" t="s">
        <v>198</v>
      </c>
    </row>
    <row r="72" spans="1:11" x14ac:dyDescent="0.2">
      <c r="A72" s="2">
        <f>A65+1</f>
        <v>25</v>
      </c>
      <c r="C72" s="20" t="s">
        <v>210</v>
      </c>
      <c r="D72" s="197">
        <v>2009</v>
      </c>
      <c r="E72" s="61">
        <f>SUM(F72:H72)</f>
        <v>525087844.42201149</v>
      </c>
      <c r="F72" s="1102">
        <f>G117</f>
        <v>346720818.01009065</v>
      </c>
      <c r="G72" s="1102">
        <f>G157</f>
        <v>20334.778568583333</v>
      </c>
      <c r="H72" s="1102">
        <f>G137</f>
        <v>178346691.63335225</v>
      </c>
      <c r="I72" s="389" t="s">
        <v>88</v>
      </c>
      <c r="J72" s="52" t="s">
        <v>1121</v>
      </c>
    </row>
    <row r="73" spans="1:11" x14ac:dyDescent="0.2">
      <c r="A73" s="2">
        <f>A72+1</f>
        <v>26</v>
      </c>
      <c r="C73" s="20" t="s">
        <v>211</v>
      </c>
      <c r="D73" s="156">
        <v>2010</v>
      </c>
      <c r="E73" s="61">
        <f t="shared" ref="E73:E84" si="1">SUM(F73:H73)</f>
        <v>541365397.17061961</v>
      </c>
      <c r="F73" s="1102">
        <f t="shared" ref="F73:F84" si="2">G118</f>
        <v>354748603.44940042</v>
      </c>
      <c r="G73" s="1102">
        <f t="shared" ref="G73:G84" si="3">G158</f>
        <v>20290.163048166665</v>
      </c>
      <c r="H73" s="1102">
        <f t="shared" ref="H73:H84" si="4">G138</f>
        <v>186596503.55817103</v>
      </c>
      <c r="I73" s="389" t="s">
        <v>88</v>
      </c>
      <c r="J73" s="13" t="s">
        <v>1120</v>
      </c>
    </row>
    <row r="74" spans="1:11" x14ac:dyDescent="0.2">
      <c r="A74" s="2">
        <f t="shared" ref="A74:A85" si="5">A73+1</f>
        <v>27</v>
      </c>
      <c r="C74" s="21" t="s">
        <v>212</v>
      </c>
      <c r="D74" s="156">
        <v>2010</v>
      </c>
      <c r="E74" s="61">
        <f t="shared" si="1"/>
        <v>542531571.67522907</v>
      </c>
      <c r="F74" s="1102">
        <f t="shared" si="2"/>
        <v>355536321.70929056</v>
      </c>
      <c r="G74" s="1102">
        <f t="shared" si="3"/>
        <v>20245.547527749997</v>
      </c>
      <c r="H74" s="1102">
        <f t="shared" si="4"/>
        <v>186975004.41841081</v>
      </c>
      <c r="I74" s="389" t="s">
        <v>88</v>
      </c>
      <c r="J74" s="389" t="s">
        <v>1119</v>
      </c>
      <c r="K74" s="2"/>
    </row>
    <row r="75" spans="1:11" x14ac:dyDescent="0.2">
      <c r="A75" s="2">
        <f t="shared" si="5"/>
        <v>28</v>
      </c>
      <c r="C75" s="21" t="s">
        <v>225</v>
      </c>
      <c r="D75" s="156">
        <v>2010</v>
      </c>
      <c r="E75" s="61">
        <f t="shared" si="1"/>
        <v>546101438.44943321</v>
      </c>
      <c r="F75" s="1102">
        <f t="shared" si="2"/>
        <v>359177633.34298223</v>
      </c>
      <c r="G75" s="1102">
        <f t="shared" si="3"/>
        <v>20200.932007333333</v>
      </c>
      <c r="H75" s="1102">
        <f t="shared" si="4"/>
        <v>186903604.17444369</v>
      </c>
      <c r="I75" s="389" t="s">
        <v>88</v>
      </c>
      <c r="J75" s="389"/>
      <c r="K75" s="2"/>
    </row>
    <row r="76" spans="1:11" x14ac:dyDescent="0.2">
      <c r="A76" s="2">
        <f t="shared" si="5"/>
        <v>29</v>
      </c>
      <c r="C76" s="20" t="s">
        <v>213</v>
      </c>
      <c r="D76" s="156">
        <v>2010</v>
      </c>
      <c r="E76" s="61">
        <f t="shared" si="1"/>
        <v>546032029.88615823</v>
      </c>
      <c r="F76" s="1102">
        <f t="shared" si="2"/>
        <v>359500348.66817695</v>
      </c>
      <c r="G76" s="1102">
        <f t="shared" si="3"/>
        <v>20156.316486916665</v>
      </c>
      <c r="H76" s="1102">
        <f t="shared" si="4"/>
        <v>186511524.90149435</v>
      </c>
      <c r="I76" s="389" t="s">
        <v>88</v>
      </c>
      <c r="J76" s="389"/>
      <c r="K76" s="2"/>
    </row>
    <row r="77" spans="1:11" x14ac:dyDescent="0.2">
      <c r="A77" s="2">
        <f t="shared" si="5"/>
        <v>30</v>
      </c>
      <c r="C77" s="21" t="s">
        <v>214</v>
      </c>
      <c r="D77" s="156">
        <v>2010</v>
      </c>
      <c r="E77" s="61">
        <f t="shared" si="1"/>
        <v>545668784.37585866</v>
      </c>
      <c r="F77" s="1102">
        <f t="shared" si="2"/>
        <v>359406359.74206805</v>
      </c>
      <c r="G77" s="1102">
        <f t="shared" si="3"/>
        <v>20111.700966499997</v>
      </c>
      <c r="H77" s="1102">
        <f t="shared" si="4"/>
        <v>186242312.93282413</v>
      </c>
      <c r="I77" s="389" t="s">
        <v>88</v>
      </c>
      <c r="J77" s="389"/>
      <c r="K77" s="2"/>
    </row>
    <row r="78" spans="1:11" x14ac:dyDescent="0.2">
      <c r="A78" s="2">
        <f t="shared" si="5"/>
        <v>31</v>
      </c>
      <c r="C78" s="21" t="s">
        <v>215</v>
      </c>
      <c r="D78" s="156">
        <v>2010</v>
      </c>
      <c r="E78" s="61">
        <f t="shared" si="1"/>
        <v>549131450.30015194</v>
      </c>
      <c r="F78" s="1102">
        <f t="shared" si="2"/>
        <v>362625799.80057424</v>
      </c>
      <c r="G78" s="1102">
        <f t="shared" si="3"/>
        <v>20067.085446083332</v>
      </c>
      <c r="H78" s="1102">
        <f t="shared" si="4"/>
        <v>186485583.41413167</v>
      </c>
      <c r="I78" s="389" t="s">
        <v>88</v>
      </c>
      <c r="J78" s="389"/>
      <c r="K78" s="2"/>
    </row>
    <row r="79" spans="1:11" x14ac:dyDescent="0.2">
      <c r="A79" s="2">
        <f t="shared" si="5"/>
        <v>32</v>
      </c>
      <c r="C79" s="20" t="s">
        <v>216</v>
      </c>
      <c r="D79" s="156">
        <v>2010</v>
      </c>
      <c r="E79" s="61">
        <f t="shared" si="1"/>
        <v>550669581.20701575</v>
      </c>
      <c r="F79" s="1102">
        <f t="shared" si="2"/>
        <v>364582101.26830685</v>
      </c>
      <c r="G79" s="1102">
        <f t="shared" si="3"/>
        <v>20022.469925666664</v>
      </c>
      <c r="H79" s="1102">
        <f t="shared" si="4"/>
        <v>186067457.46878326</v>
      </c>
      <c r="I79" s="389" t="s">
        <v>88</v>
      </c>
      <c r="J79" s="389"/>
      <c r="K79" s="87"/>
    </row>
    <row r="80" spans="1:11" x14ac:dyDescent="0.2">
      <c r="A80" s="2">
        <f t="shared" si="5"/>
        <v>33</v>
      </c>
      <c r="C80" s="21" t="s">
        <v>217</v>
      </c>
      <c r="D80" s="156">
        <v>2010</v>
      </c>
      <c r="E80" s="61">
        <f t="shared" si="1"/>
        <v>550733493.32182467</v>
      </c>
      <c r="F80" s="1102">
        <f t="shared" si="2"/>
        <v>365065251.1140421</v>
      </c>
      <c r="G80" s="1102">
        <f t="shared" si="3"/>
        <v>19977.85440525</v>
      </c>
      <c r="H80" s="1102">
        <f t="shared" si="4"/>
        <v>185648264.35337734</v>
      </c>
      <c r="I80" s="389" t="s">
        <v>88</v>
      </c>
      <c r="J80" s="389"/>
      <c r="K80" s="2"/>
    </row>
    <row r="81" spans="1:11" x14ac:dyDescent="0.2">
      <c r="A81" s="2">
        <f t="shared" si="5"/>
        <v>34</v>
      </c>
      <c r="C81" s="21" t="s">
        <v>218</v>
      </c>
      <c r="D81" s="156">
        <v>2010</v>
      </c>
      <c r="E81" s="61">
        <f t="shared" si="1"/>
        <v>552841596.83670616</v>
      </c>
      <c r="F81" s="1102">
        <f t="shared" si="2"/>
        <v>367592592.35984993</v>
      </c>
      <c r="G81" s="1102">
        <f t="shared" si="3"/>
        <v>19933.238884833332</v>
      </c>
      <c r="H81" s="1102">
        <f t="shared" si="4"/>
        <v>185229071.23797143</v>
      </c>
      <c r="I81" s="389" t="s">
        <v>88</v>
      </c>
      <c r="J81" s="389"/>
      <c r="K81" s="2"/>
    </row>
    <row r="82" spans="1:11" x14ac:dyDescent="0.2">
      <c r="A82" s="2">
        <f t="shared" si="5"/>
        <v>35</v>
      </c>
      <c r="C82" s="20" t="s">
        <v>219</v>
      </c>
      <c r="D82" s="156">
        <v>2010</v>
      </c>
      <c r="E82" s="61">
        <f t="shared" si="1"/>
        <v>556064060.3828969</v>
      </c>
      <c r="F82" s="1102">
        <f t="shared" si="2"/>
        <v>371234293.63696694</v>
      </c>
      <c r="G82" s="1102">
        <f t="shared" si="3"/>
        <v>19888.623364416664</v>
      </c>
      <c r="H82" s="1102">
        <f t="shared" si="4"/>
        <v>184809878.12256551</v>
      </c>
      <c r="I82" s="389" t="s">
        <v>88</v>
      </c>
      <c r="J82" s="389"/>
      <c r="K82" s="2"/>
    </row>
    <row r="83" spans="1:11" x14ac:dyDescent="0.2">
      <c r="A83" s="2">
        <f t="shared" si="5"/>
        <v>36</v>
      </c>
      <c r="C83" s="20" t="s">
        <v>220</v>
      </c>
      <c r="D83" s="156">
        <v>2010</v>
      </c>
      <c r="E83" s="61">
        <f t="shared" si="1"/>
        <v>558740944.1407342</v>
      </c>
      <c r="F83" s="1102">
        <f t="shared" si="2"/>
        <v>374340551.46573061</v>
      </c>
      <c r="G83" s="1102">
        <f t="shared" si="3"/>
        <v>19844.007844</v>
      </c>
      <c r="H83" s="1102">
        <f t="shared" si="4"/>
        <v>184380548.66715959</v>
      </c>
      <c r="I83" s="389" t="s">
        <v>88</v>
      </c>
      <c r="J83" s="389"/>
      <c r="K83" s="2"/>
    </row>
    <row r="84" spans="1:11" x14ac:dyDescent="0.2">
      <c r="A84" s="2">
        <f t="shared" si="5"/>
        <v>37</v>
      </c>
      <c r="C84" s="20" t="s">
        <v>210</v>
      </c>
      <c r="D84" s="156">
        <v>2010</v>
      </c>
      <c r="E84" s="60">
        <f t="shared" si="1"/>
        <v>557606486.26179087</v>
      </c>
      <c r="F84" s="391">
        <f t="shared" si="2"/>
        <v>373596257.86639041</v>
      </c>
      <c r="G84" s="391">
        <f t="shared" si="3"/>
        <v>48738.172323583327</v>
      </c>
      <c r="H84" s="391">
        <f t="shared" si="4"/>
        <v>183961490.22307685</v>
      </c>
      <c r="I84" s="389" t="s">
        <v>88</v>
      </c>
      <c r="J84" s="389"/>
      <c r="K84" s="2"/>
    </row>
    <row r="85" spans="1:11" x14ac:dyDescent="0.2">
      <c r="A85" s="2">
        <f t="shared" si="5"/>
        <v>38</v>
      </c>
      <c r="C85" s="20"/>
      <c r="D85" s="203" t="s">
        <v>612</v>
      </c>
      <c r="E85" s="111">
        <f>SUM(E72:E84)/13</f>
        <v>547890359.879264</v>
      </c>
      <c r="F85" s="111">
        <f>SUM(F72:F84)/13</f>
        <v>362625148.64875919</v>
      </c>
      <c r="G85" s="111">
        <f>SUM(G72:G84)/13</f>
        <v>22293.14544608333</v>
      </c>
      <c r="H85" s="111">
        <f>SUM(H72:H84)/13</f>
        <v>185242918.08505863</v>
      </c>
      <c r="I85" s="1"/>
      <c r="J85" s="1"/>
      <c r="K85" s="2"/>
    </row>
    <row r="87" spans="1:11" x14ac:dyDescent="0.2">
      <c r="A87" s="760"/>
      <c r="C87" s="761" t="s">
        <v>2043</v>
      </c>
      <c r="D87" s="762"/>
      <c r="E87" s="763"/>
      <c r="F87" s="763"/>
      <c r="G87" s="763"/>
      <c r="H87" s="763"/>
      <c r="I87" s="1"/>
      <c r="J87" s="1"/>
    </row>
    <row r="88" spans="1:11" x14ac:dyDescent="0.2">
      <c r="A88" s="760"/>
      <c r="C88" s="761"/>
      <c r="D88" s="762"/>
      <c r="E88" s="88" t="s">
        <v>406</v>
      </c>
      <c r="F88" s="88" t="s">
        <v>390</v>
      </c>
      <c r="G88" s="88" t="s">
        <v>391</v>
      </c>
      <c r="H88" s="763"/>
      <c r="I88" s="1"/>
      <c r="J88" s="1"/>
    </row>
    <row r="89" spans="1:11" x14ac:dyDescent="0.2">
      <c r="A89" s="760"/>
      <c r="C89" s="739"/>
      <c r="D89" s="762"/>
      <c r="G89" s="665" t="s">
        <v>2416</v>
      </c>
      <c r="H89" s="763"/>
      <c r="I89" s="1"/>
      <c r="J89" s="1"/>
    </row>
    <row r="90" spans="1:11" x14ac:dyDescent="0.2">
      <c r="A90" s="760"/>
      <c r="C90" s="739"/>
      <c r="D90" s="762"/>
      <c r="E90" s="386" t="s">
        <v>495</v>
      </c>
      <c r="F90" s="763"/>
      <c r="G90" s="764" t="s">
        <v>2044</v>
      </c>
      <c r="H90" s="763"/>
      <c r="I90" s="1"/>
      <c r="J90" s="1"/>
    </row>
    <row r="91" spans="1:11" x14ac:dyDescent="0.2">
      <c r="A91" s="760"/>
      <c r="C91" s="760" t="s">
        <v>604</v>
      </c>
      <c r="E91" s="386" t="s">
        <v>2045</v>
      </c>
      <c r="F91" s="386" t="s">
        <v>113</v>
      </c>
      <c r="G91" s="386" t="s">
        <v>2045</v>
      </c>
      <c r="H91" s="763"/>
      <c r="I91" s="1"/>
      <c r="J91" s="1"/>
    </row>
    <row r="92" spans="1:11" x14ac:dyDescent="0.2">
      <c r="A92" s="760"/>
      <c r="C92" s="760" t="s">
        <v>223</v>
      </c>
      <c r="E92" s="386" t="s">
        <v>9</v>
      </c>
      <c r="F92" s="4" t="s">
        <v>2046</v>
      </c>
      <c r="G92" s="386" t="s">
        <v>9</v>
      </c>
      <c r="H92" s="763"/>
      <c r="I92" s="1"/>
      <c r="J92" s="1"/>
    </row>
    <row r="93" spans="1:11" x14ac:dyDescent="0.2">
      <c r="A93" s="760"/>
      <c r="C93" s="25" t="s">
        <v>222</v>
      </c>
      <c r="D93" s="25" t="s">
        <v>223</v>
      </c>
      <c r="E93" s="387" t="s">
        <v>2047</v>
      </c>
      <c r="F93" s="3" t="s">
        <v>2048</v>
      </c>
      <c r="G93" s="387" t="s">
        <v>2047</v>
      </c>
      <c r="H93" s="387" t="s">
        <v>2049</v>
      </c>
      <c r="I93" s="1"/>
      <c r="J93" s="1"/>
    </row>
    <row r="94" spans="1:11" ht="12.75" customHeight="1" x14ac:dyDescent="0.2">
      <c r="A94" s="760">
        <f>A85+1</f>
        <v>39</v>
      </c>
      <c r="C94" s="739" t="s">
        <v>210</v>
      </c>
      <c r="D94" s="765">
        <v>2009</v>
      </c>
      <c r="E94" s="7">
        <f t="shared" ref="E94:E106" si="6">H117+H137+H157+H176+H195+H214+H233+H252+H271+H290</f>
        <v>0</v>
      </c>
      <c r="F94" s="766">
        <v>0</v>
      </c>
      <c r="G94" s="763">
        <f>E94-F94</f>
        <v>0</v>
      </c>
      <c r="H94" s="772" t="s">
        <v>2063</v>
      </c>
      <c r="I94" s="1"/>
      <c r="J94" s="7"/>
    </row>
    <row r="95" spans="1:11" x14ac:dyDescent="0.2">
      <c r="A95" s="760">
        <f>A94+1</f>
        <v>40</v>
      </c>
      <c r="C95" s="739" t="s">
        <v>211</v>
      </c>
      <c r="D95" s="767">
        <v>2010</v>
      </c>
      <c r="E95" s="7">
        <f t="shared" si="6"/>
        <v>17440885.430000037</v>
      </c>
      <c r="F95" s="766">
        <v>13</v>
      </c>
      <c r="G95" s="763">
        <f t="shared" ref="G95:G106" si="7">E95-F95</f>
        <v>17440872.430000037</v>
      </c>
      <c r="H95" s="772" t="s">
        <v>2062</v>
      </c>
      <c r="I95" s="77"/>
      <c r="J95" s="7"/>
    </row>
    <row r="96" spans="1:11" x14ac:dyDescent="0.2">
      <c r="A96" s="760">
        <f t="shared" ref="A96:A107" si="8">A95+1</f>
        <v>41</v>
      </c>
      <c r="C96" s="737" t="s">
        <v>212</v>
      </c>
      <c r="D96" s="767">
        <v>2010</v>
      </c>
      <c r="E96" s="7">
        <f t="shared" si="6"/>
        <v>2370175</v>
      </c>
      <c r="F96" s="766">
        <v>3</v>
      </c>
      <c r="G96" s="763">
        <f t="shared" si="7"/>
        <v>2370172</v>
      </c>
      <c r="H96" s="772"/>
      <c r="I96" s="77"/>
      <c r="J96" s="7"/>
    </row>
    <row r="97" spans="1:10" x14ac:dyDescent="0.2">
      <c r="A97" s="760">
        <f t="shared" si="8"/>
        <v>42</v>
      </c>
      <c r="C97" s="737" t="s">
        <v>225</v>
      </c>
      <c r="D97" s="767">
        <v>2010</v>
      </c>
      <c r="E97" s="7">
        <f t="shared" si="6"/>
        <v>4779202.0199999809</v>
      </c>
      <c r="F97" s="766">
        <v>0</v>
      </c>
      <c r="G97" s="763">
        <f t="shared" si="7"/>
        <v>4779202.0199999809</v>
      </c>
      <c r="H97" s="763"/>
      <c r="I97" s="77"/>
      <c r="J97" s="7"/>
    </row>
    <row r="98" spans="1:10" x14ac:dyDescent="0.2">
      <c r="A98" s="760">
        <f t="shared" si="8"/>
        <v>43</v>
      </c>
      <c r="C98" s="739" t="s">
        <v>213</v>
      </c>
      <c r="D98" s="767">
        <v>2010</v>
      </c>
      <c r="E98" s="7">
        <f t="shared" si="6"/>
        <v>1150859.5200000405</v>
      </c>
      <c r="F98" s="766">
        <v>0</v>
      </c>
      <c r="G98" s="763">
        <f t="shared" si="7"/>
        <v>1150859.5200000405</v>
      </c>
      <c r="H98" s="763"/>
      <c r="I98" s="77"/>
      <c r="J98" s="7"/>
    </row>
    <row r="99" spans="1:10" x14ac:dyDescent="0.2">
      <c r="A99" s="760">
        <f t="shared" si="8"/>
        <v>44</v>
      </c>
      <c r="C99" s="737" t="s">
        <v>214</v>
      </c>
      <c r="D99" s="767">
        <v>2010</v>
      </c>
      <c r="E99" s="7">
        <f t="shared" si="6"/>
        <v>859945.61999985576</v>
      </c>
      <c r="F99" s="766">
        <v>0</v>
      </c>
      <c r="G99" s="763">
        <f t="shared" si="7"/>
        <v>859945.61999985576</v>
      </c>
      <c r="H99" s="763"/>
      <c r="I99" s="77"/>
      <c r="J99" s="7"/>
    </row>
    <row r="100" spans="1:10" x14ac:dyDescent="0.2">
      <c r="A100" s="760">
        <f t="shared" si="8"/>
        <v>45</v>
      </c>
      <c r="C100" s="737" t="s">
        <v>215</v>
      </c>
      <c r="D100" s="767">
        <v>2010</v>
      </c>
      <c r="E100" s="7">
        <f t="shared" si="6"/>
        <v>4687854.1000000834</v>
      </c>
      <c r="F100" s="766">
        <v>76</v>
      </c>
      <c r="G100" s="763">
        <f t="shared" si="7"/>
        <v>4687778.1000000834</v>
      </c>
      <c r="H100" s="763"/>
      <c r="I100" s="77"/>
      <c r="J100" s="7"/>
    </row>
    <row r="101" spans="1:10" x14ac:dyDescent="0.2">
      <c r="A101" s="760">
        <f t="shared" si="8"/>
        <v>46</v>
      </c>
      <c r="C101" s="739" t="s">
        <v>216</v>
      </c>
      <c r="D101" s="767">
        <v>2010</v>
      </c>
      <c r="E101" s="7">
        <f t="shared" si="6"/>
        <v>2773573.650000006</v>
      </c>
      <c r="F101" s="766">
        <v>7</v>
      </c>
      <c r="G101" s="763">
        <f t="shared" si="7"/>
        <v>2773566.650000006</v>
      </c>
      <c r="H101" s="763"/>
      <c r="I101" s="77"/>
      <c r="J101" s="7"/>
    </row>
    <row r="102" spans="1:10" x14ac:dyDescent="0.2">
      <c r="A102" s="760">
        <f t="shared" si="8"/>
        <v>47</v>
      </c>
      <c r="C102" s="737" t="s">
        <v>217</v>
      </c>
      <c r="D102" s="767">
        <v>2010</v>
      </c>
      <c r="E102" s="7">
        <f t="shared" si="6"/>
        <v>1304612.8600000143</v>
      </c>
      <c r="F102" s="766">
        <v>0</v>
      </c>
      <c r="G102" s="763">
        <f t="shared" si="7"/>
        <v>1304612.8600000143</v>
      </c>
      <c r="H102" s="763"/>
      <c r="I102" s="77"/>
      <c r="J102" s="7"/>
    </row>
    <row r="103" spans="1:10" x14ac:dyDescent="0.2">
      <c r="A103" s="760">
        <f t="shared" si="8"/>
        <v>48</v>
      </c>
      <c r="C103" s="737" t="s">
        <v>218</v>
      </c>
      <c r="D103" s="767">
        <v>2010</v>
      </c>
      <c r="E103" s="7">
        <f t="shared" si="6"/>
        <v>3351751.4399999976</v>
      </c>
      <c r="F103" s="766">
        <v>0</v>
      </c>
      <c r="G103" s="763">
        <f t="shared" si="7"/>
        <v>3351751.4399999976</v>
      </c>
      <c r="H103" s="763"/>
      <c r="I103" s="77"/>
      <c r="J103" s="7"/>
    </row>
    <row r="104" spans="1:10" x14ac:dyDescent="0.2">
      <c r="A104" s="760">
        <f t="shared" si="8"/>
        <v>49</v>
      </c>
      <c r="C104" s="739" t="s">
        <v>219</v>
      </c>
      <c r="D104" s="767">
        <v>2010</v>
      </c>
      <c r="E104" s="7">
        <f t="shared" si="6"/>
        <v>4473908.7200000286</v>
      </c>
      <c r="F104" s="766">
        <v>0</v>
      </c>
      <c r="G104" s="763">
        <f t="shared" si="7"/>
        <v>4473908.7200000286</v>
      </c>
      <c r="H104" s="763"/>
      <c r="I104" s="77"/>
      <c r="J104" s="7"/>
    </row>
    <row r="105" spans="1:10" x14ac:dyDescent="0.2">
      <c r="A105" s="760">
        <f t="shared" si="8"/>
        <v>50</v>
      </c>
      <c r="C105" s="739" t="s">
        <v>220</v>
      </c>
      <c r="D105" s="767">
        <v>2010</v>
      </c>
      <c r="E105" s="7">
        <f t="shared" si="6"/>
        <v>3939376.2100000083</v>
      </c>
      <c r="F105" s="766">
        <v>-2862</v>
      </c>
      <c r="G105" s="763">
        <f t="shared" si="7"/>
        <v>3942238.2100000083</v>
      </c>
      <c r="H105" s="763"/>
      <c r="I105" s="77"/>
      <c r="J105" s="7"/>
    </row>
    <row r="106" spans="1:10" x14ac:dyDescent="0.2">
      <c r="A106" s="760">
        <f t="shared" si="8"/>
        <v>51</v>
      </c>
      <c r="C106" s="739" t="s">
        <v>210</v>
      </c>
      <c r="D106" s="767">
        <v>2010</v>
      </c>
      <c r="E106" s="95">
        <f t="shared" si="6"/>
        <v>137747.05999997139</v>
      </c>
      <c r="F106" s="488">
        <v>0</v>
      </c>
      <c r="G106" s="391">
        <f t="shared" si="7"/>
        <v>137747.05999997139</v>
      </c>
      <c r="H106" s="763"/>
      <c r="I106" s="77"/>
      <c r="J106" s="7"/>
    </row>
    <row r="107" spans="1:10" x14ac:dyDescent="0.2">
      <c r="A107" s="760">
        <f t="shared" si="8"/>
        <v>52</v>
      </c>
      <c r="C107" s="739" t="s">
        <v>226</v>
      </c>
      <c r="D107" s="750"/>
      <c r="E107" s="65">
        <f>SUM(E94:E106)</f>
        <v>47269891.630000025</v>
      </c>
      <c r="F107" s="65">
        <f t="shared" ref="F107:G107" si="9">SUM(F94:F106)</f>
        <v>-2763</v>
      </c>
      <c r="G107" s="65">
        <f t="shared" si="9"/>
        <v>47272654.630000025</v>
      </c>
      <c r="H107" s="763"/>
      <c r="I107" s="77"/>
      <c r="J107" s="1"/>
    </row>
    <row r="108" spans="1:10" x14ac:dyDescent="0.2">
      <c r="A108" s="760"/>
      <c r="C108" s="739"/>
      <c r="D108" s="750"/>
      <c r="E108" s="65"/>
      <c r="F108" s="763"/>
      <c r="G108" s="763"/>
      <c r="H108" s="763"/>
      <c r="I108" s="77"/>
      <c r="J108" s="1"/>
    </row>
    <row r="110" spans="1:10" x14ac:dyDescent="0.2">
      <c r="C110" s="202" t="s">
        <v>2050</v>
      </c>
    </row>
    <row r="112" spans="1:10" x14ac:dyDescent="0.2">
      <c r="C112" s="1" t="s">
        <v>2051</v>
      </c>
      <c r="E112" s="88" t="s">
        <v>406</v>
      </c>
      <c r="F112" s="88" t="s">
        <v>390</v>
      </c>
      <c r="G112" s="88" t="s">
        <v>391</v>
      </c>
      <c r="H112" s="88" t="s">
        <v>392</v>
      </c>
    </row>
    <row r="113" spans="1:9" x14ac:dyDescent="0.2">
      <c r="G113" s="665" t="s">
        <v>2416</v>
      </c>
      <c r="H113" s="665" t="s">
        <v>2417</v>
      </c>
    </row>
    <row r="114" spans="1:9" x14ac:dyDescent="0.2">
      <c r="C114" s="760" t="s">
        <v>604</v>
      </c>
      <c r="H114" s="650" t="s">
        <v>2418</v>
      </c>
    </row>
    <row r="115" spans="1:9" x14ac:dyDescent="0.2">
      <c r="C115" s="760" t="s">
        <v>223</v>
      </c>
      <c r="E115" s="760" t="s">
        <v>427</v>
      </c>
      <c r="F115" s="760" t="s">
        <v>2052</v>
      </c>
      <c r="G115" s="760" t="s">
        <v>1107</v>
      </c>
      <c r="H115" s="760" t="s">
        <v>1280</v>
      </c>
    </row>
    <row r="116" spans="1:9" x14ac:dyDescent="0.2">
      <c r="C116" s="25" t="s">
        <v>222</v>
      </c>
      <c r="D116" s="25" t="s">
        <v>223</v>
      </c>
      <c r="E116" s="3" t="s">
        <v>2053</v>
      </c>
      <c r="F116" s="3" t="s">
        <v>1229</v>
      </c>
      <c r="G116" s="3" t="s">
        <v>4</v>
      </c>
      <c r="H116" s="3" t="s">
        <v>2048</v>
      </c>
    </row>
    <row r="117" spans="1:9" x14ac:dyDescent="0.2">
      <c r="A117" s="760">
        <f>A107+1</f>
        <v>53</v>
      </c>
      <c r="C117" s="739" t="s">
        <v>210</v>
      </c>
      <c r="D117" s="765">
        <v>2009</v>
      </c>
      <c r="E117" s="113">
        <v>347666517.44999999</v>
      </c>
      <c r="F117" s="113">
        <v>945699.43990933325</v>
      </c>
      <c r="G117" s="7">
        <f t="shared" ref="G117:G129" si="10">E117-F117</f>
        <v>346720818.01009065</v>
      </c>
      <c r="H117" s="7">
        <f>E117-E117</f>
        <v>0</v>
      </c>
      <c r="I117" s="840"/>
    </row>
    <row r="118" spans="1:9" x14ac:dyDescent="0.2">
      <c r="A118" s="760">
        <f>A117+1</f>
        <v>54</v>
      </c>
      <c r="C118" s="739" t="s">
        <v>211</v>
      </c>
      <c r="D118" s="767">
        <v>2010</v>
      </c>
      <c r="E118" s="113">
        <v>356462501</v>
      </c>
      <c r="F118" s="113">
        <v>1713897.5505995834</v>
      </c>
      <c r="G118" s="7">
        <f t="shared" si="10"/>
        <v>354748603.44940042</v>
      </c>
      <c r="H118" s="7">
        <f>E118-E117</f>
        <v>8795983.5500000119</v>
      </c>
    </row>
    <row r="119" spans="1:9" x14ac:dyDescent="0.2">
      <c r="A119" s="760">
        <f t="shared" ref="A119:A129" si="11">A118+1</f>
        <v>55</v>
      </c>
      <c r="C119" s="737" t="s">
        <v>212</v>
      </c>
      <c r="D119" s="767">
        <v>2010</v>
      </c>
      <c r="E119" s="113">
        <v>358039323.88999999</v>
      </c>
      <c r="F119" s="113">
        <v>2503002.1807094165</v>
      </c>
      <c r="G119" s="7">
        <f t="shared" si="10"/>
        <v>355536321.70929056</v>
      </c>
      <c r="H119" s="7">
        <f t="shared" ref="H119:H129" si="12">E119-E118</f>
        <v>1576822.8899999857</v>
      </c>
    </row>
    <row r="120" spans="1:9" x14ac:dyDescent="0.2">
      <c r="A120" s="760">
        <f t="shared" si="11"/>
        <v>56</v>
      </c>
      <c r="C120" s="737" t="s">
        <v>225</v>
      </c>
      <c r="D120" s="767">
        <v>2010</v>
      </c>
      <c r="E120" s="113">
        <v>362473343.19</v>
      </c>
      <c r="F120" s="113">
        <v>3295709.8470177501</v>
      </c>
      <c r="G120" s="7">
        <f t="shared" si="10"/>
        <v>359177633.34298223</v>
      </c>
      <c r="H120" s="7">
        <f t="shared" si="12"/>
        <v>4434019.3000000119</v>
      </c>
    </row>
    <row r="121" spans="1:9" x14ac:dyDescent="0.2">
      <c r="A121" s="760">
        <f t="shared" si="11"/>
        <v>57</v>
      </c>
      <c r="C121" s="739" t="s">
        <v>213</v>
      </c>
      <c r="D121" s="767">
        <v>2010</v>
      </c>
      <c r="E121" s="113">
        <v>363598947.51000005</v>
      </c>
      <c r="F121" s="113">
        <v>4098598.8418230829</v>
      </c>
      <c r="G121" s="7">
        <f t="shared" si="10"/>
        <v>359500348.66817695</v>
      </c>
      <c r="H121" s="7">
        <f t="shared" si="12"/>
        <v>1125604.3200000525</v>
      </c>
    </row>
    <row r="122" spans="1:9" x14ac:dyDescent="0.2">
      <c r="A122" s="760">
        <f t="shared" si="11"/>
        <v>58</v>
      </c>
      <c r="C122" s="737" t="s">
        <v>214</v>
      </c>
      <c r="D122" s="767">
        <v>2010</v>
      </c>
      <c r="E122" s="113">
        <v>364310715.61999995</v>
      </c>
      <c r="F122" s="113">
        <v>4904355.8779319162</v>
      </c>
      <c r="G122" s="7">
        <f t="shared" si="10"/>
        <v>359406359.74206805</v>
      </c>
      <c r="H122" s="7">
        <f t="shared" si="12"/>
        <v>711768.1099998951</v>
      </c>
    </row>
    <row r="123" spans="1:9" x14ac:dyDescent="0.2">
      <c r="A123" s="760">
        <f t="shared" si="11"/>
        <v>59</v>
      </c>
      <c r="C123" s="737" t="s">
        <v>215</v>
      </c>
      <c r="D123" s="767">
        <v>2010</v>
      </c>
      <c r="E123" s="113">
        <v>368337586.74000001</v>
      </c>
      <c r="F123" s="113">
        <v>5711786.9394257488</v>
      </c>
      <c r="G123" s="7">
        <f t="shared" si="10"/>
        <v>362625799.80057424</v>
      </c>
      <c r="H123" s="7">
        <f t="shared" si="12"/>
        <v>4026871.1200000644</v>
      </c>
    </row>
    <row r="124" spans="1:9" x14ac:dyDescent="0.2">
      <c r="A124" s="760">
        <f t="shared" si="11"/>
        <v>60</v>
      </c>
      <c r="C124" s="739" t="s">
        <v>216</v>
      </c>
      <c r="D124" s="767">
        <v>2010</v>
      </c>
      <c r="E124" s="113">
        <v>371110096.31999999</v>
      </c>
      <c r="F124" s="113">
        <v>6527995.0516931657</v>
      </c>
      <c r="G124" s="7">
        <f t="shared" si="10"/>
        <v>364582101.26830685</v>
      </c>
      <c r="H124" s="7">
        <f t="shared" si="12"/>
        <v>2772509.5799999833</v>
      </c>
    </row>
    <row r="125" spans="1:9" x14ac:dyDescent="0.2">
      <c r="A125" s="760">
        <f t="shared" si="11"/>
        <v>61</v>
      </c>
      <c r="C125" s="737" t="s">
        <v>217</v>
      </c>
      <c r="D125" s="767">
        <v>2010</v>
      </c>
      <c r="E125" s="113">
        <v>372414709.18000001</v>
      </c>
      <c r="F125" s="113">
        <v>7349458.0659579169</v>
      </c>
      <c r="G125" s="7">
        <f t="shared" si="10"/>
        <v>365065251.1140421</v>
      </c>
      <c r="H125" s="7">
        <f t="shared" si="12"/>
        <v>1304612.8600000143</v>
      </c>
    </row>
    <row r="126" spans="1:9" x14ac:dyDescent="0.2">
      <c r="A126" s="760">
        <f t="shared" si="11"/>
        <v>62</v>
      </c>
      <c r="C126" s="737" t="s">
        <v>218</v>
      </c>
      <c r="D126" s="767">
        <v>2010</v>
      </c>
      <c r="E126" s="113">
        <v>375766460.62</v>
      </c>
      <c r="F126" s="113">
        <v>8173868.2601500833</v>
      </c>
      <c r="G126" s="7">
        <f t="shared" si="10"/>
        <v>367592592.35984993</v>
      </c>
      <c r="H126" s="7">
        <f t="shared" si="12"/>
        <v>3351751.4399999976</v>
      </c>
    </row>
    <row r="127" spans="1:9" x14ac:dyDescent="0.2">
      <c r="A127" s="760">
        <f t="shared" si="11"/>
        <v>63</v>
      </c>
      <c r="C127" s="739" t="s">
        <v>219</v>
      </c>
      <c r="D127" s="767">
        <v>2010</v>
      </c>
      <c r="E127" s="113">
        <v>380240369.34000003</v>
      </c>
      <c r="F127" s="113">
        <v>9006075.7030330822</v>
      </c>
      <c r="G127" s="7">
        <f t="shared" si="10"/>
        <v>371234293.63696694</v>
      </c>
      <c r="H127" s="7">
        <f t="shared" si="12"/>
        <v>4473908.7200000286</v>
      </c>
    </row>
    <row r="128" spans="1:9" x14ac:dyDescent="0.2">
      <c r="A128" s="760">
        <f t="shared" si="11"/>
        <v>64</v>
      </c>
      <c r="C128" s="739" t="s">
        <v>220</v>
      </c>
      <c r="D128" s="767">
        <v>2010</v>
      </c>
      <c r="E128" s="113">
        <v>384189881.89000005</v>
      </c>
      <c r="F128" s="113">
        <v>9849330.4242694173</v>
      </c>
      <c r="G128" s="7">
        <f t="shared" si="10"/>
        <v>374340551.46573061</v>
      </c>
      <c r="H128" s="7">
        <f t="shared" si="12"/>
        <v>3949512.5500000119</v>
      </c>
    </row>
    <row r="129" spans="1:8" x14ac:dyDescent="0.2">
      <c r="A129" s="760">
        <f t="shared" si="11"/>
        <v>65</v>
      </c>
      <c r="C129" s="739" t="s">
        <v>210</v>
      </c>
      <c r="D129" s="767">
        <v>2010</v>
      </c>
      <c r="E129" s="113">
        <v>384298690.17000002</v>
      </c>
      <c r="F129" s="113">
        <v>10702432.303609582</v>
      </c>
      <c r="G129" s="7">
        <f t="shared" si="10"/>
        <v>373596257.86639041</v>
      </c>
      <c r="H129" s="7">
        <f t="shared" si="12"/>
        <v>108808.27999997139</v>
      </c>
    </row>
    <row r="130" spans="1:8" x14ac:dyDescent="0.2">
      <c r="A130" s="760"/>
      <c r="C130" s="739"/>
      <c r="D130" s="750"/>
    </row>
    <row r="132" spans="1:8" x14ac:dyDescent="0.2">
      <c r="C132" s="202" t="s">
        <v>2054</v>
      </c>
      <c r="E132" s="88" t="s">
        <v>406</v>
      </c>
      <c r="F132" s="88" t="s">
        <v>390</v>
      </c>
      <c r="G132" s="88" t="s">
        <v>391</v>
      </c>
      <c r="H132" s="88" t="s">
        <v>392</v>
      </c>
    </row>
    <row r="133" spans="1:8" x14ac:dyDescent="0.2">
      <c r="G133" s="665" t="s">
        <v>2416</v>
      </c>
      <c r="H133" s="665" t="s">
        <v>2417</v>
      </c>
    </row>
    <row r="134" spans="1:8" x14ac:dyDescent="0.2">
      <c r="C134" s="760" t="s">
        <v>604</v>
      </c>
      <c r="H134" s="650" t="s">
        <v>2418</v>
      </c>
    </row>
    <row r="135" spans="1:8" x14ac:dyDescent="0.2">
      <c r="C135" s="760" t="s">
        <v>223</v>
      </c>
      <c r="E135" s="760" t="s">
        <v>427</v>
      </c>
      <c r="F135" s="760" t="s">
        <v>2052</v>
      </c>
      <c r="G135" s="760" t="s">
        <v>1107</v>
      </c>
      <c r="H135" s="760" t="s">
        <v>1280</v>
      </c>
    </row>
    <row r="136" spans="1:8" x14ac:dyDescent="0.2">
      <c r="C136" s="25" t="s">
        <v>222</v>
      </c>
      <c r="D136" s="25" t="s">
        <v>223</v>
      </c>
      <c r="E136" s="3" t="s">
        <v>2053</v>
      </c>
      <c r="F136" s="3" t="s">
        <v>1229</v>
      </c>
      <c r="G136" s="3" t="s">
        <v>4</v>
      </c>
      <c r="H136" s="3" t="s">
        <v>2048</v>
      </c>
    </row>
    <row r="137" spans="1:8" x14ac:dyDescent="0.2">
      <c r="A137" s="760">
        <f>A129+1</f>
        <v>66</v>
      </c>
      <c r="C137" s="739" t="s">
        <v>210</v>
      </c>
      <c r="D137" s="765">
        <v>2009</v>
      </c>
      <c r="E137" s="113">
        <v>181135233.11000001</v>
      </c>
      <c r="F137" s="113">
        <v>2788541.47664775</v>
      </c>
      <c r="G137" s="7">
        <f>E137-F137</f>
        <v>178346691.63335225</v>
      </c>
      <c r="H137" s="7">
        <f>E137-E137</f>
        <v>0</v>
      </c>
    </row>
    <row r="138" spans="1:8" x14ac:dyDescent="0.2">
      <c r="A138" s="760">
        <f>A137+1</f>
        <v>67</v>
      </c>
      <c r="C138" s="739" t="s">
        <v>211</v>
      </c>
      <c r="D138" s="767">
        <v>2010</v>
      </c>
      <c r="E138" s="113">
        <v>189780134.99000004</v>
      </c>
      <c r="F138" s="113">
        <v>3183631.4318289999</v>
      </c>
      <c r="G138" s="7">
        <f t="shared" ref="G138:G149" si="13">E138-F138</f>
        <v>186596503.55817103</v>
      </c>
      <c r="H138" s="7">
        <f>E138-E137</f>
        <v>8644901.880000025</v>
      </c>
    </row>
    <row r="139" spans="1:8" x14ac:dyDescent="0.2">
      <c r="A139" s="760">
        <f t="shared" ref="A139:A149" si="14">A138+1</f>
        <v>68</v>
      </c>
      <c r="C139" s="737" t="s">
        <v>212</v>
      </c>
      <c r="D139" s="767">
        <v>2010</v>
      </c>
      <c r="E139" s="113">
        <v>190573487.10000005</v>
      </c>
      <c r="F139" s="113">
        <v>3598482.68158925</v>
      </c>
      <c r="G139" s="7">
        <f t="shared" si="13"/>
        <v>186975004.41841081</v>
      </c>
      <c r="H139" s="7">
        <f t="shared" ref="H139:H149" si="15">E139-E138</f>
        <v>793352.11000001431</v>
      </c>
    </row>
    <row r="140" spans="1:8" x14ac:dyDescent="0.2">
      <c r="A140" s="760">
        <f t="shared" si="14"/>
        <v>69</v>
      </c>
      <c r="C140" s="737" t="s">
        <v>225</v>
      </c>
      <c r="D140" s="767">
        <v>2010</v>
      </c>
      <c r="E140" s="113">
        <v>190918669.82000002</v>
      </c>
      <c r="F140" s="113">
        <v>4015065.645556333</v>
      </c>
      <c r="G140" s="7">
        <f t="shared" si="13"/>
        <v>186903604.17444369</v>
      </c>
      <c r="H140" s="7">
        <f t="shared" si="15"/>
        <v>345182.71999996901</v>
      </c>
    </row>
    <row r="141" spans="1:8" x14ac:dyDescent="0.2">
      <c r="A141" s="760">
        <f t="shared" si="14"/>
        <v>70</v>
      </c>
      <c r="C141" s="739" t="s">
        <v>213</v>
      </c>
      <c r="D141" s="767">
        <v>2010</v>
      </c>
      <c r="E141" s="113">
        <v>190943925.02000001</v>
      </c>
      <c r="F141" s="113">
        <v>4432400.118505667</v>
      </c>
      <c r="G141" s="7">
        <f t="shared" si="13"/>
        <v>186511524.90149435</v>
      </c>
      <c r="H141" s="7">
        <f t="shared" si="15"/>
        <v>25255.199999988079</v>
      </c>
    </row>
    <row r="142" spans="1:8" x14ac:dyDescent="0.2">
      <c r="A142" s="760">
        <f t="shared" si="14"/>
        <v>71</v>
      </c>
      <c r="C142" s="737" t="s">
        <v>214</v>
      </c>
      <c r="D142" s="767">
        <v>2010</v>
      </c>
      <c r="E142" s="113">
        <v>191092102.52999997</v>
      </c>
      <c r="F142" s="113">
        <v>4849789.5971758338</v>
      </c>
      <c r="G142" s="7">
        <f t="shared" si="13"/>
        <v>186242312.93282413</v>
      </c>
      <c r="H142" s="7">
        <f t="shared" si="15"/>
        <v>148177.50999996066</v>
      </c>
    </row>
    <row r="143" spans="1:8" x14ac:dyDescent="0.2">
      <c r="A143" s="760">
        <f t="shared" si="14"/>
        <v>72</v>
      </c>
      <c r="C143" s="737" t="s">
        <v>215</v>
      </c>
      <c r="D143" s="767">
        <v>2010</v>
      </c>
      <c r="E143" s="113">
        <v>191753085.50999999</v>
      </c>
      <c r="F143" s="113">
        <v>5267502.0958683332</v>
      </c>
      <c r="G143" s="7">
        <f t="shared" si="13"/>
        <v>186485583.41413167</v>
      </c>
      <c r="H143" s="7">
        <f t="shared" si="15"/>
        <v>660982.98000001907</v>
      </c>
    </row>
    <row r="144" spans="1:8" x14ac:dyDescent="0.2">
      <c r="A144" s="760">
        <f t="shared" si="14"/>
        <v>73</v>
      </c>
      <c r="C144" s="739" t="s">
        <v>216</v>
      </c>
      <c r="D144" s="767">
        <v>2010</v>
      </c>
      <c r="E144" s="113">
        <v>191754149.58000001</v>
      </c>
      <c r="F144" s="113">
        <v>5686692.11121675</v>
      </c>
      <c r="G144" s="7">
        <f t="shared" si="13"/>
        <v>186067457.46878326</v>
      </c>
      <c r="H144" s="7">
        <f t="shared" si="15"/>
        <v>1064.0700000226498</v>
      </c>
    </row>
    <row r="145" spans="1:8" x14ac:dyDescent="0.2">
      <c r="A145" s="760">
        <f t="shared" si="14"/>
        <v>74</v>
      </c>
      <c r="C145" s="737" t="s">
        <v>217</v>
      </c>
      <c r="D145" s="767">
        <v>2010</v>
      </c>
      <c r="E145" s="113">
        <v>191754149.58000001</v>
      </c>
      <c r="F145" s="113">
        <v>6105885.2266226672</v>
      </c>
      <c r="G145" s="7">
        <f t="shared" si="13"/>
        <v>185648264.35337734</v>
      </c>
      <c r="H145" s="7">
        <f t="shared" si="15"/>
        <v>0</v>
      </c>
    </row>
    <row r="146" spans="1:8" x14ac:dyDescent="0.2">
      <c r="A146" s="760">
        <f t="shared" si="14"/>
        <v>75</v>
      </c>
      <c r="C146" s="737" t="s">
        <v>218</v>
      </c>
      <c r="D146" s="767">
        <v>2010</v>
      </c>
      <c r="E146" s="113">
        <v>191754149.58000001</v>
      </c>
      <c r="F146" s="113">
        <v>6525078.3420285825</v>
      </c>
      <c r="G146" s="7">
        <f t="shared" si="13"/>
        <v>185229071.23797143</v>
      </c>
      <c r="H146" s="7">
        <f t="shared" si="15"/>
        <v>0</v>
      </c>
    </row>
    <row r="147" spans="1:8" x14ac:dyDescent="0.2">
      <c r="A147" s="760">
        <f t="shared" si="14"/>
        <v>76</v>
      </c>
      <c r="C147" s="739" t="s">
        <v>219</v>
      </c>
      <c r="D147" s="767">
        <v>2010</v>
      </c>
      <c r="E147" s="113">
        <v>191754149.58000001</v>
      </c>
      <c r="F147" s="113">
        <v>6944271.4574345006</v>
      </c>
      <c r="G147" s="7">
        <f t="shared" si="13"/>
        <v>184809878.12256551</v>
      </c>
      <c r="H147" s="7">
        <f t="shared" si="15"/>
        <v>0</v>
      </c>
    </row>
    <row r="148" spans="1:8" x14ac:dyDescent="0.2">
      <c r="A148" s="760">
        <f t="shared" si="14"/>
        <v>77</v>
      </c>
      <c r="C148" s="739" t="s">
        <v>220</v>
      </c>
      <c r="D148" s="767">
        <v>2010</v>
      </c>
      <c r="E148" s="113">
        <v>191744013.24000001</v>
      </c>
      <c r="F148" s="113">
        <v>7363464.5728404177</v>
      </c>
      <c r="G148" s="7">
        <f t="shared" si="13"/>
        <v>184380548.66715959</v>
      </c>
      <c r="H148" s="7">
        <f t="shared" si="15"/>
        <v>-10136.340000003576</v>
      </c>
    </row>
    <row r="149" spans="1:8" x14ac:dyDescent="0.2">
      <c r="A149" s="760">
        <f t="shared" si="14"/>
        <v>78</v>
      </c>
      <c r="C149" s="739" t="s">
        <v>210</v>
      </c>
      <c r="D149" s="767">
        <v>2010</v>
      </c>
      <c r="E149" s="113">
        <v>191744013.24000001</v>
      </c>
      <c r="F149" s="113">
        <v>7782523.0169231677</v>
      </c>
      <c r="G149" s="7">
        <f t="shared" si="13"/>
        <v>183961490.22307685</v>
      </c>
      <c r="H149" s="7">
        <f t="shared" si="15"/>
        <v>0</v>
      </c>
    </row>
    <row r="150" spans="1:8" x14ac:dyDescent="0.2">
      <c r="A150" s="760"/>
    </row>
    <row r="151" spans="1:8" ht="12.75" customHeight="1" x14ac:dyDescent="0.2"/>
    <row r="152" spans="1:8" x14ac:dyDescent="0.2">
      <c r="C152" s="202" t="s">
        <v>2055</v>
      </c>
      <c r="E152" s="88" t="s">
        <v>406</v>
      </c>
      <c r="F152" s="88" t="s">
        <v>390</v>
      </c>
      <c r="G152" s="88" t="s">
        <v>391</v>
      </c>
      <c r="H152" s="88" t="s">
        <v>392</v>
      </c>
    </row>
    <row r="153" spans="1:8" x14ac:dyDescent="0.2">
      <c r="G153" s="665" t="s">
        <v>2416</v>
      </c>
      <c r="H153" s="665" t="s">
        <v>2417</v>
      </c>
    </row>
    <row r="154" spans="1:8" x14ac:dyDescent="0.2">
      <c r="C154" s="760" t="s">
        <v>604</v>
      </c>
      <c r="H154" s="650" t="s">
        <v>2418</v>
      </c>
    </row>
    <row r="155" spans="1:8" x14ac:dyDescent="0.2">
      <c r="C155" s="760" t="s">
        <v>223</v>
      </c>
      <c r="E155" s="760" t="s">
        <v>427</v>
      </c>
      <c r="F155" s="760" t="s">
        <v>2052</v>
      </c>
      <c r="G155" s="760" t="s">
        <v>1107</v>
      </c>
      <c r="H155" s="760" t="s">
        <v>1280</v>
      </c>
    </row>
    <row r="156" spans="1:8" x14ac:dyDescent="0.2">
      <c r="C156" s="25" t="s">
        <v>222</v>
      </c>
      <c r="D156" s="25" t="s">
        <v>223</v>
      </c>
      <c r="E156" s="3" t="s">
        <v>2053</v>
      </c>
      <c r="F156" s="3" t="s">
        <v>1229</v>
      </c>
      <c r="G156" s="3" t="s">
        <v>4</v>
      </c>
      <c r="H156" s="3" t="s">
        <v>2048</v>
      </c>
    </row>
    <row r="157" spans="1:8" x14ac:dyDescent="0.2">
      <c r="A157" s="760">
        <f>A149+1</f>
        <v>79</v>
      </c>
      <c r="C157" s="739" t="s">
        <v>210</v>
      </c>
      <c r="D157" s="765">
        <v>2009</v>
      </c>
      <c r="E157" s="113">
        <v>20436.349999999999</v>
      </c>
      <c r="F157" s="113">
        <v>101.57143141666667</v>
      </c>
      <c r="G157" s="7">
        <f t="shared" ref="G157:G169" si="16">E157-F157</f>
        <v>20334.778568583333</v>
      </c>
      <c r="H157" s="7">
        <f>E157-E157</f>
        <v>0</v>
      </c>
    </row>
    <row r="158" spans="1:8" x14ac:dyDescent="0.2">
      <c r="A158" s="760">
        <f>A157+1</f>
        <v>80</v>
      </c>
      <c r="C158" s="739" t="s">
        <v>211</v>
      </c>
      <c r="D158" s="767">
        <v>2010</v>
      </c>
      <c r="E158" s="113">
        <v>20436.349999999999</v>
      </c>
      <c r="F158" s="113">
        <v>146.18695183333335</v>
      </c>
      <c r="G158" s="7">
        <f t="shared" si="16"/>
        <v>20290.163048166665</v>
      </c>
      <c r="H158" s="7">
        <f>E158-E157</f>
        <v>0</v>
      </c>
    </row>
    <row r="159" spans="1:8" x14ac:dyDescent="0.2">
      <c r="A159" s="760">
        <f t="shared" ref="A159:A169" si="17">A158+1</f>
        <v>81</v>
      </c>
      <c r="C159" s="737" t="s">
        <v>212</v>
      </c>
      <c r="D159" s="767">
        <v>2010</v>
      </c>
      <c r="E159" s="113">
        <v>20436.349999999999</v>
      </c>
      <c r="F159" s="113">
        <v>190.80247225000002</v>
      </c>
      <c r="G159" s="7">
        <f t="shared" si="16"/>
        <v>20245.547527749997</v>
      </c>
      <c r="H159" s="7">
        <f t="shared" ref="H159:H169" si="18">E159-E158</f>
        <v>0</v>
      </c>
    </row>
    <row r="160" spans="1:8" x14ac:dyDescent="0.2">
      <c r="A160" s="760">
        <f t="shared" si="17"/>
        <v>82</v>
      </c>
      <c r="C160" s="737" t="s">
        <v>225</v>
      </c>
      <c r="D160" s="767">
        <v>2010</v>
      </c>
      <c r="E160" s="113">
        <v>20436.349999999999</v>
      </c>
      <c r="F160" s="113">
        <v>235.41799266666672</v>
      </c>
      <c r="G160" s="7">
        <f t="shared" si="16"/>
        <v>20200.932007333333</v>
      </c>
      <c r="H160" s="7">
        <f t="shared" si="18"/>
        <v>0</v>
      </c>
    </row>
    <row r="161" spans="1:8" x14ac:dyDescent="0.2">
      <c r="A161" s="760">
        <f t="shared" si="17"/>
        <v>83</v>
      </c>
      <c r="C161" s="739" t="s">
        <v>213</v>
      </c>
      <c r="D161" s="767">
        <v>2010</v>
      </c>
      <c r="E161" s="113">
        <v>20436.349999999999</v>
      </c>
      <c r="F161" s="113">
        <v>280.03351308333339</v>
      </c>
      <c r="G161" s="7">
        <f t="shared" si="16"/>
        <v>20156.316486916665</v>
      </c>
      <c r="H161" s="7">
        <f t="shared" si="18"/>
        <v>0</v>
      </c>
    </row>
    <row r="162" spans="1:8" x14ac:dyDescent="0.2">
      <c r="A162" s="760">
        <f t="shared" si="17"/>
        <v>84</v>
      </c>
      <c r="C162" s="737" t="s">
        <v>214</v>
      </c>
      <c r="D162" s="767">
        <v>2010</v>
      </c>
      <c r="E162" s="113">
        <v>20436.349999999999</v>
      </c>
      <c r="F162" s="113">
        <v>324.64903350000009</v>
      </c>
      <c r="G162" s="7">
        <f t="shared" si="16"/>
        <v>20111.700966499997</v>
      </c>
      <c r="H162" s="7">
        <f t="shared" si="18"/>
        <v>0</v>
      </c>
    </row>
    <row r="163" spans="1:8" x14ac:dyDescent="0.2">
      <c r="A163" s="760">
        <f t="shared" si="17"/>
        <v>85</v>
      </c>
      <c r="C163" s="737" t="s">
        <v>215</v>
      </c>
      <c r="D163" s="767">
        <v>2010</v>
      </c>
      <c r="E163" s="113">
        <v>20436.349999999999</v>
      </c>
      <c r="F163" s="113">
        <v>369.26455391666678</v>
      </c>
      <c r="G163" s="7">
        <f t="shared" si="16"/>
        <v>20067.085446083332</v>
      </c>
      <c r="H163" s="7">
        <f t="shared" si="18"/>
        <v>0</v>
      </c>
    </row>
    <row r="164" spans="1:8" x14ac:dyDescent="0.2">
      <c r="A164" s="760">
        <f t="shared" si="17"/>
        <v>86</v>
      </c>
      <c r="C164" s="739" t="s">
        <v>216</v>
      </c>
      <c r="D164" s="767">
        <v>2010</v>
      </c>
      <c r="E164" s="113">
        <v>20436.349999999999</v>
      </c>
      <c r="F164" s="113">
        <v>413.88007433333343</v>
      </c>
      <c r="G164" s="7">
        <f t="shared" si="16"/>
        <v>20022.469925666664</v>
      </c>
      <c r="H164" s="7">
        <f t="shared" si="18"/>
        <v>0</v>
      </c>
    </row>
    <row r="165" spans="1:8" x14ac:dyDescent="0.2">
      <c r="A165" s="760">
        <f t="shared" si="17"/>
        <v>87</v>
      </c>
      <c r="C165" s="737" t="s">
        <v>217</v>
      </c>
      <c r="D165" s="767">
        <v>2010</v>
      </c>
      <c r="E165" s="113">
        <v>20436.349999999999</v>
      </c>
      <c r="F165" s="113">
        <v>458.49559475000012</v>
      </c>
      <c r="G165" s="7">
        <f t="shared" si="16"/>
        <v>19977.85440525</v>
      </c>
      <c r="H165" s="7">
        <f t="shared" si="18"/>
        <v>0</v>
      </c>
    </row>
    <row r="166" spans="1:8" x14ac:dyDescent="0.2">
      <c r="A166" s="760">
        <f t="shared" si="17"/>
        <v>88</v>
      </c>
      <c r="C166" s="737" t="s">
        <v>218</v>
      </c>
      <c r="D166" s="767">
        <v>2010</v>
      </c>
      <c r="E166" s="113">
        <v>20436.349999999999</v>
      </c>
      <c r="F166" s="113">
        <v>503.11111516666676</v>
      </c>
      <c r="G166" s="7">
        <f t="shared" si="16"/>
        <v>19933.238884833332</v>
      </c>
      <c r="H166" s="7">
        <f t="shared" si="18"/>
        <v>0</v>
      </c>
    </row>
    <row r="167" spans="1:8" x14ac:dyDescent="0.2">
      <c r="A167" s="760">
        <f t="shared" si="17"/>
        <v>89</v>
      </c>
      <c r="C167" s="739" t="s">
        <v>219</v>
      </c>
      <c r="D167" s="767">
        <v>2010</v>
      </c>
      <c r="E167" s="113">
        <v>20436.349999999999</v>
      </c>
      <c r="F167" s="113">
        <v>547.7266355833334</v>
      </c>
      <c r="G167" s="7">
        <f t="shared" si="16"/>
        <v>19888.623364416664</v>
      </c>
      <c r="H167" s="7">
        <f t="shared" si="18"/>
        <v>0</v>
      </c>
    </row>
    <row r="168" spans="1:8" x14ac:dyDescent="0.2">
      <c r="A168" s="760">
        <f t="shared" si="17"/>
        <v>90</v>
      </c>
      <c r="C168" s="739" t="s">
        <v>220</v>
      </c>
      <c r="D168" s="767">
        <v>2010</v>
      </c>
      <c r="E168" s="113">
        <v>20436.349999999999</v>
      </c>
      <c r="F168" s="113">
        <v>592.34215600000005</v>
      </c>
      <c r="G168" s="7">
        <f t="shared" si="16"/>
        <v>19844.007844</v>
      </c>
      <c r="H168" s="7">
        <f t="shared" si="18"/>
        <v>0</v>
      </c>
    </row>
    <row r="169" spans="1:8" x14ac:dyDescent="0.2">
      <c r="A169" s="760">
        <f t="shared" si="17"/>
        <v>91</v>
      </c>
      <c r="C169" s="739" t="s">
        <v>210</v>
      </c>
      <c r="D169" s="767">
        <v>2010</v>
      </c>
      <c r="E169" s="113">
        <v>49375.12999999999</v>
      </c>
      <c r="F169" s="113">
        <v>636.95767641666669</v>
      </c>
      <c r="G169" s="7">
        <f t="shared" si="16"/>
        <v>48738.172323583327</v>
      </c>
      <c r="H169" s="7">
        <f t="shared" si="18"/>
        <v>28938.779999999992</v>
      </c>
    </row>
    <row r="171" spans="1:8" x14ac:dyDescent="0.2">
      <c r="C171" s="202" t="s">
        <v>2056</v>
      </c>
      <c r="E171" s="88" t="s">
        <v>406</v>
      </c>
      <c r="F171" s="88" t="s">
        <v>390</v>
      </c>
      <c r="G171" s="88" t="s">
        <v>391</v>
      </c>
      <c r="H171" s="88" t="s">
        <v>392</v>
      </c>
    </row>
    <row r="172" spans="1:8" x14ac:dyDescent="0.2">
      <c r="G172" s="665" t="s">
        <v>2416</v>
      </c>
      <c r="H172" s="665" t="s">
        <v>2417</v>
      </c>
    </row>
    <row r="173" spans="1:8" x14ac:dyDescent="0.2">
      <c r="C173" s="760" t="s">
        <v>604</v>
      </c>
      <c r="H173" s="650" t="s">
        <v>2418</v>
      </c>
    </row>
    <row r="174" spans="1:8" x14ac:dyDescent="0.2">
      <c r="C174" s="760" t="s">
        <v>223</v>
      </c>
      <c r="E174" s="760" t="s">
        <v>427</v>
      </c>
      <c r="F174" s="760" t="s">
        <v>2052</v>
      </c>
      <c r="G174" s="760" t="s">
        <v>1107</v>
      </c>
      <c r="H174" s="760" t="s">
        <v>1280</v>
      </c>
    </row>
    <row r="175" spans="1:8" x14ac:dyDescent="0.2">
      <c r="C175" s="25" t="s">
        <v>222</v>
      </c>
      <c r="D175" s="25" t="s">
        <v>223</v>
      </c>
      <c r="E175" s="3" t="s">
        <v>2053</v>
      </c>
      <c r="F175" s="3" t="s">
        <v>1229</v>
      </c>
      <c r="G175" s="3" t="s">
        <v>4</v>
      </c>
      <c r="H175" s="3" t="s">
        <v>2048</v>
      </c>
    </row>
    <row r="176" spans="1:8" x14ac:dyDescent="0.2">
      <c r="A176" s="760">
        <f>A169+1</f>
        <v>92</v>
      </c>
      <c r="C176" s="739" t="s">
        <v>210</v>
      </c>
      <c r="D176" s="765">
        <v>2009</v>
      </c>
      <c r="E176" s="113">
        <v>0</v>
      </c>
      <c r="F176" s="113">
        <v>0</v>
      </c>
      <c r="G176" s="7">
        <f t="shared" ref="G176:G188" si="19">E176-F176</f>
        <v>0</v>
      </c>
      <c r="H176" s="7">
        <f>E176-E176</f>
        <v>0</v>
      </c>
    </row>
    <row r="177" spans="1:8" x14ac:dyDescent="0.2">
      <c r="A177" s="760">
        <f>A176+1</f>
        <v>93</v>
      </c>
      <c r="C177" s="739" t="s">
        <v>211</v>
      </c>
      <c r="D177" s="767">
        <v>2010</v>
      </c>
      <c r="E177" s="113">
        <v>0</v>
      </c>
      <c r="F177" s="113">
        <v>0</v>
      </c>
      <c r="G177" s="7">
        <f t="shared" si="19"/>
        <v>0</v>
      </c>
      <c r="H177" s="7">
        <f>E177-E176</f>
        <v>0</v>
      </c>
    </row>
    <row r="178" spans="1:8" x14ac:dyDescent="0.2">
      <c r="A178" s="760">
        <f t="shared" ref="A178:A188" si="20">A177+1</f>
        <v>94</v>
      </c>
      <c r="C178" s="737" t="s">
        <v>212</v>
      </c>
      <c r="D178" s="767">
        <v>2010</v>
      </c>
      <c r="E178" s="113">
        <v>0</v>
      </c>
      <c r="F178" s="113">
        <v>0</v>
      </c>
      <c r="G178" s="7">
        <f t="shared" si="19"/>
        <v>0</v>
      </c>
      <c r="H178" s="7">
        <f t="shared" ref="H178:H188" si="21">E178-E177</f>
        <v>0</v>
      </c>
    </row>
    <row r="179" spans="1:8" x14ac:dyDescent="0.2">
      <c r="A179" s="760">
        <f t="shared" si="20"/>
        <v>95</v>
      </c>
      <c r="C179" s="737" t="s">
        <v>225</v>
      </c>
      <c r="D179" s="767">
        <v>2010</v>
      </c>
      <c r="E179" s="113">
        <v>0</v>
      </c>
      <c r="F179" s="113">
        <v>0</v>
      </c>
      <c r="G179" s="7">
        <f t="shared" si="19"/>
        <v>0</v>
      </c>
      <c r="H179" s="7">
        <f t="shared" si="21"/>
        <v>0</v>
      </c>
    </row>
    <row r="180" spans="1:8" x14ac:dyDescent="0.2">
      <c r="A180" s="760">
        <f t="shared" si="20"/>
        <v>96</v>
      </c>
      <c r="C180" s="739" t="s">
        <v>213</v>
      </c>
      <c r="D180" s="767">
        <v>2010</v>
      </c>
      <c r="E180" s="113">
        <v>0</v>
      </c>
      <c r="F180" s="113">
        <v>0</v>
      </c>
      <c r="G180" s="7">
        <f t="shared" si="19"/>
        <v>0</v>
      </c>
      <c r="H180" s="7">
        <f t="shared" si="21"/>
        <v>0</v>
      </c>
    </row>
    <row r="181" spans="1:8" x14ac:dyDescent="0.2">
      <c r="A181" s="760">
        <f t="shared" si="20"/>
        <v>97</v>
      </c>
      <c r="C181" s="737" t="s">
        <v>214</v>
      </c>
      <c r="D181" s="767">
        <v>2010</v>
      </c>
      <c r="E181" s="113">
        <v>0</v>
      </c>
      <c r="F181" s="113">
        <v>0</v>
      </c>
      <c r="G181" s="7">
        <f t="shared" si="19"/>
        <v>0</v>
      </c>
      <c r="H181" s="7">
        <f t="shared" si="21"/>
        <v>0</v>
      </c>
    </row>
    <row r="182" spans="1:8" x14ac:dyDescent="0.2">
      <c r="A182" s="760">
        <f t="shared" si="20"/>
        <v>98</v>
      </c>
      <c r="C182" s="737" t="s">
        <v>215</v>
      </c>
      <c r="D182" s="767">
        <v>2010</v>
      </c>
      <c r="E182" s="113">
        <v>0</v>
      </c>
      <c r="F182" s="113">
        <v>0</v>
      </c>
      <c r="G182" s="7">
        <f t="shared" si="19"/>
        <v>0</v>
      </c>
      <c r="H182" s="7">
        <f t="shared" si="21"/>
        <v>0</v>
      </c>
    </row>
    <row r="183" spans="1:8" x14ac:dyDescent="0.2">
      <c r="A183" s="760">
        <f t="shared" si="20"/>
        <v>99</v>
      </c>
      <c r="C183" s="739" t="s">
        <v>216</v>
      </c>
      <c r="D183" s="767">
        <v>2010</v>
      </c>
      <c r="E183" s="113">
        <v>0</v>
      </c>
      <c r="F183" s="113">
        <v>0</v>
      </c>
      <c r="G183" s="7">
        <f t="shared" si="19"/>
        <v>0</v>
      </c>
      <c r="H183" s="7">
        <f t="shared" si="21"/>
        <v>0</v>
      </c>
    </row>
    <row r="184" spans="1:8" x14ac:dyDescent="0.2">
      <c r="A184" s="760">
        <f t="shared" si="20"/>
        <v>100</v>
      </c>
      <c r="C184" s="737" t="s">
        <v>217</v>
      </c>
      <c r="D184" s="767">
        <v>2010</v>
      </c>
      <c r="E184" s="113">
        <v>0</v>
      </c>
      <c r="F184" s="113">
        <v>0</v>
      </c>
      <c r="G184" s="7">
        <f t="shared" si="19"/>
        <v>0</v>
      </c>
      <c r="H184" s="7">
        <f t="shared" si="21"/>
        <v>0</v>
      </c>
    </row>
    <row r="185" spans="1:8" x14ac:dyDescent="0.2">
      <c r="A185" s="760">
        <f t="shared" si="20"/>
        <v>101</v>
      </c>
      <c r="C185" s="737" t="s">
        <v>218</v>
      </c>
      <c r="D185" s="767">
        <v>2010</v>
      </c>
      <c r="E185" s="113">
        <v>0</v>
      </c>
      <c r="F185" s="113">
        <v>0</v>
      </c>
      <c r="G185" s="7">
        <f t="shared" si="19"/>
        <v>0</v>
      </c>
      <c r="H185" s="7">
        <f t="shared" si="21"/>
        <v>0</v>
      </c>
    </row>
    <row r="186" spans="1:8" x14ac:dyDescent="0.2">
      <c r="A186" s="760">
        <f t="shared" si="20"/>
        <v>102</v>
      </c>
      <c r="C186" s="739" t="s">
        <v>219</v>
      </c>
      <c r="D186" s="767">
        <v>2010</v>
      </c>
      <c r="E186" s="113">
        <v>0</v>
      </c>
      <c r="F186" s="113">
        <v>0</v>
      </c>
      <c r="G186" s="7">
        <f t="shared" si="19"/>
        <v>0</v>
      </c>
      <c r="H186" s="7">
        <f t="shared" si="21"/>
        <v>0</v>
      </c>
    </row>
    <row r="187" spans="1:8" x14ac:dyDescent="0.2">
      <c r="A187" s="760">
        <f t="shared" si="20"/>
        <v>103</v>
      </c>
      <c r="C187" s="739" t="s">
        <v>220</v>
      </c>
      <c r="D187" s="767">
        <v>2010</v>
      </c>
      <c r="E187" s="113">
        <v>0</v>
      </c>
      <c r="F187" s="113">
        <v>0</v>
      </c>
      <c r="G187" s="7">
        <f t="shared" si="19"/>
        <v>0</v>
      </c>
      <c r="H187" s="7">
        <f t="shared" si="21"/>
        <v>0</v>
      </c>
    </row>
    <row r="188" spans="1:8" x14ac:dyDescent="0.2">
      <c r="A188" s="760">
        <f t="shared" si="20"/>
        <v>104</v>
      </c>
      <c r="C188" s="739" t="s">
        <v>210</v>
      </c>
      <c r="D188" s="767">
        <v>2010</v>
      </c>
      <c r="E188" s="113">
        <v>0</v>
      </c>
      <c r="F188" s="113">
        <v>0</v>
      </c>
      <c r="G188" s="7">
        <f t="shared" si="19"/>
        <v>0</v>
      </c>
      <c r="H188" s="7">
        <f t="shared" si="21"/>
        <v>0</v>
      </c>
    </row>
    <row r="190" spans="1:8" x14ac:dyDescent="0.2">
      <c r="C190" s="202" t="s">
        <v>2057</v>
      </c>
      <c r="E190" s="88" t="s">
        <v>406</v>
      </c>
      <c r="F190" s="88" t="s">
        <v>390</v>
      </c>
      <c r="G190" s="88" t="s">
        <v>391</v>
      </c>
      <c r="H190" s="88" t="s">
        <v>392</v>
      </c>
    </row>
    <row r="191" spans="1:8" x14ac:dyDescent="0.2">
      <c r="G191" s="665" t="s">
        <v>2416</v>
      </c>
      <c r="H191" s="665" t="s">
        <v>2417</v>
      </c>
    </row>
    <row r="192" spans="1:8" x14ac:dyDescent="0.2">
      <c r="C192" s="760" t="s">
        <v>604</v>
      </c>
      <c r="H192" s="650" t="s">
        <v>2418</v>
      </c>
    </row>
    <row r="193" spans="1:8" x14ac:dyDescent="0.2">
      <c r="C193" s="760" t="s">
        <v>223</v>
      </c>
      <c r="E193" s="760" t="s">
        <v>427</v>
      </c>
      <c r="F193" s="760" t="s">
        <v>2052</v>
      </c>
      <c r="G193" s="760" t="s">
        <v>1107</v>
      </c>
      <c r="H193" s="760" t="s">
        <v>1280</v>
      </c>
    </row>
    <row r="194" spans="1:8" x14ac:dyDescent="0.2">
      <c r="C194" s="25" t="s">
        <v>222</v>
      </c>
      <c r="D194" s="25" t="s">
        <v>223</v>
      </c>
      <c r="E194" s="3" t="s">
        <v>2053</v>
      </c>
      <c r="F194" s="3" t="s">
        <v>1229</v>
      </c>
      <c r="G194" s="3" t="s">
        <v>4</v>
      </c>
      <c r="H194" s="3" t="s">
        <v>2048</v>
      </c>
    </row>
    <row r="195" spans="1:8" x14ac:dyDescent="0.2">
      <c r="A195" s="760">
        <f>A188+1</f>
        <v>105</v>
      </c>
      <c r="C195" s="739" t="s">
        <v>210</v>
      </c>
      <c r="D195" s="765">
        <v>2009</v>
      </c>
      <c r="E195" s="113">
        <v>0</v>
      </c>
      <c r="F195" s="113">
        <v>0</v>
      </c>
      <c r="G195" s="7">
        <f t="shared" ref="G195:G207" si="22">E195-F195</f>
        <v>0</v>
      </c>
      <c r="H195" s="7">
        <f>E195-E195</f>
        <v>0</v>
      </c>
    </row>
    <row r="196" spans="1:8" x14ac:dyDescent="0.2">
      <c r="A196" s="760">
        <f>A195+1</f>
        <v>106</v>
      </c>
      <c r="C196" s="739" t="s">
        <v>211</v>
      </c>
      <c r="D196" s="767">
        <v>2010</v>
      </c>
      <c r="E196" s="113">
        <v>0</v>
      </c>
      <c r="F196" s="113">
        <v>0</v>
      </c>
      <c r="G196" s="7">
        <f t="shared" si="22"/>
        <v>0</v>
      </c>
      <c r="H196" s="7">
        <f>E196-E195</f>
        <v>0</v>
      </c>
    </row>
    <row r="197" spans="1:8" x14ac:dyDescent="0.2">
      <c r="A197" s="760">
        <f t="shared" ref="A197:A207" si="23">A196+1</f>
        <v>107</v>
      </c>
      <c r="C197" s="737" t="s">
        <v>212</v>
      </c>
      <c r="D197" s="767">
        <v>2010</v>
      </c>
      <c r="E197" s="113">
        <v>0</v>
      </c>
      <c r="F197" s="113">
        <v>0</v>
      </c>
      <c r="G197" s="7">
        <f t="shared" si="22"/>
        <v>0</v>
      </c>
      <c r="H197" s="7">
        <f t="shared" ref="H197:H207" si="24">E197-E196</f>
        <v>0</v>
      </c>
    </row>
    <row r="198" spans="1:8" x14ac:dyDescent="0.2">
      <c r="A198" s="760">
        <f t="shared" si="23"/>
        <v>108</v>
      </c>
      <c r="C198" s="737" t="s">
        <v>225</v>
      </c>
      <c r="D198" s="767">
        <v>2010</v>
      </c>
      <c r="E198" s="113">
        <v>0</v>
      </c>
      <c r="F198" s="113">
        <v>0</v>
      </c>
      <c r="G198" s="7">
        <f t="shared" si="22"/>
        <v>0</v>
      </c>
      <c r="H198" s="7">
        <f t="shared" si="24"/>
        <v>0</v>
      </c>
    </row>
    <row r="199" spans="1:8" x14ac:dyDescent="0.2">
      <c r="A199" s="760">
        <f t="shared" si="23"/>
        <v>109</v>
      </c>
      <c r="C199" s="739" t="s">
        <v>213</v>
      </c>
      <c r="D199" s="767">
        <v>2010</v>
      </c>
      <c r="E199" s="113">
        <v>0</v>
      </c>
      <c r="F199" s="113">
        <v>0</v>
      </c>
      <c r="G199" s="7">
        <f t="shared" si="22"/>
        <v>0</v>
      </c>
      <c r="H199" s="7">
        <f t="shared" si="24"/>
        <v>0</v>
      </c>
    </row>
    <row r="200" spans="1:8" x14ac:dyDescent="0.2">
      <c r="A200" s="760">
        <f t="shared" si="23"/>
        <v>110</v>
      </c>
      <c r="C200" s="737" t="s">
        <v>214</v>
      </c>
      <c r="D200" s="767">
        <v>2010</v>
      </c>
      <c r="E200" s="113">
        <v>0</v>
      </c>
      <c r="F200" s="113">
        <v>0</v>
      </c>
      <c r="G200" s="7">
        <f t="shared" si="22"/>
        <v>0</v>
      </c>
      <c r="H200" s="7">
        <f t="shared" si="24"/>
        <v>0</v>
      </c>
    </row>
    <row r="201" spans="1:8" x14ac:dyDescent="0.2">
      <c r="A201" s="760">
        <f t="shared" si="23"/>
        <v>111</v>
      </c>
      <c r="C201" s="737" t="s">
        <v>215</v>
      </c>
      <c r="D201" s="767">
        <v>2010</v>
      </c>
      <c r="E201" s="113">
        <v>0</v>
      </c>
      <c r="F201" s="113">
        <v>0</v>
      </c>
      <c r="G201" s="7">
        <f t="shared" si="22"/>
        <v>0</v>
      </c>
      <c r="H201" s="7">
        <f t="shared" si="24"/>
        <v>0</v>
      </c>
    </row>
    <row r="202" spans="1:8" x14ac:dyDescent="0.2">
      <c r="A202" s="760">
        <f t="shared" si="23"/>
        <v>112</v>
      </c>
      <c r="C202" s="739" t="s">
        <v>216</v>
      </c>
      <c r="D202" s="767">
        <v>2010</v>
      </c>
      <c r="E202" s="113">
        <v>0</v>
      </c>
      <c r="F202" s="113">
        <v>0</v>
      </c>
      <c r="G202" s="7">
        <f t="shared" si="22"/>
        <v>0</v>
      </c>
      <c r="H202" s="7">
        <f t="shared" si="24"/>
        <v>0</v>
      </c>
    </row>
    <row r="203" spans="1:8" x14ac:dyDescent="0.2">
      <c r="A203" s="760">
        <f t="shared" si="23"/>
        <v>113</v>
      </c>
      <c r="C203" s="737" t="s">
        <v>217</v>
      </c>
      <c r="D203" s="767">
        <v>2010</v>
      </c>
      <c r="E203" s="113">
        <v>0</v>
      </c>
      <c r="F203" s="113">
        <v>0</v>
      </c>
      <c r="G203" s="7">
        <f t="shared" si="22"/>
        <v>0</v>
      </c>
      <c r="H203" s="7">
        <f t="shared" si="24"/>
        <v>0</v>
      </c>
    </row>
    <row r="204" spans="1:8" x14ac:dyDescent="0.2">
      <c r="A204" s="760">
        <f t="shared" si="23"/>
        <v>114</v>
      </c>
      <c r="C204" s="737" t="s">
        <v>218</v>
      </c>
      <c r="D204" s="767">
        <v>2010</v>
      </c>
      <c r="E204" s="113">
        <v>0</v>
      </c>
      <c r="F204" s="113">
        <v>0</v>
      </c>
      <c r="G204" s="7">
        <f t="shared" si="22"/>
        <v>0</v>
      </c>
      <c r="H204" s="7">
        <f t="shared" si="24"/>
        <v>0</v>
      </c>
    </row>
    <row r="205" spans="1:8" x14ac:dyDescent="0.2">
      <c r="A205" s="760">
        <f t="shared" si="23"/>
        <v>115</v>
      </c>
      <c r="C205" s="739" t="s">
        <v>219</v>
      </c>
      <c r="D205" s="767">
        <v>2010</v>
      </c>
      <c r="E205" s="113">
        <v>0</v>
      </c>
      <c r="F205" s="113">
        <v>0</v>
      </c>
      <c r="G205" s="7">
        <f t="shared" si="22"/>
        <v>0</v>
      </c>
      <c r="H205" s="7">
        <f t="shared" si="24"/>
        <v>0</v>
      </c>
    </row>
    <row r="206" spans="1:8" x14ac:dyDescent="0.2">
      <c r="A206" s="760">
        <f t="shared" si="23"/>
        <v>116</v>
      </c>
      <c r="C206" s="739" t="s">
        <v>220</v>
      </c>
      <c r="D206" s="767">
        <v>2010</v>
      </c>
      <c r="E206" s="113">
        <v>0</v>
      </c>
      <c r="F206" s="113">
        <v>0</v>
      </c>
      <c r="G206" s="7">
        <f t="shared" si="22"/>
        <v>0</v>
      </c>
      <c r="H206" s="7">
        <f t="shared" si="24"/>
        <v>0</v>
      </c>
    </row>
    <row r="207" spans="1:8" x14ac:dyDescent="0.2">
      <c r="A207" s="760">
        <f t="shared" si="23"/>
        <v>117</v>
      </c>
      <c r="C207" s="739" t="s">
        <v>210</v>
      </c>
      <c r="D207" s="767">
        <v>2010</v>
      </c>
      <c r="E207" s="113">
        <v>0</v>
      </c>
      <c r="F207" s="113">
        <v>0</v>
      </c>
      <c r="G207" s="7">
        <f t="shared" si="22"/>
        <v>0</v>
      </c>
      <c r="H207" s="7">
        <f t="shared" si="24"/>
        <v>0</v>
      </c>
    </row>
    <row r="209" spans="1:8" x14ac:dyDescent="0.2">
      <c r="C209" s="202" t="s">
        <v>2058</v>
      </c>
      <c r="E209" s="88" t="s">
        <v>406</v>
      </c>
      <c r="F209" s="88" t="s">
        <v>390</v>
      </c>
      <c r="G209" s="88" t="s">
        <v>391</v>
      </c>
      <c r="H209" s="88" t="s">
        <v>392</v>
      </c>
    </row>
    <row r="210" spans="1:8" x14ac:dyDescent="0.2">
      <c r="G210" s="665" t="s">
        <v>2416</v>
      </c>
      <c r="H210" s="665" t="s">
        <v>2417</v>
      </c>
    </row>
    <row r="211" spans="1:8" x14ac:dyDescent="0.2">
      <c r="C211" s="760" t="s">
        <v>604</v>
      </c>
      <c r="H211" s="650" t="s">
        <v>2418</v>
      </c>
    </row>
    <row r="212" spans="1:8" x14ac:dyDescent="0.2">
      <c r="C212" s="760" t="s">
        <v>223</v>
      </c>
      <c r="E212" s="760" t="s">
        <v>427</v>
      </c>
      <c r="F212" s="760" t="s">
        <v>2052</v>
      </c>
      <c r="G212" s="760" t="s">
        <v>1107</v>
      </c>
      <c r="H212" s="760" t="s">
        <v>1280</v>
      </c>
    </row>
    <row r="213" spans="1:8" x14ac:dyDescent="0.2">
      <c r="C213" s="25" t="s">
        <v>222</v>
      </c>
      <c r="D213" s="25" t="s">
        <v>223</v>
      </c>
      <c r="E213" s="3" t="s">
        <v>2053</v>
      </c>
      <c r="F213" s="3" t="s">
        <v>1229</v>
      </c>
      <c r="G213" s="3" t="s">
        <v>4</v>
      </c>
      <c r="H213" s="3" t="s">
        <v>2048</v>
      </c>
    </row>
    <row r="214" spans="1:8" x14ac:dyDescent="0.2">
      <c r="A214" s="760">
        <f>A207+1</f>
        <v>118</v>
      </c>
      <c r="C214" s="739" t="s">
        <v>210</v>
      </c>
      <c r="D214" s="765">
        <v>2009</v>
      </c>
      <c r="E214" s="113">
        <v>0</v>
      </c>
      <c r="F214" s="113">
        <v>0</v>
      </c>
      <c r="G214" s="7">
        <f t="shared" ref="G214:G226" si="25">E214-F214</f>
        <v>0</v>
      </c>
      <c r="H214" s="7">
        <f>E214-E214</f>
        <v>0</v>
      </c>
    </row>
    <row r="215" spans="1:8" x14ac:dyDescent="0.2">
      <c r="A215" s="760">
        <f>A214+1</f>
        <v>119</v>
      </c>
      <c r="C215" s="739" t="s">
        <v>211</v>
      </c>
      <c r="D215" s="767">
        <v>2010</v>
      </c>
      <c r="E215" s="113">
        <v>0</v>
      </c>
      <c r="F215" s="113">
        <v>0</v>
      </c>
      <c r="G215" s="7">
        <f t="shared" si="25"/>
        <v>0</v>
      </c>
      <c r="H215" s="7">
        <f>E215-E214</f>
        <v>0</v>
      </c>
    </row>
    <row r="216" spans="1:8" x14ac:dyDescent="0.2">
      <c r="A216" s="760">
        <f t="shared" ref="A216:A226" si="26">A215+1</f>
        <v>120</v>
      </c>
      <c r="C216" s="737" t="s">
        <v>212</v>
      </c>
      <c r="D216" s="767">
        <v>2010</v>
      </c>
      <c r="E216" s="113">
        <v>0</v>
      </c>
      <c r="F216" s="113">
        <v>0</v>
      </c>
      <c r="G216" s="7">
        <f t="shared" si="25"/>
        <v>0</v>
      </c>
      <c r="H216" s="7">
        <f t="shared" ref="H216:H226" si="27">E216-E215</f>
        <v>0</v>
      </c>
    </row>
    <row r="217" spans="1:8" x14ac:dyDescent="0.2">
      <c r="A217" s="760">
        <f t="shared" si="26"/>
        <v>121</v>
      </c>
      <c r="C217" s="737" t="s">
        <v>225</v>
      </c>
      <c r="D217" s="767">
        <v>2010</v>
      </c>
      <c r="E217" s="113">
        <v>0</v>
      </c>
      <c r="F217" s="113">
        <v>0</v>
      </c>
      <c r="G217" s="7">
        <f t="shared" si="25"/>
        <v>0</v>
      </c>
      <c r="H217" s="7">
        <f t="shared" si="27"/>
        <v>0</v>
      </c>
    </row>
    <row r="218" spans="1:8" x14ac:dyDescent="0.2">
      <c r="A218" s="760">
        <f t="shared" si="26"/>
        <v>122</v>
      </c>
      <c r="C218" s="739" t="s">
        <v>213</v>
      </c>
      <c r="D218" s="767">
        <v>2010</v>
      </c>
      <c r="E218" s="113">
        <v>0</v>
      </c>
      <c r="F218" s="113">
        <v>0</v>
      </c>
      <c r="G218" s="7">
        <f t="shared" si="25"/>
        <v>0</v>
      </c>
      <c r="H218" s="7">
        <f t="shared" si="27"/>
        <v>0</v>
      </c>
    </row>
    <row r="219" spans="1:8" x14ac:dyDescent="0.2">
      <c r="A219" s="760">
        <f t="shared" si="26"/>
        <v>123</v>
      </c>
      <c r="C219" s="737" t="s">
        <v>214</v>
      </c>
      <c r="D219" s="767">
        <v>2010</v>
      </c>
      <c r="E219" s="113">
        <v>0</v>
      </c>
      <c r="F219" s="113">
        <v>0</v>
      </c>
      <c r="G219" s="7">
        <f t="shared" si="25"/>
        <v>0</v>
      </c>
      <c r="H219" s="7">
        <f t="shared" si="27"/>
        <v>0</v>
      </c>
    </row>
    <row r="220" spans="1:8" x14ac:dyDescent="0.2">
      <c r="A220" s="760">
        <f t="shared" si="26"/>
        <v>124</v>
      </c>
      <c r="C220" s="737" t="s">
        <v>215</v>
      </c>
      <c r="D220" s="767">
        <v>2010</v>
      </c>
      <c r="E220" s="113">
        <v>0</v>
      </c>
      <c r="F220" s="113">
        <v>0</v>
      </c>
      <c r="G220" s="7">
        <f t="shared" si="25"/>
        <v>0</v>
      </c>
      <c r="H220" s="7">
        <f t="shared" si="27"/>
        <v>0</v>
      </c>
    </row>
    <row r="221" spans="1:8" x14ac:dyDescent="0.2">
      <c r="A221" s="760">
        <f t="shared" si="26"/>
        <v>125</v>
      </c>
      <c r="C221" s="739" t="s">
        <v>216</v>
      </c>
      <c r="D221" s="767">
        <v>2010</v>
      </c>
      <c r="E221" s="113">
        <v>0</v>
      </c>
      <c r="F221" s="113">
        <v>0</v>
      </c>
      <c r="G221" s="7">
        <f t="shared" si="25"/>
        <v>0</v>
      </c>
      <c r="H221" s="7">
        <f t="shared" si="27"/>
        <v>0</v>
      </c>
    </row>
    <row r="222" spans="1:8" x14ac:dyDescent="0.2">
      <c r="A222" s="760">
        <f t="shared" si="26"/>
        <v>126</v>
      </c>
      <c r="C222" s="737" t="s">
        <v>217</v>
      </c>
      <c r="D222" s="767">
        <v>2010</v>
      </c>
      <c r="E222" s="113">
        <v>0</v>
      </c>
      <c r="F222" s="113">
        <v>0</v>
      </c>
      <c r="G222" s="7">
        <f t="shared" si="25"/>
        <v>0</v>
      </c>
      <c r="H222" s="7">
        <f t="shared" si="27"/>
        <v>0</v>
      </c>
    </row>
    <row r="223" spans="1:8" x14ac:dyDescent="0.2">
      <c r="A223" s="760">
        <f t="shared" si="26"/>
        <v>127</v>
      </c>
      <c r="C223" s="737" t="s">
        <v>218</v>
      </c>
      <c r="D223" s="767">
        <v>2010</v>
      </c>
      <c r="E223" s="113">
        <v>0</v>
      </c>
      <c r="F223" s="113">
        <v>0</v>
      </c>
      <c r="G223" s="7">
        <f t="shared" si="25"/>
        <v>0</v>
      </c>
      <c r="H223" s="7">
        <f t="shared" si="27"/>
        <v>0</v>
      </c>
    </row>
    <row r="224" spans="1:8" x14ac:dyDescent="0.2">
      <c r="A224" s="760">
        <f t="shared" si="26"/>
        <v>128</v>
      </c>
      <c r="C224" s="739" t="s">
        <v>219</v>
      </c>
      <c r="D224" s="767">
        <v>2010</v>
      </c>
      <c r="E224" s="113">
        <v>0</v>
      </c>
      <c r="F224" s="113">
        <v>0</v>
      </c>
      <c r="G224" s="7">
        <f t="shared" si="25"/>
        <v>0</v>
      </c>
      <c r="H224" s="7">
        <f t="shared" si="27"/>
        <v>0</v>
      </c>
    </row>
    <row r="225" spans="1:8" x14ac:dyDescent="0.2">
      <c r="A225" s="760">
        <f t="shared" si="26"/>
        <v>129</v>
      </c>
      <c r="C225" s="739" t="s">
        <v>220</v>
      </c>
      <c r="D225" s="767">
        <v>2010</v>
      </c>
      <c r="E225" s="113">
        <v>0</v>
      </c>
      <c r="F225" s="113">
        <v>0</v>
      </c>
      <c r="G225" s="7">
        <f t="shared" si="25"/>
        <v>0</v>
      </c>
      <c r="H225" s="7">
        <f t="shared" si="27"/>
        <v>0</v>
      </c>
    </row>
    <row r="226" spans="1:8" x14ac:dyDescent="0.2">
      <c r="A226" s="760">
        <f t="shared" si="26"/>
        <v>130</v>
      </c>
      <c r="C226" s="739" t="s">
        <v>210</v>
      </c>
      <c r="D226" s="767">
        <v>2010</v>
      </c>
      <c r="E226" s="113">
        <v>0</v>
      </c>
      <c r="F226" s="113">
        <v>0</v>
      </c>
      <c r="G226" s="7">
        <f t="shared" si="25"/>
        <v>0</v>
      </c>
      <c r="H226" s="7">
        <f t="shared" si="27"/>
        <v>0</v>
      </c>
    </row>
    <row r="228" spans="1:8" x14ac:dyDescent="0.2">
      <c r="C228" s="202" t="s">
        <v>2280</v>
      </c>
      <c r="H228" s="88" t="s">
        <v>392</v>
      </c>
    </row>
    <row r="229" spans="1:8" x14ac:dyDescent="0.2">
      <c r="E229" s="88" t="s">
        <v>406</v>
      </c>
      <c r="F229" s="88" t="s">
        <v>390</v>
      </c>
      <c r="G229" s="88" t="s">
        <v>391</v>
      </c>
      <c r="H229" s="665" t="s">
        <v>2417</v>
      </c>
    </row>
    <row r="230" spans="1:8" x14ac:dyDescent="0.2">
      <c r="C230" s="760" t="s">
        <v>604</v>
      </c>
      <c r="G230" s="665" t="s">
        <v>2416</v>
      </c>
      <c r="H230" s="650" t="s">
        <v>2418</v>
      </c>
    </row>
    <row r="231" spans="1:8" x14ac:dyDescent="0.2">
      <c r="C231" s="760" t="s">
        <v>223</v>
      </c>
      <c r="E231" s="760" t="s">
        <v>427</v>
      </c>
      <c r="F231" s="760" t="s">
        <v>2052</v>
      </c>
      <c r="G231" s="760" t="s">
        <v>1107</v>
      </c>
      <c r="H231" s="760" t="s">
        <v>1280</v>
      </c>
    </row>
    <row r="232" spans="1:8" x14ac:dyDescent="0.2">
      <c r="C232" s="25" t="s">
        <v>222</v>
      </c>
      <c r="D232" s="25" t="s">
        <v>223</v>
      </c>
      <c r="E232" s="3" t="s">
        <v>2053</v>
      </c>
      <c r="F232" s="3" t="s">
        <v>1229</v>
      </c>
      <c r="G232" s="3" t="s">
        <v>4</v>
      </c>
      <c r="H232" s="3" t="s">
        <v>2048</v>
      </c>
    </row>
    <row r="233" spans="1:8" x14ac:dyDescent="0.2">
      <c r="A233" s="760">
        <f>A226+1</f>
        <v>131</v>
      </c>
      <c r="C233" s="739" t="s">
        <v>210</v>
      </c>
      <c r="D233" s="765">
        <v>2009</v>
      </c>
      <c r="E233" s="113">
        <v>0</v>
      </c>
      <c r="F233" s="113">
        <v>0</v>
      </c>
      <c r="G233" s="7">
        <f t="shared" ref="G233:G245" si="28">E233-F233</f>
        <v>0</v>
      </c>
      <c r="H233" s="7">
        <f>E233-E233</f>
        <v>0</v>
      </c>
    </row>
    <row r="234" spans="1:8" x14ac:dyDescent="0.2">
      <c r="A234" s="760">
        <f>A233+1</f>
        <v>132</v>
      </c>
      <c r="C234" s="739" t="s">
        <v>211</v>
      </c>
      <c r="D234" s="767">
        <v>2010</v>
      </c>
      <c r="E234" s="113">
        <v>0</v>
      </c>
      <c r="F234" s="113">
        <v>0</v>
      </c>
      <c r="G234" s="7">
        <f t="shared" si="28"/>
        <v>0</v>
      </c>
      <c r="H234" s="7">
        <f>E234-E233</f>
        <v>0</v>
      </c>
    </row>
    <row r="235" spans="1:8" x14ac:dyDescent="0.2">
      <c r="A235" s="760">
        <f t="shared" ref="A235:A245" si="29">A234+1</f>
        <v>133</v>
      </c>
      <c r="C235" s="737" t="s">
        <v>212</v>
      </c>
      <c r="D235" s="767">
        <v>2010</v>
      </c>
      <c r="E235" s="113">
        <v>0</v>
      </c>
      <c r="F235" s="113">
        <v>0</v>
      </c>
      <c r="G235" s="7">
        <f t="shared" si="28"/>
        <v>0</v>
      </c>
      <c r="H235" s="7">
        <f t="shared" ref="H235:H245" si="30">E235-E234</f>
        <v>0</v>
      </c>
    </row>
    <row r="236" spans="1:8" x14ac:dyDescent="0.2">
      <c r="A236" s="760">
        <f t="shared" si="29"/>
        <v>134</v>
      </c>
      <c r="C236" s="737" t="s">
        <v>225</v>
      </c>
      <c r="D236" s="767">
        <v>2010</v>
      </c>
      <c r="E236" s="113">
        <v>0</v>
      </c>
      <c r="F236" s="113">
        <v>0</v>
      </c>
      <c r="G236" s="7">
        <f t="shared" si="28"/>
        <v>0</v>
      </c>
      <c r="H236" s="7">
        <f t="shared" si="30"/>
        <v>0</v>
      </c>
    </row>
    <row r="237" spans="1:8" x14ac:dyDescent="0.2">
      <c r="A237" s="760">
        <f t="shared" si="29"/>
        <v>135</v>
      </c>
      <c r="C237" s="739" t="s">
        <v>213</v>
      </c>
      <c r="D237" s="767">
        <v>2010</v>
      </c>
      <c r="E237" s="113">
        <v>0</v>
      </c>
      <c r="F237" s="113">
        <v>0</v>
      </c>
      <c r="G237" s="7">
        <f t="shared" si="28"/>
        <v>0</v>
      </c>
      <c r="H237" s="7">
        <f t="shared" si="30"/>
        <v>0</v>
      </c>
    </row>
    <row r="238" spans="1:8" x14ac:dyDescent="0.2">
      <c r="A238" s="760">
        <f t="shared" si="29"/>
        <v>136</v>
      </c>
      <c r="C238" s="737" t="s">
        <v>214</v>
      </c>
      <c r="D238" s="767">
        <v>2010</v>
      </c>
      <c r="E238" s="113">
        <v>0</v>
      </c>
      <c r="F238" s="113">
        <v>0</v>
      </c>
      <c r="G238" s="7">
        <f t="shared" si="28"/>
        <v>0</v>
      </c>
      <c r="H238" s="7">
        <f t="shared" si="30"/>
        <v>0</v>
      </c>
    </row>
    <row r="239" spans="1:8" x14ac:dyDescent="0.2">
      <c r="A239" s="760">
        <f t="shared" si="29"/>
        <v>137</v>
      </c>
      <c r="C239" s="737" t="s">
        <v>215</v>
      </c>
      <c r="D239" s="767">
        <v>2010</v>
      </c>
      <c r="E239" s="113">
        <v>0</v>
      </c>
      <c r="F239" s="113">
        <v>0</v>
      </c>
      <c r="G239" s="7">
        <f t="shared" si="28"/>
        <v>0</v>
      </c>
      <c r="H239" s="7">
        <f t="shared" si="30"/>
        <v>0</v>
      </c>
    </row>
    <row r="240" spans="1:8" x14ac:dyDescent="0.2">
      <c r="A240" s="760">
        <f t="shared" si="29"/>
        <v>138</v>
      </c>
      <c r="C240" s="739" t="s">
        <v>216</v>
      </c>
      <c r="D240" s="767">
        <v>2010</v>
      </c>
      <c r="E240" s="113">
        <v>0</v>
      </c>
      <c r="F240" s="113">
        <v>0</v>
      </c>
      <c r="G240" s="7">
        <f t="shared" si="28"/>
        <v>0</v>
      </c>
      <c r="H240" s="7">
        <f t="shared" si="30"/>
        <v>0</v>
      </c>
    </row>
    <row r="241" spans="1:8" x14ac:dyDescent="0.2">
      <c r="A241" s="760">
        <f t="shared" si="29"/>
        <v>139</v>
      </c>
      <c r="C241" s="737" t="s">
        <v>217</v>
      </c>
      <c r="D241" s="767">
        <v>2010</v>
      </c>
      <c r="E241" s="113">
        <v>0</v>
      </c>
      <c r="F241" s="113">
        <v>0</v>
      </c>
      <c r="G241" s="7">
        <f t="shared" si="28"/>
        <v>0</v>
      </c>
      <c r="H241" s="7">
        <f t="shared" si="30"/>
        <v>0</v>
      </c>
    </row>
    <row r="242" spans="1:8" x14ac:dyDescent="0.2">
      <c r="A242" s="760">
        <f t="shared" si="29"/>
        <v>140</v>
      </c>
      <c r="C242" s="737" t="s">
        <v>218</v>
      </c>
      <c r="D242" s="767">
        <v>2010</v>
      </c>
      <c r="E242" s="113">
        <v>0</v>
      </c>
      <c r="F242" s="113">
        <v>0</v>
      </c>
      <c r="G242" s="7">
        <f t="shared" si="28"/>
        <v>0</v>
      </c>
      <c r="H242" s="7">
        <f t="shared" si="30"/>
        <v>0</v>
      </c>
    </row>
    <row r="243" spans="1:8" x14ac:dyDescent="0.2">
      <c r="A243" s="760">
        <f t="shared" si="29"/>
        <v>141</v>
      </c>
      <c r="C243" s="739" t="s">
        <v>219</v>
      </c>
      <c r="D243" s="767">
        <v>2010</v>
      </c>
      <c r="E243" s="113">
        <v>0</v>
      </c>
      <c r="F243" s="113">
        <v>0</v>
      </c>
      <c r="G243" s="7">
        <f t="shared" si="28"/>
        <v>0</v>
      </c>
      <c r="H243" s="7">
        <f t="shared" si="30"/>
        <v>0</v>
      </c>
    </row>
    <row r="244" spans="1:8" x14ac:dyDescent="0.2">
      <c r="A244" s="760">
        <f t="shared" si="29"/>
        <v>142</v>
      </c>
      <c r="C244" s="739" t="s">
        <v>220</v>
      </c>
      <c r="D244" s="767">
        <v>2010</v>
      </c>
      <c r="E244" s="113">
        <v>0</v>
      </c>
      <c r="F244" s="113">
        <v>0</v>
      </c>
      <c r="G244" s="7">
        <f t="shared" si="28"/>
        <v>0</v>
      </c>
      <c r="H244" s="7">
        <f t="shared" si="30"/>
        <v>0</v>
      </c>
    </row>
    <row r="245" spans="1:8" x14ac:dyDescent="0.2">
      <c r="A245" s="760">
        <f t="shared" si="29"/>
        <v>143</v>
      </c>
      <c r="C245" s="739" t="s">
        <v>210</v>
      </c>
      <c r="D245" s="767">
        <v>2010</v>
      </c>
      <c r="E245" s="113">
        <v>0</v>
      </c>
      <c r="F245" s="113">
        <v>0</v>
      </c>
      <c r="G245" s="7">
        <f t="shared" si="28"/>
        <v>0</v>
      </c>
      <c r="H245" s="7">
        <f t="shared" si="30"/>
        <v>0</v>
      </c>
    </row>
    <row r="247" spans="1:8" x14ac:dyDescent="0.2">
      <c r="C247" s="202" t="s">
        <v>2281</v>
      </c>
      <c r="H247" s="88" t="s">
        <v>392</v>
      </c>
    </row>
    <row r="248" spans="1:8" x14ac:dyDescent="0.2">
      <c r="E248" s="88" t="s">
        <v>406</v>
      </c>
      <c r="F248" s="88" t="s">
        <v>390</v>
      </c>
      <c r="G248" s="88" t="s">
        <v>391</v>
      </c>
      <c r="H248" s="665" t="s">
        <v>2417</v>
      </c>
    </row>
    <row r="249" spans="1:8" x14ac:dyDescent="0.2">
      <c r="C249" s="760" t="s">
        <v>604</v>
      </c>
      <c r="G249" s="665" t="s">
        <v>2416</v>
      </c>
      <c r="H249" s="650" t="s">
        <v>2418</v>
      </c>
    </row>
    <row r="250" spans="1:8" x14ac:dyDescent="0.2">
      <c r="C250" s="760" t="s">
        <v>223</v>
      </c>
      <c r="E250" s="760" t="s">
        <v>427</v>
      </c>
      <c r="F250" s="760" t="s">
        <v>2052</v>
      </c>
      <c r="G250" s="760" t="s">
        <v>1107</v>
      </c>
      <c r="H250" s="760" t="s">
        <v>1280</v>
      </c>
    </row>
    <row r="251" spans="1:8" x14ac:dyDescent="0.2">
      <c r="C251" s="25" t="s">
        <v>222</v>
      </c>
      <c r="D251" s="25" t="s">
        <v>223</v>
      </c>
      <c r="E251" s="3" t="s">
        <v>2053</v>
      </c>
      <c r="F251" s="3" t="s">
        <v>1229</v>
      </c>
      <c r="G251" s="3" t="s">
        <v>4</v>
      </c>
      <c r="H251" s="3" t="s">
        <v>2048</v>
      </c>
    </row>
    <row r="252" spans="1:8" x14ac:dyDescent="0.2">
      <c r="A252" s="760">
        <f>A245+1</f>
        <v>144</v>
      </c>
      <c r="C252" s="739" t="s">
        <v>210</v>
      </c>
      <c r="D252" s="765">
        <v>2009</v>
      </c>
      <c r="E252" s="113">
        <v>0</v>
      </c>
      <c r="F252" s="113">
        <v>0</v>
      </c>
      <c r="G252" s="7">
        <f t="shared" ref="G252:G264" si="31">E252-F252</f>
        <v>0</v>
      </c>
      <c r="H252" s="7">
        <f>E252-E252</f>
        <v>0</v>
      </c>
    </row>
    <row r="253" spans="1:8" x14ac:dyDescent="0.2">
      <c r="A253" s="760">
        <f>A252+1</f>
        <v>145</v>
      </c>
      <c r="C253" s="739" t="s">
        <v>211</v>
      </c>
      <c r="D253" s="767">
        <v>2010</v>
      </c>
      <c r="E253" s="113">
        <v>0</v>
      </c>
      <c r="F253" s="113">
        <v>0</v>
      </c>
      <c r="G253" s="7">
        <f t="shared" si="31"/>
        <v>0</v>
      </c>
      <c r="H253" s="7">
        <f>E253-E252</f>
        <v>0</v>
      </c>
    </row>
    <row r="254" spans="1:8" x14ac:dyDescent="0.2">
      <c r="A254" s="760">
        <f t="shared" ref="A254:A264" si="32">A253+1</f>
        <v>146</v>
      </c>
      <c r="C254" s="737" t="s">
        <v>212</v>
      </c>
      <c r="D254" s="767">
        <v>2010</v>
      </c>
      <c r="E254" s="113">
        <v>0</v>
      </c>
      <c r="F254" s="113">
        <v>0</v>
      </c>
      <c r="G254" s="7">
        <f t="shared" si="31"/>
        <v>0</v>
      </c>
      <c r="H254" s="7">
        <f t="shared" ref="H254:H264" si="33">E254-E253</f>
        <v>0</v>
      </c>
    </row>
    <row r="255" spans="1:8" x14ac:dyDescent="0.2">
      <c r="A255" s="760">
        <f t="shared" si="32"/>
        <v>147</v>
      </c>
      <c r="C255" s="737" t="s">
        <v>225</v>
      </c>
      <c r="D255" s="767">
        <v>2010</v>
      </c>
      <c r="E255" s="113">
        <v>0</v>
      </c>
      <c r="F255" s="113">
        <v>0</v>
      </c>
      <c r="G255" s="7">
        <f t="shared" si="31"/>
        <v>0</v>
      </c>
      <c r="H255" s="7">
        <f t="shared" si="33"/>
        <v>0</v>
      </c>
    </row>
    <row r="256" spans="1:8" x14ac:dyDescent="0.2">
      <c r="A256" s="760">
        <f t="shared" si="32"/>
        <v>148</v>
      </c>
      <c r="C256" s="739" t="s">
        <v>213</v>
      </c>
      <c r="D256" s="767">
        <v>2010</v>
      </c>
      <c r="E256" s="113">
        <v>0</v>
      </c>
      <c r="F256" s="113">
        <v>0</v>
      </c>
      <c r="G256" s="7">
        <f t="shared" si="31"/>
        <v>0</v>
      </c>
      <c r="H256" s="7">
        <f t="shared" si="33"/>
        <v>0</v>
      </c>
    </row>
    <row r="257" spans="1:8" x14ac:dyDescent="0.2">
      <c r="A257" s="760">
        <f t="shared" si="32"/>
        <v>149</v>
      </c>
      <c r="C257" s="737" t="s">
        <v>214</v>
      </c>
      <c r="D257" s="767">
        <v>2010</v>
      </c>
      <c r="E257" s="113">
        <v>0</v>
      </c>
      <c r="F257" s="113">
        <v>0</v>
      </c>
      <c r="G257" s="7">
        <f t="shared" si="31"/>
        <v>0</v>
      </c>
      <c r="H257" s="7">
        <f t="shared" si="33"/>
        <v>0</v>
      </c>
    </row>
    <row r="258" spans="1:8" x14ac:dyDescent="0.2">
      <c r="A258" s="760">
        <f t="shared" si="32"/>
        <v>150</v>
      </c>
      <c r="C258" s="737" t="s">
        <v>215</v>
      </c>
      <c r="D258" s="767">
        <v>2010</v>
      </c>
      <c r="E258" s="113">
        <v>0</v>
      </c>
      <c r="F258" s="113">
        <v>0</v>
      </c>
      <c r="G258" s="7">
        <f t="shared" si="31"/>
        <v>0</v>
      </c>
      <c r="H258" s="7">
        <f t="shared" si="33"/>
        <v>0</v>
      </c>
    </row>
    <row r="259" spans="1:8" x14ac:dyDescent="0.2">
      <c r="A259" s="760">
        <f t="shared" si="32"/>
        <v>151</v>
      </c>
      <c r="C259" s="739" t="s">
        <v>216</v>
      </c>
      <c r="D259" s="767">
        <v>2010</v>
      </c>
      <c r="E259" s="113">
        <v>0</v>
      </c>
      <c r="F259" s="113">
        <v>0</v>
      </c>
      <c r="G259" s="7">
        <f t="shared" si="31"/>
        <v>0</v>
      </c>
      <c r="H259" s="7">
        <f t="shared" si="33"/>
        <v>0</v>
      </c>
    </row>
    <row r="260" spans="1:8" x14ac:dyDescent="0.2">
      <c r="A260" s="760">
        <f t="shared" si="32"/>
        <v>152</v>
      </c>
      <c r="C260" s="737" t="s">
        <v>217</v>
      </c>
      <c r="D260" s="767">
        <v>2010</v>
      </c>
      <c r="E260" s="113">
        <v>0</v>
      </c>
      <c r="F260" s="113">
        <v>0</v>
      </c>
      <c r="G260" s="7">
        <f t="shared" si="31"/>
        <v>0</v>
      </c>
      <c r="H260" s="7">
        <f t="shared" si="33"/>
        <v>0</v>
      </c>
    </row>
    <row r="261" spans="1:8" x14ac:dyDescent="0.2">
      <c r="A261" s="760">
        <f t="shared" si="32"/>
        <v>153</v>
      </c>
      <c r="C261" s="737" t="s">
        <v>218</v>
      </c>
      <c r="D261" s="767">
        <v>2010</v>
      </c>
      <c r="E261" s="113">
        <v>0</v>
      </c>
      <c r="F261" s="113">
        <v>0</v>
      </c>
      <c r="G261" s="7">
        <f t="shared" si="31"/>
        <v>0</v>
      </c>
      <c r="H261" s="7">
        <f t="shared" si="33"/>
        <v>0</v>
      </c>
    </row>
    <row r="262" spans="1:8" x14ac:dyDescent="0.2">
      <c r="A262" s="760">
        <f t="shared" si="32"/>
        <v>154</v>
      </c>
      <c r="C262" s="739" t="s">
        <v>219</v>
      </c>
      <c r="D262" s="767">
        <v>2010</v>
      </c>
      <c r="E262" s="113">
        <v>0</v>
      </c>
      <c r="F262" s="113">
        <v>0</v>
      </c>
      <c r="G262" s="7">
        <f t="shared" si="31"/>
        <v>0</v>
      </c>
      <c r="H262" s="7">
        <f t="shared" si="33"/>
        <v>0</v>
      </c>
    </row>
    <row r="263" spans="1:8" x14ac:dyDescent="0.2">
      <c r="A263" s="760">
        <f t="shared" si="32"/>
        <v>155</v>
      </c>
      <c r="C263" s="739" t="s">
        <v>220</v>
      </c>
      <c r="D263" s="767">
        <v>2010</v>
      </c>
      <c r="E263" s="113">
        <v>0</v>
      </c>
      <c r="F263" s="113">
        <v>0</v>
      </c>
      <c r="G263" s="7">
        <f t="shared" si="31"/>
        <v>0</v>
      </c>
      <c r="H263" s="7">
        <f t="shared" si="33"/>
        <v>0</v>
      </c>
    </row>
    <row r="264" spans="1:8" x14ac:dyDescent="0.2">
      <c r="A264" s="760">
        <f t="shared" si="32"/>
        <v>156</v>
      </c>
      <c r="C264" s="739" t="s">
        <v>210</v>
      </c>
      <c r="D264" s="767">
        <v>2010</v>
      </c>
      <c r="E264" s="113">
        <v>0</v>
      </c>
      <c r="F264" s="113">
        <v>0</v>
      </c>
      <c r="G264" s="7">
        <f t="shared" si="31"/>
        <v>0</v>
      </c>
      <c r="H264" s="7">
        <f t="shared" si="33"/>
        <v>0</v>
      </c>
    </row>
    <row r="266" spans="1:8" x14ac:dyDescent="0.2">
      <c r="C266" s="202" t="s">
        <v>2059</v>
      </c>
      <c r="E266" s="88" t="s">
        <v>406</v>
      </c>
      <c r="F266" s="88" t="s">
        <v>390</v>
      </c>
      <c r="G266" s="88" t="s">
        <v>391</v>
      </c>
      <c r="H266" s="88" t="s">
        <v>392</v>
      </c>
    </row>
    <row r="267" spans="1:8" x14ac:dyDescent="0.2">
      <c r="G267" s="665" t="s">
        <v>2416</v>
      </c>
      <c r="H267" s="665" t="s">
        <v>2417</v>
      </c>
    </row>
    <row r="268" spans="1:8" x14ac:dyDescent="0.2">
      <c r="C268" s="760" t="s">
        <v>604</v>
      </c>
      <c r="H268" s="650" t="s">
        <v>2418</v>
      </c>
    </row>
    <row r="269" spans="1:8" x14ac:dyDescent="0.2">
      <c r="C269" s="760" t="s">
        <v>223</v>
      </c>
      <c r="E269" s="760" t="s">
        <v>427</v>
      </c>
      <c r="F269" s="760" t="s">
        <v>2052</v>
      </c>
      <c r="G269" s="760" t="s">
        <v>1107</v>
      </c>
      <c r="H269" s="760" t="s">
        <v>1280</v>
      </c>
    </row>
    <row r="270" spans="1:8" x14ac:dyDescent="0.2">
      <c r="C270" s="25" t="s">
        <v>222</v>
      </c>
      <c r="D270" s="25" t="s">
        <v>223</v>
      </c>
      <c r="E270" s="3" t="s">
        <v>2053</v>
      </c>
      <c r="F270" s="3" t="s">
        <v>1229</v>
      </c>
      <c r="G270" s="3" t="s">
        <v>4</v>
      </c>
      <c r="H270" s="3" t="s">
        <v>2048</v>
      </c>
    </row>
    <row r="271" spans="1:8" x14ac:dyDescent="0.2">
      <c r="A271" s="760">
        <f>A264+1</f>
        <v>157</v>
      </c>
      <c r="C271" s="739" t="s">
        <v>210</v>
      </c>
      <c r="D271" s="765">
        <v>2009</v>
      </c>
      <c r="E271" s="113">
        <v>0</v>
      </c>
      <c r="F271" s="113">
        <v>0</v>
      </c>
      <c r="G271" s="7">
        <f t="shared" ref="G271:G283" si="34">E271-F271</f>
        <v>0</v>
      </c>
      <c r="H271" s="7">
        <f>E271-E271</f>
        <v>0</v>
      </c>
    </row>
    <row r="272" spans="1:8" x14ac:dyDescent="0.2">
      <c r="A272" s="760">
        <f>A271+1</f>
        <v>158</v>
      </c>
      <c r="C272" s="739" t="s">
        <v>211</v>
      </c>
      <c r="D272" s="767">
        <v>2010</v>
      </c>
      <c r="E272" s="113">
        <v>0</v>
      </c>
      <c r="F272" s="113">
        <v>0</v>
      </c>
      <c r="G272" s="7">
        <f t="shared" si="34"/>
        <v>0</v>
      </c>
      <c r="H272" s="7">
        <f>E272-E271</f>
        <v>0</v>
      </c>
    </row>
    <row r="273" spans="1:8" x14ac:dyDescent="0.2">
      <c r="A273" s="760">
        <f t="shared" ref="A273:A283" si="35">A272+1</f>
        <v>159</v>
      </c>
      <c r="C273" s="737" t="s">
        <v>212</v>
      </c>
      <c r="D273" s="767">
        <v>2010</v>
      </c>
      <c r="E273" s="113">
        <v>0</v>
      </c>
      <c r="F273" s="113">
        <v>0</v>
      </c>
      <c r="G273" s="7">
        <f t="shared" si="34"/>
        <v>0</v>
      </c>
      <c r="H273" s="7">
        <f t="shared" ref="H273:H283" si="36">E273-E272</f>
        <v>0</v>
      </c>
    </row>
    <row r="274" spans="1:8" x14ac:dyDescent="0.2">
      <c r="A274" s="760">
        <f t="shared" si="35"/>
        <v>160</v>
      </c>
      <c r="C274" s="737" t="s">
        <v>225</v>
      </c>
      <c r="D274" s="767">
        <v>2010</v>
      </c>
      <c r="E274" s="113">
        <v>0</v>
      </c>
      <c r="F274" s="113">
        <v>0</v>
      </c>
      <c r="G274" s="7">
        <f t="shared" si="34"/>
        <v>0</v>
      </c>
      <c r="H274" s="7">
        <f t="shared" si="36"/>
        <v>0</v>
      </c>
    </row>
    <row r="275" spans="1:8" x14ac:dyDescent="0.2">
      <c r="A275" s="760">
        <f t="shared" si="35"/>
        <v>161</v>
      </c>
      <c r="C275" s="739" t="s">
        <v>213</v>
      </c>
      <c r="D275" s="767">
        <v>2010</v>
      </c>
      <c r="E275" s="113">
        <v>0</v>
      </c>
      <c r="F275" s="113">
        <v>0</v>
      </c>
      <c r="G275" s="7">
        <f t="shared" si="34"/>
        <v>0</v>
      </c>
      <c r="H275" s="7">
        <f t="shared" si="36"/>
        <v>0</v>
      </c>
    </row>
    <row r="276" spans="1:8" x14ac:dyDescent="0.2">
      <c r="A276" s="760">
        <f t="shared" si="35"/>
        <v>162</v>
      </c>
      <c r="C276" s="737" t="s">
        <v>214</v>
      </c>
      <c r="D276" s="767">
        <v>2010</v>
      </c>
      <c r="E276" s="113">
        <v>0</v>
      </c>
      <c r="F276" s="113">
        <v>0</v>
      </c>
      <c r="G276" s="7">
        <f t="shared" si="34"/>
        <v>0</v>
      </c>
      <c r="H276" s="7">
        <f t="shared" si="36"/>
        <v>0</v>
      </c>
    </row>
    <row r="277" spans="1:8" x14ac:dyDescent="0.2">
      <c r="A277" s="760">
        <f t="shared" si="35"/>
        <v>163</v>
      </c>
      <c r="C277" s="737" t="s">
        <v>215</v>
      </c>
      <c r="D277" s="767">
        <v>2010</v>
      </c>
      <c r="E277" s="113">
        <v>0</v>
      </c>
      <c r="F277" s="113">
        <v>0</v>
      </c>
      <c r="G277" s="7">
        <f t="shared" si="34"/>
        <v>0</v>
      </c>
      <c r="H277" s="7">
        <f t="shared" si="36"/>
        <v>0</v>
      </c>
    </row>
    <row r="278" spans="1:8" x14ac:dyDescent="0.2">
      <c r="A278" s="760">
        <f t="shared" si="35"/>
        <v>164</v>
      </c>
      <c r="C278" s="739" t="s">
        <v>216</v>
      </c>
      <c r="D278" s="767">
        <v>2010</v>
      </c>
      <c r="E278" s="113">
        <v>0</v>
      </c>
      <c r="F278" s="113">
        <v>0</v>
      </c>
      <c r="G278" s="7">
        <f t="shared" si="34"/>
        <v>0</v>
      </c>
      <c r="H278" s="7">
        <f t="shared" si="36"/>
        <v>0</v>
      </c>
    </row>
    <row r="279" spans="1:8" x14ac:dyDescent="0.2">
      <c r="A279" s="760">
        <f t="shared" si="35"/>
        <v>165</v>
      </c>
      <c r="C279" s="737" t="s">
        <v>217</v>
      </c>
      <c r="D279" s="767">
        <v>2010</v>
      </c>
      <c r="E279" s="113">
        <v>0</v>
      </c>
      <c r="F279" s="113">
        <v>0</v>
      </c>
      <c r="G279" s="7">
        <f t="shared" si="34"/>
        <v>0</v>
      </c>
      <c r="H279" s="7">
        <f t="shared" si="36"/>
        <v>0</v>
      </c>
    </row>
    <row r="280" spans="1:8" x14ac:dyDescent="0.2">
      <c r="A280" s="760">
        <f t="shared" si="35"/>
        <v>166</v>
      </c>
      <c r="C280" s="737" t="s">
        <v>218</v>
      </c>
      <c r="D280" s="767">
        <v>2010</v>
      </c>
      <c r="E280" s="113">
        <v>0</v>
      </c>
      <c r="F280" s="113">
        <v>0</v>
      </c>
      <c r="G280" s="7">
        <f t="shared" si="34"/>
        <v>0</v>
      </c>
      <c r="H280" s="7">
        <f t="shared" si="36"/>
        <v>0</v>
      </c>
    </row>
    <row r="281" spans="1:8" x14ac:dyDescent="0.2">
      <c r="A281" s="760">
        <f t="shared" si="35"/>
        <v>167</v>
      </c>
      <c r="C281" s="739" t="s">
        <v>219</v>
      </c>
      <c r="D281" s="767">
        <v>2010</v>
      </c>
      <c r="E281" s="113">
        <v>0</v>
      </c>
      <c r="F281" s="113">
        <v>0</v>
      </c>
      <c r="G281" s="7">
        <f t="shared" si="34"/>
        <v>0</v>
      </c>
      <c r="H281" s="7">
        <f t="shared" si="36"/>
        <v>0</v>
      </c>
    </row>
    <row r="282" spans="1:8" x14ac:dyDescent="0.2">
      <c r="A282" s="760">
        <f t="shared" si="35"/>
        <v>168</v>
      </c>
      <c r="C282" s="739" t="s">
        <v>220</v>
      </c>
      <c r="D282" s="767">
        <v>2010</v>
      </c>
      <c r="E282" s="113">
        <v>0</v>
      </c>
      <c r="F282" s="113">
        <v>0</v>
      </c>
      <c r="G282" s="7">
        <f t="shared" si="34"/>
        <v>0</v>
      </c>
      <c r="H282" s="7">
        <f t="shared" si="36"/>
        <v>0</v>
      </c>
    </row>
    <row r="283" spans="1:8" x14ac:dyDescent="0.2">
      <c r="A283" s="760">
        <f t="shared" si="35"/>
        <v>169</v>
      </c>
      <c r="C283" s="739" t="s">
        <v>210</v>
      </c>
      <c r="D283" s="767">
        <v>2010</v>
      </c>
      <c r="E283" s="113">
        <v>0</v>
      </c>
      <c r="F283" s="113">
        <v>0</v>
      </c>
      <c r="G283" s="7">
        <f t="shared" si="34"/>
        <v>0</v>
      </c>
      <c r="H283" s="7">
        <f t="shared" si="36"/>
        <v>0</v>
      </c>
    </row>
    <row r="285" spans="1:8" x14ac:dyDescent="0.2">
      <c r="C285" s="202" t="s">
        <v>2060</v>
      </c>
      <c r="E285" s="88" t="s">
        <v>406</v>
      </c>
      <c r="F285" s="88" t="s">
        <v>390</v>
      </c>
      <c r="G285" s="88" t="s">
        <v>391</v>
      </c>
      <c r="H285" s="88" t="s">
        <v>392</v>
      </c>
    </row>
    <row r="286" spans="1:8" x14ac:dyDescent="0.2">
      <c r="G286" s="665" t="s">
        <v>2416</v>
      </c>
      <c r="H286" s="665" t="s">
        <v>2417</v>
      </c>
    </row>
    <row r="287" spans="1:8" x14ac:dyDescent="0.2">
      <c r="C287" s="760" t="s">
        <v>604</v>
      </c>
      <c r="H287" s="650" t="s">
        <v>2418</v>
      </c>
    </row>
    <row r="288" spans="1:8" x14ac:dyDescent="0.2">
      <c r="C288" s="760" t="s">
        <v>223</v>
      </c>
      <c r="E288" s="760" t="s">
        <v>427</v>
      </c>
      <c r="F288" s="760" t="s">
        <v>2052</v>
      </c>
      <c r="G288" s="760" t="s">
        <v>1107</v>
      </c>
      <c r="H288" s="760" t="s">
        <v>1280</v>
      </c>
    </row>
    <row r="289" spans="1:8" x14ac:dyDescent="0.2">
      <c r="C289" s="25" t="s">
        <v>222</v>
      </c>
      <c r="D289" s="25" t="s">
        <v>223</v>
      </c>
      <c r="E289" s="3" t="s">
        <v>2053</v>
      </c>
      <c r="F289" s="3" t="s">
        <v>1229</v>
      </c>
      <c r="G289" s="3" t="s">
        <v>4</v>
      </c>
      <c r="H289" s="3" t="s">
        <v>2048</v>
      </c>
    </row>
    <row r="290" spans="1:8" x14ac:dyDescent="0.2">
      <c r="A290" s="760">
        <f>A283+1</f>
        <v>170</v>
      </c>
      <c r="C290" s="739" t="s">
        <v>210</v>
      </c>
      <c r="D290" s="765">
        <v>2009</v>
      </c>
      <c r="E290" s="113">
        <v>0</v>
      </c>
      <c r="F290" s="113">
        <v>0</v>
      </c>
      <c r="G290" s="7">
        <f t="shared" ref="G290:G302" si="37">E290-F290</f>
        <v>0</v>
      </c>
      <c r="H290" s="7">
        <f>E290-E290</f>
        <v>0</v>
      </c>
    </row>
    <row r="291" spans="1:8" x14ac:dyDescent="0.2">
      <c r="A291" s="760">
        <f>A290+1</f>
        <v>171</v>
      </c>
      <c r="C291" s="739" t="s">
        <v>211</v>
      </c>
      <c r="D291" s="767">
        <v>2010</v>
      </c>
      <c r="E291" s="113">
        <v>0</v>
      </c>
      <c r="F291" s="113">
        <v>0</v>
      </c>
      <c r="G291" s="7">
        <f t="shared" si="37"/>
        <v>0</v>
      </c>
      <c r="H291" s="7">
        <f>E291-E290</f>
        <v>0</v>
      </c>
    </row>
    <row r="292" spans="1:8" x14ac:dyDescent="0.2">
      <c r="A292" s="760">
        <f t="shared" ref="A292:A302" si="38">A291+1</f>
        <v>172</v>
      </c>
      <c r="C292" s="737" t="s">
        <v>212</v>
      </c>
      <c r="D292" s="767">
        <v>2010</v>
      </c>
      <c r="E292" s="113">
        <v>0</v>
      </c>
      <c r="F292" s="113">
        <v>0</v>
      </c>
      <c r="G292" s="7">
        <f t="shared" si="37"/>
        <v>0</v>
      </c>
      <c r="H292" s="7">
        <f t="shared" ref="H292:H302" si="39">E292-E291</f>
        <v>0</v>
      </c>
    </row>
    <row r="293" spans="1:8" x14ac:dyDescent="0.2">
      <c r="A293" s="760">
        <f t="shared" si="38"/>
        <v>173</v>
      </c>
      <c r="C293" s="737" t="s">
        <v>225</v>
      </c>
      <c r="D293" s="767">
        <v>2010</v>
      </c>
      <c r="E293" s="113">
        <v>0</v>
      </c>
      <c r="F293" s="113">
        <v>0</v>
      </c>
      <c r="G293" s="7">
        <f t="shared" si="37"/>
        <v>0</v>
      </c>
      <c r="H293" s="7">
        <f t="shared" si="39"/>
        <v>0</v>
      </c>
    </row>
    <row r="294" spans="1:8" x14ac:dyDescent="0.2">
      <c r="A294" s="760">
        <f t="shared" si="38"/>
        <v>174</v>
      </c>
      <c r="C294" s="739" t="s">
        <v>213</v>
      </c>
      <c r="D294" s="767">
        <v>2010</v>
      </c>
      <c r="E294" s="113">
        <v>0</v>
      </c>
      <c r="F294" s="113">
        <v>0</v>
      </c>
      <c r="G294" s="7">
        <f t="shared" si="37"/>
        <v>0</v>
      </c>
      <c r="H294" s="7">
        <f t="shared" si="39"/>
        <v>0</v>
      </c>
    </row>
    <row r="295" spans="1:8" x14ac:dyDescent="0.2">
      <c r="A295" s="760">
        <f t="shared" si="38"/>
        <v>175</v>
      </c>
      <c r="C295" s="737" t="s">
        <v>214</v>
      </c>
      <c r="D295" s="767">
        <v>2010</v>
      </c>
      <c r="E295" s="113">
        <v>0</v>
      </c>
      <c r="F295" s="113">
        <v>0</v>
      </c>
      <c r="G295" s="7">
        <f t="shared" si="37"/>
        <v>0</v>
      </c>
      <c r="H295" s="7">
        <f t="shared" si="39"/>
        <v>0</v>
      </c>
    </row>
    <row r="296" spans="1:8" x14ac:dyDescent="0.2">
      <c r="A296" s="760">
        <f t="shared" si="38"/>
        <v>176</v>
      </c>
      <c r="C296" s="737" t="s">
        <v>215</v>
      </c>
      <c r="D296" s="767">
        <v>2010</v>
      </c>
      <c r="E296" s="113">
        <v>0</v>
      </c>
      <c r="F296" s="113">
        <v>0</v>
      </c>
      <c r="G296" s="7">
        <f t="shared" si="37"/>
        <v>0</v>
      </c>
      <c r="H296" s="7">
        <f t="shared" si="39"/>
        <v>0</v>
      </c>
    </row>
    <row r="297" spans="1:8" x14ac:dyDescent="0.2">
      <c r="A297" s="760">
        <f t="shared" si="38"/>
        <v>177</v>
      </c>
      <c r="C297" s="739" t="s">
        <v>216</v>
      </c>
      <c r="D297" s="767">
        <v>2010</v>
      </c>
      <c r="E297" s="113">
        <v>0</v>
      </c>
      <c r="F297" s="113">
        <v>0</v>
      </c>
      <c r="G297" s="7">
        <f t="shared" si="37"/>
        <v>0</v>
      </c>
      <c r="H297" s="7">
        <f t="shared" si="39"/>
        <v>0</v>
      </c>
    </row>
    <row r="298" spans="1:8" x14ac:dyDescent="0.2">
      <c r="A298" s="760">
        <f t="shared" si="38"/>
        <v>178</v>
      </c>
      <c r="C298" s="737" t="s">
        <v>217</v>
      </c>
      <c r="D298" s="767">
        <v>2010</v>
      </c>
      <c r="E298" s="113">
        <v>0</v>
      </c>
      <c r="F298" s="113">
        <v>0</v>
      </c>
      <c r="G298" s="7">
        <f t="shared" si="37"/>
        <v>0</v>
      </c>
      <c r="H298" s="7">
        <f t="shared" si="39"/>
        <v>0</v>
      </c>
    </row>
    <row r="299" spans="1:8" x14ac:dyDescent="0.2">
      <c r="A299" s="760">
        <f t="shared" si="38"/>
        <v>179</v>
      </c>
      <c r="C299" s="737" t="s">
        <v>218</v>
      </c>
      <c r="D299" s="767">
        <v>2010</v>
      </c>
      <c r="E299" s="113">
        <v>0</v>
      </c>
      <c r="F299" s="113">
        <v>0</v>
      </c>
      <c r="G299" s="7">
        <f t="shared" si="37"/>
        <v>0</v>
      </c>
      <c r="H299" s="7">
        <f t="shared" si="39"/>
        <v>0</v>
      </c>
    </row>
    <row r="300" spans="1:8" x14ac:dyDescent="0.2">
      <c r="A300" s="760">
        <f t="shared" si="38"/>
        <v>180</v>
      </c>
      <c r="C300" s="739" t="s">
        <v>219</v>
      </c>
      <c r="D300" s="767">
        <v>2010</v>
      </c>
      <c r="E300" s="113">
        <v>0</v>
      </c>
      <c r="F300" s="113">
        <v>0</v>
      </c>
      <c r="G300" s="7">
        <f t="shared" si="37"/>
        <v>0</v>
      </c>
      <c r="H300" s="7">
        <f t="shared" si="39"/>
        <v>0</v>
      </c>
    </row>
    <row r="301" spans="1:8" x14ac:dyDescent="0.2">
      <c r="A301" s="760">
        <f t="shared" si="38"/>
        <v>181</v>
      </c>
      <c r="C301" s="739" t="s">
        <v>220</v>
      </c>
      <c r="D301" s="767">
        <v>2010</v>
      </c>
      <c r="E301" s="113">
        <v>0</v>
      </c>
      <c r="F301" s="113">
        <v>0</v>
      </c>
      <c r="G301" s="7">
        <f t="shared" si="37"/>
        <v>0</v>
      </c>
      <c r="H301" s="7">
        <f t="shared" si="39"/>
        <v>0</v>
      </c>
    </row>
    <row r="302" spans="1:8" x14ac:dyDescent="0.2">
      <c r="A302" s="760">
        <f t="shared" si="38"/>
        <v>182</v>
      </c>
      <c r="C302" s="739" t="s">
        <v>210</v>
      </c>
      <c r="D302" s="767">
        <v>2010</v>
      </c>
      <c r="E302" s="113">
        <v>0</v>
      </c>
      <c r="F302" s="113">
        <v>0</v>
      </c>
      <c r="G302" s="7">
        <f t="shared" si="37"/>
        <v>0</v>
      </c>
      <c r="H302" s="7">
        <f t="shared" si="39"/>
        <v>0</v>
      </c>
    </row>
    <row r="304" spans="1:8" x14ac:dyDescent="0.2">
      <c r="B304" s="1"/>
      <c r="C304" s="1" t="s">
        <v>2061</v>
      </c>
      <c r="D304" s="647"/>
      <c r="E304" s="7"/>
    </row>
    <row r="305" spans="1:10" x14ac:dyDescent="0.2">
      <c r="B305" s="1"/>
    </row>
    <row r="306" spans="1:10" x14ac:dyDescent="0.2">
      <c r="C306" s="441" t="s">
        <v>1251</v>
      </c>
      <c r="D306" s="101"/>
      <c r="E306" s="101"/>
      <c r="F306" s="101"/>
      <c r="G306" s="201" t="s">
        <v>1253</v>
      </c>
      <c r="H306" s="101"/>
      <c r="I306" s="101"/>
      <c r="J306" s="101"/>
    </row>
    <row r="307" spans="1:10" x14ac:dyDescent="0.2">
      <c r="A307" s="760">
        <f>A302+1</f>
        <v>183</v>
      </c>
      <c r="C307" s="768" t="s">
        <v>256</v>
      </c>
      <c r="D307" s="101"/>
      <c r="E307" s="442"/>
      <c r="F307" s="433" t="s">
        <v>257</v>
      </c>
      <c r="G307" s="667" t="s">
        <v>1490</v>
      </c>
      <c r="H307" s="101"/>
      <c r="I307" s="101"/>
      <c r="J307" s="101"/>
    </row>
    <row r="308" spans="1:10" x14ac:dyDescent="0.2">
      <c r="A308" s="760">
        <f>A307+1</f>
        <v>184</v>
      </c>
      <c r="C308" s="432" t="s">
        <v>258</v>
      </c>
      <c r="D308" s="101"/>
      <c r="E308" s="443"/>
      <c r="F308" s="434">
        <v>7.4999999999999997E-3</v>
      </c>
      <c r="G308" s="667" t="s">
        <v>1491</v>
      </c>
      <c r="H308" s="101"/>
      <c r="I308" s="101"/>
      <c r="J308" s="101"/>
    </row>
    <row r="309" spans="1:10" x14ac:dyDescent="0.2">
      <c r="A309" s="760">
        <f>A308+1</f>
        <v>185</v>
      </c>
      <c r="C309" s="432" t="s">
        <v>1250</v>
      </c>
      <c r="D309" s="101"/>
      <c r="E309" s="442"/>
      <c r="F309" s="433" t="s">
        <v>259</v>
      </c>
      <c r="G309" s="158" t="s">
        <v>0</v>
      </c>
      <c r="H309" s="101"/>
      <c r="I309" s="101"/>
      <c r="J309" s="101"/>
    </row>
    <row r="310" spans="1:10" x14ac:dyDescent="0.2">
      <c r="C310" s="101"/>
      <c r="D310" s="101"/>
      <c r="E310" s="442"/>
      <c r="F310" s="435"/>
      <c r="G310" s="101"/>
      <c r="H310" s="101"/>
      <c r="I310" s="101"/>
      <c r="J310" s="101"/>
    </row>
    <row r="311" spans="1:10" x14ac:dyDescent="0.2">
      <c r="C311" s="441" t="s">
        <v>1252</v>
      </c>
      <c r="D311" s="101"/>
      <c r="E311" s="101"/>
      <c r="F311" s="435"/>
      <c r="G311" s="201" t="s">
        <v>1253</v>
      </c>
      <c r="H311" s="101"/>
      <c r="I311" s="101"/>
      <c r="J311" s="101"/>
    </row>
    <row r="312" spans="1:10" x14ac:dyDescent="0.2">
      <c r="A312" s="760">
        <f>A309+1</f>
        <v>186</v>
      </c>
      <c r="C312" s="768" t="s">
        <v>256</v>
      </c>
      <c r="D312" s="101"/>
      <c r="E312" s="442"/>
      <c r="F312" s="433" t="s">
        <v>257</v>
      </c>
      <c r="G312" s="667" t="s">
        <v>1490</v>
      </c>
      <c r="H312" s="101"/>
      <c r="I312" s="101"/>
      <c r="J312" s="101"/>
    </row>
    <row r="313" spans="1:10" x14ac:dyDescent="0.2">
      <c r="A313" s="760">
        <f>A312+1</f>
        <v>187</v>
      </c>
      <c r="C313" s="432" t="s">
        <v>258</v>
      </c>
      <c r="D313" s="101"/>
      <c r="E313" s="443"/>
      <c r="F313" s="434">
        <v>1.2500000000000001E-2</v>
      </c>
      <c r="G313" s="667" t="s">
        <v>1491</v>
      </c>
      <c r="H313" s="101"/>
      <c r="I313" s="101"/>
      <c r="J313" s="101"/>
    </row>
    <row r="314" spans="1:10" x14ac:dyDescent="0.2">
      <c r="A314" s="760">
        <f>A313+1</f>
        <v>188</v>
      </c>
      <c r="C314" s="432" t="s">
        <v>1250</v>
      </c>
      <c r="D314" s="101"/>
      <c r="E314" s="442"/>
      <c r="F314" s="433" t="s">
        <v>257</v>
      </c>
      <c r="G314" s="667" t="s">
        <v>1492</v>
      </c>
      <c r="H314" s="101"/>
      <c r="I314" s="101"/>
      <c r="J314" s="101"/>
    </row>
    <row r="315" spans="1:10" x14ac:dyDescent="0.2">
      <c r="C315" s="432"/>
      <c r="D315" s="101"/>
      <c r="E315" s="442"/>
      <c r="F315" s="433"/>
      <c r="G315" s="101"/>
      <c r="H315" s="101"/>
      <c r="I315" s="101"/>
      <c r="J315" s="101"/>
    </row>
    <row r="316" spans="1:10" x14ac:dyDescent="0.2">
      <c r="C316" s="441" t="s">
        <v>1254</v>
      </c>
      <c r="D316" s="101"/>
      <c r="E316" s="667"/>
      <c r="F316" s="769"/>
      <c r="G316" s="201" t="s">
        <v>1253</v>
      </c>
      <c r="H316" s="101"/>
      <c r="I316" s="101"/>
      <c r="J316" s="101"/>
    </row>
    <row r="317" spans="1:10" x14ac:dyDescent="0.2">
      <c r="A317" s="760">
        <f>A314+1</f>
        <v>189</v>
      </c>
      <c r="C317" s="768" t="s">
        <v>256</v>
      </c>
      <c r="D317" s="101"/>
      <c r="E317" s="442"/>
      <c r="F317" s="433" t="s">
        <v>257</v>
      </c>
      <c r="G317" s="667" t="s">
        <v>1490</v>
      </c>
      <c r="H317" s="101"/>
      <c r="I317" s="101"/>
      <c r="J317" s="101"/>
    </row>
    <row r="318" spans="1:10" x14ac:dyDescent="0.2">
      <c r="A318" s="760">
        <f>A317+1</f>
        <v>190</v>
      </c>
      <c r="C318" s="432" t="s">
        <v>258</v>
      </c>
      <c r="D318" s="101"/>
      <c r="E318" s="443"/>
      <c r="F318" s="434">
        <v>0.01</v>
      </c>
      <c r="G318" s="667" t="s">
        <v>1465</v>
      </c>
      <c r="H318" s="101"/>
      <c r="I318" s="101"/>
      <c r="J318" s="101"/>
    </row>
    <row r="319" spans="1:10" x14ac:dyDescent="0.2">
      <c r="A319" s="760">
        <f>A318+1</f>
        <v>191</v>
      </c>
      <c r="C319" s="432"/>
      <c r="D319" s="101"/>
      <c r="E319" s="443"/>
      <c r="F319" s="434"/>
      <c r="G319" s="667" t="s">
        <v>1466</v>
      </c>
      <c r="H319" s="101"/>
      <c r="I319" s="101"/>
      <c r="J319" s="101"/>
    </row>
    <row r="320" spans="1:10" x14ac:dyDescent="0.2">
      <c r="A320" s="760">
        <f>A319+1</f>
        <v>192</v>
      </c>
      <c r="C320" s="432" t="s">
        <v>1250</v>
      </c>
      <c r="D320" s="101"/>
      <c r="E320" s="442"/>
      <c r="F320" s="433" t="s">
        <v>257</v>
      </c>
      <c r="G320" s="667" t="s">
        <v>1492</v>
      </c>
      <c r="H320" s="101"/>
      <c r="I320" s="101"/>
      <c r="J320" s="101"/>
    </row>
    <row r="321" spans="1:10" x14ac:dyDescent="0.2">
      <c r="C321" s="432"/>
      <c r="D321" s="101"/>
      <c r="E321" s="442"/>
      <c r="F321" s="433"/>
      <c r="G321" s="101"/>
      <c r="H321" s="101"/>
      <c r="I321" s="101"/>
      <c r="J321" s="101"/>
    </row>
    <row r="322" spans="1:10" x14ac:dyDescent="0.2">
      <c r="C322" s="441" t="s">
        <v>1255</v>
      </c>
      <c r="D322" s="101"/>
      <c r="E322" s="667"/>
      <c r="F322" s="769"/>
      <c r="G322" s="201" t="s">
        <v>1253</v>
      </c>
      <c r="H322" s="101"/>
      <c r="I322" s="101"/>
      <c r="J322" s="101"/>
    </row>
    <row r="323" spans="1:10" x14ac:dyDescent="0.2">
      <c r="A323" s="760">
        <f>A320+1</f>
        <v>193</v>
      </c>
      <c r="C323" s="768" t="s">
        <v>256</v>
      </c>
      <c r="D323" s="101"/>
      <c r="E323" s="442"/>
      <c r="F323" s="433" t="s">
        <v>259</v>
      </c>
      <c r="G323" s="667" t="s">
        <v>1493</v>
      </c>
      <c r="H323" s="101"/>
      <c r="I323" s="101"/>
      <c r="J323" s="101"/>
    </row>
    <row r="324" spans="1:10" x14ac:dyDescent="0.2">
      <c r="A324" s="760">
        <f>A323+1</f>
        <v>194</v>
      </c>
      <c r="C324" s="768"/>
      <c r="D324" s="101"/>
      <c r="E324" s="442"/>
      <c r="F324" s="433"/>
      <c r="G324" s="101" t="s">
        <v>1467</v>
      </c>
      <c r="H324" s="101"/>
      <c r="I324" s="101"/>
      <c r="J324" s="101"/>
    </row>
    <row r="325" spans="1:10" x14ac:dyDescent="0.2">
      <c r="A325" s="760">
        <f>A324+1</f>
        <v>195</v>
      </c>
      <c r="C325" s="432" t="s">
        <v>258</v>
      </c>
      <c r="D325" s="101"/>
      <c r="E325" s="443"/>
      <c r="F325" s="434">
        <v>0</v>
      </c>
      <c r="G325" s="667" t="s">
        <v>1494</v>
      </c>
      <c r="H325" s="101"/>
      <c r="I325" s="101"/>
      <c r="J325" s="101"/>
    </row>
    <row r="326" spans="1:10" x14ac:dyDescent="0.2">
      <c r="A326" s="760">
        <f>A325+1</f>
        <v>196</v>
      </c>
      <c r="C326" s="432"/>
      <c r="D326" s="101"/>
      <c r="E326" s="443"/>
      <c r="F326" s="434"/>
      <c r="G326" s="667" t="s">
        <v>1468</v>
      </c>
      <c r="H326" s="101"/>
      <c r="I326" s="101"/>
      <c r="J326" s="101"/>
    </row>
    <row r="327" spans="1:10" x14ac:dyDescent="0.2">
      <c r="A327" s="760">
        <f>A326+1</f>
        <v>197</v>
      </c>
      <c r="C327" s="432" t="s">
        <v>1250</v>
      </c>
      <c r="D327" s="101"/>
      <c r="E327" s="442"/>
      <c r="F327" s="433" t="s">
        <v>257</v>
      </c>
      <c r="G327" s="667" t="s">
        <v>1492</v>
      </c>
      <c r="H327" s="101"/>
      <c r="I327" s="101"/>
      <c r="J327" s="101"/>
    </row>
    <row r="328" spans="1:10" x14ac:dyDescent="0.2">
      <c r="C328" s="432"/>
      <c r="D328" s="101"/>
      <c r="E328" s="442"/>
      <c r="F328" s="433"/>
      <c r="G328" s="101"/>
      <c r="H328" s="101"/>
      <c r="I328" s="101"/>
      <c r="J328" s="101"/>
    </row>
    <row r="329" spans="1:10" x14ac:dyDescent="0.2">
      <c r="C329" s="441" t="s">
        <v>1256</v>
      </c>
      <c r="D329" s="101"/>
      <c r="E329" s="101"/>
      <c r="F329" s="433"/>
      <c r="G329" s="201" t="s">
        <v>1253</v>
      </c>
      <c r="H329" s="101"/>
      <c r="I329" s="101"/>
      <c r="J329" s="101"/>
    </row>
    <row r="330" spans="1:10" x14ac:dyDescent="0.2">
      <c r="A330" s="760">
        <f>A327+1</f>
        <v>198</v>
      </c>
      <c r="C330" s="768" t="s">
        <v>256</v>
      </c>
      <c r="D330" s="101"/>
      <c r="E330" s="442"/>
      <c r="F330" s="433" t="s">
        <v>257</v>
      </c>
      <c r="G330" s="667" t="s">
        <v>1495</v>
      </c>
      <c r="H330" s="101"/>
      <c r="I330" s="101"/>
      <c r="J330" s="101"/>
    </row>
    <row r="331" spans="1:10" x14ac:dyDescent="0.2">
      <c r="A331" s="760">
        <f>A330+1</f>
        <v>199</v>
      </c>
      <c r="C331" s="432" t="s">
        <v>258</v>
      </c>
      <c r="D331" s="101"/>
      <c r="E331" s="443"/>
      <c r="F331" s="434">
        <v>0</v>
      </c>
      <c r="G331" s="667" t="s">
        <v>1496</v>
      </c>
      <c r="H331" s="101"/>
      <c r="I331" s="101"/>
      <c r="J331" s="101"/>
    </row>
    <row r="332" spans="1:10" x14ac:dyDescent="0.2">
      <c r="A332" s="760">
        <f>A331+1</f>
        <v>200</v>
      </c>
      <c r="C332" s="432" t="s">
        <v>1250</v>
      </c>
      <c r="D332" s="101"/>
      <c r="E332" s="442"/>
      <c r="F332" s="433" t="s">
        <v>257</v>
      </c>
      <c r="G332" s="667" t="s">
        <v>1497</v>
      </c>
      <c r="H332" s="101"/>
      <c r="I332" s="101"/>
      <c r="J332" s="101"/>
    </row>
    <row r="333" spans="1:10" x14ac:dyDescent="0.2">
      <c r="C333" s="432"/>
      <c r="D333" s="101"/>
      <c r="E333" s="442"/>
      <c r="F333" s="433"/>
      <c r="G333" s="768"/>
      <c r="H333" s="101"/>
      <c r="I333" s="101"/>
      <c r="J333" s="101"/>
    </row>
    <row r="334" spans="1:10" x14ac:dyDescent="0.2">
      <c r="C334" s="441" t="s">
        <v>1257</v>
      </c>
      <c r="D334" s="101"/>
      <c r="E334" s="667"/>
      <c r="F334" s="769"/>
      <c r="G334" s="201" t="s">
        <v>1253</v>
      </c>
      <c r="H334" s="101"/>
      <c r="I334" s="101"/>
      <c r="J334" s="101"/>
    </row>
    <row r="335" spans="1:10" x14ac:dyDescent="0.2">
      <c r="A335" s="760">
        <f>A332+1</f>
        <v>201</v>
      </c>
      <c r="C335" s="768" t="s">
        <v>256</v>
      </c>
      <c r="D335" s="101"/>
      <c r="E335" s="442"/>
      <c r="F335" s="433" t="s">
        <v>257</v>
      </c>
      <c r="G335" s="667" t="s">
        <v>1498</v>
      </c>
      <c r="H335" s="101"/>
      <c r="I335" s="667"/>
      <c r="J335" s="667"/>
    </row>
    <row r="336" spans="1:10" x14ac:dyDescent="0.2">
      <c r="A336" s="760">
        <f>A335+1</f>
        <v>202</v>
      </c>
      <c r="C336" s="432" t="s">
        <v>258</v>
      </c>
      <c r="D336" s="101"/>
      <c r="E336" s="443"/>
      <c r="F336" s="434">
        <v>0</v>
      </c>
      <c r="G336" s="667" t="s">
        <v>1499</v>
      </c>
      <c r="H336" s="101"/>
      <c r="I336" s="667"/>
      <c r="J336" s="667"/>
    </row>
    <row r="337" spans="1:10" x14ac:dyDescent="0.2">
      <c r="A337" s="760">
        <f>A336+1</f>
        <v>203</v>
      </c>
      <c r="C337" s="432" t="s">
        <v>1250</v>
      </c>
      <c r="D337" s="101"/>
      <c r="E337" s="442"/>
      <c r="F337" s="433" t="s">
        <v>257</v>
      </c>
      <c r="G337" s="667" t="s">
        <v>1500</v>
      </c>
      <c r="H337" s="101"/>
      <c r="I337" s="667"/>
      <c r="J337" s="667"/>
    </row>
    <row r="338" spans="1:10" x14ac:dyDescent="0.2">
      <c r="C338" s="432"/>
      <c r="D338" s="101"/>
      <c r="E338" s="443"/>
      <c r="F338" s="434"/>
      <c r="G338" s="667"/>
      <c r="H338" s="101"/>
      <c r="I338" s="667"/>
      <c r="J338" s="667"/>
    </row>
    <row r="339" spans="1:10" x14ac:dyDescent="0.2">
      <c r="C339" s="441" t="s">
        <v>1258</v>
      </c>
      <c r="D339" s="101"/>
      <c r="E339" s="667"/>
      <c r="F339" s="769"/>
      <c r="G339" s="201" t="s">
        <v>1253</v>
      </c>
      <c r="H339" s="101"/>
      <c r="I339" s="667"/>
      <c r="J339" s="667"/>
    </row>
    <row r="340" spans="1:10" x14ac:dyDescent="0.2">
      <c r="A340" s="760">
        <f>A337+1</f>
        <v>204</v>
      </c>
      <c r="C340" s="768" t="s">
        <v>256</v>
      </c>
      <c r="D340" s="101"/>
      <c r="E340" s="442"/>
      <c r="F340" s="433" t="s">
        <v>257</v>
      </c>
      <c r="G340" s="667" t="s">
        <v>1498</v>
      </c>
      <c r="H340" s="101"/>
      <c r="I340" s="667"/>
      <c r="J340" s="667"/>
    </row>
    <row r="341" spans="1:10" x14ac:dyDescent="0.2">
      <c r="A341" s="760">
        <f>A340+1</f>
        <v>205</v>
      </c>
      <c r="C341" s="432" t="s">
        <v>258</v>
      </c>
      <c r="D341" s="101"/>
      <c r="E341" s="443"/>
      <c r="F341" s="434">
        <v>0</v>
      </c>
      <c r="G341" s="667" t="s">
        <v>1499</v>
      </c>
      <c r="H341" s="101"/>
      <c r="I341" s="667"/>
      <c r="J341" s="667"/>
    </row>
    <row r="342" spans="1:10" x14ac:dyDescent="0.2">
      <c r="A342" s="760">
        <f>A341+1</f>
        <v>206</v>
      </c>
      <c r="C342" s="432" t="s">
        <v>1250</v>
      </c>
      <c r="D342" s="101"/>
      <c r="E342" s="442"/>
      <c r="F342" s="433" t="s">
        <v>257</v>
      </c>
      <c r="G342" s="667" t="s">
        <v>1500</v>
      </c>
      <c r="H342" s="101"/>
      <c r="I342" s="667"/>
      <c r="J342" s="667"/>
    </row>
    <row r="343" spans="1:10" x14ac:dyDescent="0.2">
      <c r="C343" s="101"/>
      <c r="D343" s="101"/>
      <c r="E343" s="101"/>
      <c r="F343" s="433"/>
      <c r="G343" s="101"/>
      <c r="H343" s="101"/>
      <c r="I343" s="101"/>
      <c r="J343" s="101"/>
    </row>
    <row r="344" spans="1:10" x14ac:dyDescent="0.2">
      <c r="C344" s="441" t="s">
        <v>1259</v>
      </c>
      <c r="D344" s="101"/>
      <c r="E344" s="667"/>
      <c r="F344" s="769"/>
      <c r="G344" s="201" t="s">
        <v>1253</v>
      </c>
      <c r="H344" s="101"/>
      <c r="I344" s="101"/>
      <c r="J344" s="101"/>
    </row>
    <row r="345" spans="1:10" x14ac:dyDescent="0.2">
      <c r="A345" s="760">
        <f>A342+1</f>
        <v>207</v>
      </c>
      <c r="C345" s="768" t="s">
        <v>256</v>
      </c>
      <c r="D345" s="101"/>
      <c r="E345" s="442"/>
      <c r="F345" s="433" t="s">
        <v>257</v>
      </c>
      <c r="G345" s="770" t="s">
        <v>1501</v>
      </c>
      <c r="H345" s="101"/>
      <c r="I345" s="101"/>
      <c r="J345" s="101"/>
    </row>
    <row r="346" spans="1:10" x14ac:dyDescent="0.2">
      <c r="A346" s="760">
        <f>A345+1</f>
        <v>208</v>
      </c>
      <c r="C346" s="432" t="s">
        <v>258</v>
      </c>
      <c r="D346" s="101"/>
      <c r="E346" s="443"/>
      <c r="F346" s="434">
        <v>0</v>
      </c>
      <c r="G346" s="771" t="s">
        <v>88</v>
      </c>
      <c r="H346" s="101"/>
      <c r="I346" s="101"/>
      <c r="J346" s="101"/>
    </row>
    <row r="347" spans="1:10" x14ac:dyDescent="0.2">
      <c r="A347" s="760">
        <f>A346+1</f>
        <v>209</v>
      </c>
      <c r="C347" s="432" t="s">
        <v>1250</v>
      </c>
      <c r="D347" s="101"/>
      <c r="E347" s="442"/>
      <c r="F347" s="433" t="s">
        <v>257</v>
      </c>
      <c r="G347" s="770" t="s">
        <v>1501</v>
      </c>
      <c r="H347" s="101"/>
      <c r="I347" s="101"/>
      <c r="J347" s="101"/>
    </row>
    <row r="348" spans="1:10" x14ac:dyDescent="0.2">
      <c r="C348" s="101"/>
      <c r="D348" s="101"/>
      <c r="E348" s="101"/>
      <c r="F348" s="433"/>
      <c r="G348" s="101"/>
      <c r="H348" s="101"/>
      <c r="I348" s="101"/>
      <c r="J348" s="101"/>
    </row>
    <row r="349" spans="1:10" x14ac:dyDescent="0.2">
      <c r="C349" s="441" t="s">
        <v>1260</v>
      </c>
      <c r="D349" s="101"/>
      <c r="E349" s="667"/>
      <c r="F349" s="769"/>
      <c r="G349" s="201" t="s">
        <v>1253</v>
      </c>
      <c r="H349" s="101"/>
      <c r="I349" s="101"/>
      <c r="J349" s="101"/>
    </row>
    <row r="350" spans="1:10" x14ac:dyDescent="0.2">
      <c r="A350" s="760">
        <f>A347+1</f>
        <v>210</v>
      </c>
      <c r="C350" s="768" t="s">
        <v>256</v>
      </c>
      <c r="D350" s="101"/>
      <c r="E350" s="442"/>
      <c r="F350" s="433" t="s">
        <v>257</v>
      </c>
      <c r="G350" s="770" t="s">
        <v>1501</v>
      </c>
      <c r="H350" s="101"/>
      <c r="I350" s="101"/>
      <c r="J350" s="101"/>
    </row>
    <row r="351" spans="1:10" x14ac:dyDescent="0.2">
      <c r="A351" s="760">
        <f>A350+1</f>
        <v>211</v>
      </c>
      <c r="C351" s="432" t="s">
        <v>258</v>
      </c>
      <c r="D351" s="101"/>
      <c r="E351" s="443"/>
      <c r="F351" s="434">
        <v>0</v>
      </c>
      <c r="G351" s="771" t="s">
        <v>88</v>
      </c>
      <c r="H351" s="101"/>
      <c r="I351" s="101"/>
      <c r="J351" s="101"/>
    </row>
    <row r="352" spans="1:10" x14ac:dyDescent="0.2">
      <c r="A352" s="760">
        <f>A351+1</f>
        <v>212</v>
      </c>
      <c r="C352" s="432" t="s">
        <v>1250</v>
      </c>
      <c r="D352" s="101"/>
      <c r="E352" s="442"/>
      <c r="F352" s="433" t="s">
        <v>257</v>
      </c>
      <c r="G352" s="770" t="s">
        <v>1501</v>
      </c>
      <c r="H352" s="101"/>
      <c r="I352" s="101"/>
      <c r="J352" s="101"/>
    </row>
    <row r="353" spans="1:10" x14ac:dyDescent="0.2">
      <c r="C353" s="101"/>
      <c r="D353" s="101"/>
      <c r="E353" s="101"/>
      <c r="F353" s="433"/>
      <c r="G353" s="101"/>
      <c r="H353" s="101"/>
      <c r="I353" s="101"/>
      <c r="J353" s="101"/>
    </row>
    <row r="354" spans="1:10" x14ac:dyDescent="0.2">
      <c r="C354" s="441" t="s">
        <v>1261</v>
      </c>
      <c r="D354" s="101"/>
      <c r="E354" s="667"/>
      <c r="F354" s="769"/>
      <c r="G354" s="201" t="s">
        <v>1253</v>
      </c>
      <c r="H354" s="101"/>
      <c r="I354" s="101"/>
      <c r="J354" s="101"/>
    </row>
    <row r="355" spans="1:10" x14ac:dyDescent="0.2">
      <c r="A355" s="760">
        <f>A352+1</f>
        <v>213</v>
      </c>
      <c r="C355" s="768" t="s">
        <v>256</v>
      </c>
      <c r="D355" s="101"/>
      <c r="E355" s="442"/>
      <c r="F355" s="433" t="s">
        <v>257</v>
      </c>
      <c r="G355" s="770" t="s">
        <v>1501</v>
      </c>
      <c r="H355" s="101"/>
      <c r="I355" s="101"/>
      <c r="J355" s="101"/>
    </row>
    <row r="356" spans="1:10" x14ac:dyDescent="0.2">
      <c r="A356" s="760">
        <f>A355+1</f>
        <v>214</v>
      </c>
      <c r="C356" s="432" t="s">
        <v>258</v>
      </c>
      <c r="D356" s="101"/>
      <c r="E356" s="443"/>
      <c r="F356" s="434">
        <v>0</v>
      </c>
      <c r="G356" s="771" t="s">
        <v>88</v>
      </c>
      <c r="H356" s="101"/>
      <c r="I356" s="101"/>
      <c r="J356" s="101"/>
    </row>
    <row r="357" spans="1:10" x14ac:dyDescent="0.2">
      <c r="A357" s="760">
        <f>A356+1</f>
        <v>215</v>
      </c>
      <c r="C357" s="432" t="s">
        <v>1250</v>
      </c>
      <c r="D357" s="101"/>
      <c r="E357" s="442"/>
      <c r="F357" s="433" t="s">
        <v>257</v>
      </c>
      <c r="G357" s="770" t="s">
        <v>1501</v>
      </c>
      <c r="H357" s="101"/>
      <c r="I357" s="101"/>
      <c r="J357" s="101"/>
    </row>
    <row r="358" spans="1:10" x14ac:dyDescent="0.2">
      <c r="C358" s="101"/>
      <c r="D358" s="101"/>
      <c r="E358" s="101"/>
      <c r="F358" s="433"/>
      <c r="G358" s="101"/>
      <c r="H358" s="101"/>
      <c r="I358" s="101"/>
      <c r="J358" s="101"/>
    </row>
    <row r="359" spans="1:10" x14ac:dyDescent="0.2">
      <c r="C359" s="441" t="s">
        <v>1262</v>
      </c>
      <c r="D359" s="101"/>
      <c r="E359" s="667"/>
      <c r="F359" s="769"/>
      <c r="G359" s="201" t="s">
        <v>1253</v>
      </c>
      <c r="H359" s="101"/>
      <c r="I359" s="101"/>
      <c r="J359" s="101"/>
    </row>
    <row r="360" spans="1:10" x14ac:dyDescent="0.2">
      <c r="A360" s="760">
        <f>A357+1</f>
        <v>216</v>
      </c>
      <c r="C360" s="768" t="s">
        <v>256</v>
      </c>
      <c r="D360" s="101"/>
      <c r="E360" s="442"/>
      <c r="F360" s="433" t="s">
        <v>257</v>
      </c>
      <c r="G360" s="770" t="s">
        <v>1501</v>
      </c>
      <c r="H360" s="101"/>
      <c r="I360" s="101"/>
      <c r="J360" s="101"/>
    </row>
    <row r="361" spans="1:10" x14ac:dyDescent="0.2">
      <c r="A361" s="760">
        <f>A360+1</f>
        <v>217</v>
      </c>
      <c r="C361" s="432" t="s">
        <v>258</v>
      </c>
      <c r="D361" s="101"/>
      <c r="E361" s="443"/>
      <c r="F361" s="434">
        <v>0</v>
      </c>
      <c r="G361" s="771" t="s">
        <v>88</v>
      </c>
      <c r="H361" s="101"/>
      <c r="I361" s="101"/>
      <c r="J361" s="101"/>
    </row>
    <row r="362" spans="1:10" x14ac:dyDescent="0.2">
      <c r="A362" s="760">
        <f>A361+1</f>
        <v>218</v>
      </c>
      <c r="C362" s="432" t="s">
        <v>1250</v>
      </c>
      <c r="D362" s="101"/>
      <c r="E362" s="442"/>
      <c r="F362" s="433" t="s">
        <v>257</v>
      </c>
      <c r="G362" s="770" t="s">
        <v>1501</v>
      </c>
      <c r="H362" s="101"/>
      <c r="I362" s="101"/>
      <c r="J362" s="101"/>
    </row>
    <row r="363" spans="1:10" x14ac:dyDescent="0.2">
      <c r="C363" s="101"/>
      <c r="D363" s="101"/>
      <c r="E363" s="101"/>
      <c r="F363" s="101"/>
      <c r="G363" s="101"/>
      <c r="H363" s="101"/>
      <c r="I363" s="101"/>
      <c r="J363" s="101"/>
    </row>
    <row r="364" spans="1:10" x14ac:dyDescent="0.2">
      <c r="C364" s="436" t="s">
        <v>1263</v>
      </c>
      <c r="D364" s="101"/>
      <c r="E364" s="101"/>
      <c r="F364" s="101"/>
      <c r="G364" s="201" t="s">
        <v>1253</v>
      </c>
      <c r="H364" s="101"/>
      <c r="I364" s="101"/>
      <c r="J364" s="101"/>
    </row>
    <row r="365" spans="1:10" x14ac:dyDescent="0.2">
      <c r="A365" s="760">
        <f>A362+1</f>
        <v>219</v>
      </c>
      <c r="C365" s="768" t="s">
        <v>256</v>
      </c>
      <c r="D365" s="101"/>
      <c r="E365" s="101"/>
      <c r="F365" s="101"/>
      <c r="G365" s="101"/>
      <c r="H365" s="101"/>
      <c r="I365" s="101"/>
      <c r="J365" s="101"/>
    </row>
    <row r="366" spans="1:10" x14ac:dyDescent="0.2">
      <c r="A366" s="760">
        <f>A365+1</f>
        <v>220</v>
      </c>
      <c r="C366" s="432" t="s">
        <v>258</v>
      </c>
      <c r="D366" s="101"/>
      <c r="E366" s="101"/>
      <c r="F366" s="101"/>
      <c r="G366" s="101"/>
      <c r="H366" s="101"/>
      <c r="I366" s="101"/>
      <c r="J366" s="101"/>
    </row>
    <row r="367" spans="1:10" x14ac:dyDescent="0.2">
      <c r="A367" s="760">
        <f>A366+1</f>
        <v>221</v>
      </c>
      <c r="C367" s="432" t="s">
        <v>1250</v>
      </c>
      <c r="D367" s="101"/>
      <c r="E367" s="101"/>
      <c r="F367" s="101"/>
      <c r="G367" s="101"/>
      <c r="H367" s="101"/>
      <c r="I367" s="101"/>
      <c r="J367" s="101"/>
    </row>
    <row r="368" spans="1:10" x14ac:dyDescent="0.2">
      <c r="C368" s="437" t="s">
        <v>578</v>
      </c>
    </row>
    <row r="370" spans="2:3" x14ac:dyDescent="0.2">
      <c r="B370" s="438" t="s">
        <v>433</v>
      </c>
    </row>
    <row r="371" spans="2:3" x14ac:dyDescent="0.2">
      <c r="C371" s="649" t="s">
        <v>1474</v>
      </c>
    </row>
    <row r="372" spans="2:3" x14ac:dyDescent="0.2">
      <c r="C372" t="s">
        <v>1264</v>
      </c>
    </row>
  </sheetData>
  <phoneticPr fontId="10" type="noConversion"/>
  <pageMargins left="0.75" right="0.75" top="1" bottom="1" header="0.5" footer="0.5"/>
  <pageSetup scale="70" orientation="portrait" cellComments="asDisplayed" r:id="rId1"/>
  <headerFooter alignWithMargins="0">
    <oddHeader>&amp;CSchedule 14
Incentive Plant
&amp;"Arial,Bold"Exhibit G-1</oddHeader>
    <oddFooter>&amp;R&amp;A</oddFooter>
  </headerFooter>
  <rowBreaks count="5" manualBreakCount="5">
    <brk id="66" max="16383" man="1"/>
    <brk id="131" max="16383" man="1"/>
    <brk id="189" max="16383" man="1"/>
    <brk id="246" max="16383" man="1"/>
    <brk id="30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7"/>
  <sheetViews>
    <sheetView zoomScaleNormal="100" workbookViewId="0">
      <selection activeCell="C12" sqref="C12"/>
    </sheetView>
  </sheetViews>
  <sheetFormatPr defaultRowHeight="12.75" x14ac:dyDescent="0.2"/>
  <cols>
    <col min="3" max="3" width="8.42578125" customWidth="1"/>
  </cols>
  <sheetData>
    <row r="5" spans="1:11" ht="26.25" x14ac:dyDescent="0.4">
      <c r="A5" s="1205" t="s">
        <v>2836</v>
      </c>
      <c r="B5" s="1205"/>
      <c r="C5" s="1205"/>
      <c r="D5" s="1205"/>
      <c r="E5" s="1205"/>
      <c r="F5" s="1205"/>
      <c r="G5" s="1205"/>
      <c r="H5" s="1205"/>
      <c r="I5" s="1205"/>
      <c r="J5" s="1205"/>
      <c r="K5" s="1205"/>
    </row>
    <row r="6" spans="1:11" x14ac:dyDescent="0.2">
      <c r="D6" s="1"/>
    </row>
    <row r="7" spans="1:11" ht="20.25" x14ac:dyDescent="0.3">
      <c r="A7" s="1203" t="s">
        <v>2837</v>
      </c>
      <c r="B7" s="1203"/>
      <c r="C7" s="1203"/>
      <c r="D7" s="1203"/>
      <c r="E7" s="1203"/>
      <c r="F7" s="1203"/>
      <c r="G7" s="1203"/>
      <c r="H7" s="1203"/>
      <c r="I7" s="1203"/>
      <c r="J7" s="1203"/>
      <c r="K7" s="1203"/>
    </row>
  </sheetData>
  <mergeCells count="2">
    <mergeCell ref="A5:K5"/>
    <mergeCell ref="A7:K7"/>
  </mergeCells>
  <pageMargins left="0.7" right="0.7" top="0.75" bottom="0.75" header="0.3" footer="0.3"/>
  <pageSetup scale="92" orientation="portrait" r:id="rId1"/>
  <headerFooter>
    <oddHeader>&amp;C&amp;"Arial,Bold"Exhibit G-1</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90" zoomScaleNormal="90" workbookViewId="0"/>
  </sheetViews>
  <sheetFormatPr defaultRowHeight="12.75" x14ac:dyDescent="0.2"/>
  <cols>
    <col min="1" max="2" width="4.7109375" customWidth="1"/>
    <col min="3" max="4" width="10.7109375" customWidth="1"/>
    <col min="5" max="9" width="15.7109375" customWidth="1"/>
  </cols>
  <sheetData>
    <row r="1" spans="1:9" x14ac:dyDescent="0.2">
      <c r="A1" s="1" t="s">
        <v>170</v>
      </c>
      <c r="B1" s="1"/>
    </row>
    <row r="2" spans="1:9" x14ac:dyDescent="0.2">
      <c r="A2" s="1"/>
      <c r="B2" s="1"/>
      <c r="G2" s="99" t="s">
        <v>283</v>
      </c>
      <c r="H2" s="99"/>
    </row>
    <row r="3" spans="1:9" x14ac:dyDescent="0.2">
      <c r="A3" s="1"/>
      <c r="B3" s="12" t="s">
        <v>1092</v>
      </c>
    </row>
    <row r="4" spans="1:9" x14ac:dyDescent="0.2">
      <c r="A4" s="1"/>
      <c r="B4" s="13" t="s">
        <v>1093</v>
      </c>
    </row>
    <row r="5" spans="1:9" x14ac:dyDescent="0.2">
      <c r="A5" s="1"/>
      <c r="B5" s="653" t="s">
        <v>1988</v>
      </c>
    </row>
    <row r="7" spans="1:9" ht="13.5" customHeight="1" x14ac:dyDescent="0.2">
      <c r="B7" s="1" t="s">
        <v>311</v>
      </c>
    </row>
    <row r="8" spans="1:9" x14ac:dyDescent="0.2">
      <c r="A8" s="1"/>
      <c r="B8" s="1"/>
    </row>
    <row r="9" spans="1:9" x14ac:dyDescent="0.2">
      <c r="A9" s="1"/>
      <c r="B9" s="1"/>
      <c r="C9" s="12" t="s">
        <v>338</v>
      </c>
    </row>
    <row r="10" spans="1:9" x14ac:dyDescent="0.2">
      <c r="A10" s="1"/>
      <c r="B10" s="1"/>
      <c r="C10" s="12" t="s">
        <v>1277</v>
      </c>
    </row>
    <row r="11" spans="1:9" x14ac:dyDescent="0.2">
      <c r="A11" s="1"/>
      <c r="B11" s="1"/>
      <c r="C11" s="12"/>
    </row>
    <row r="12" spans="1:9" x14ac:dyDescent="0.2">
      <c r="A12" s="1"/>
      <c r="B12" s="1"/>
      <c r="C12" s="649" t="s">
        <v>1955</v>
      </c>
    </row>
    <row r="13" spans="1:9" x14ac:dyDescent="0.2">
      <c r="A13" s="1"/>
      <c r="B13" s="1"/>
    </row>
    <row r="14" spans="1:9" x14ac:dyDescent="0.2">
      <c r="A14" s="53" t="s">
        <v>372</v>
      </c>
      <c r="B14" s="1"/>
      <c r="C14" s="12" t="s">
        <v>411</v>
      </c>
      <c r="G14" s="125" t="s">
        <v>201</v>
      </c>
      <c r="I14" s="3" t="s">
        <v>209</v>
      </c>
    </row>
    <row r="15" spans="1:9" x14ac:dyDescent="0.2">
      <c r="A15" s="2">
        <v>1</v>
      </c>
      <c r="B15" s="1"/>
      <c r="C15" s="13" t="s">
        <v>412</v>
      </c>
      <c r="G15" s="70">
        <f>'1-BaseTRR'!K80</f>
        <v>0.49458871554507589</v>
      </c>
      <c r="H15" s="14"/>
      <c r="I15" s="15" t="str">
        <f>"1-BaseTRR, L "&amp;'1-BaseTRR'!A80&amp;""</f>
        <v>1-BaseTRR, L 46</v>
      </c>
    </row>
    <row r="16" spans="1:9" x14ac:dyDescent="0.2">
      <c r="A16" s="2">
        <v>2</v>
      </c>
      <c r="B16" s="1"/>
      <c r="C16" s="13" t="s">
        <v>253</v>
      </c>
      <c r="G16" s="70">
        <f>'1-BaseTRR'!K102</f>
        <v>0.40741296259622478</v>
      </c>
      <c r="H16" s="14"/>
      <c r="I16" s="15" t="str">
        <f>"1-BaseTRR, L "&amp;'1-BaseTRR'!A102&amp;""</f>
        <v>1-BaseTRR, L 58</v>
      </c>
    </row>
    <row r="17" spans="1:9" x14ac:dyDescent="0.2">
      <c r="A17" s="2">
        <v>3</v>
      </c>
      <c r="B17" s="1"/>
      <c r="F17" s="98" t="s">
        <v>559</v>
      </c>
      <c r="G17" s="65">
        <f>G15*(1/(1-G16))* 10000</f>
        <v>8346.262815871798</v>
      </c>
      <c r="H17" s="14"/>
      <c r="I17" s="15" t="s">
        <v>413</v>
      </c>
    </row>
    <row r="18" spans="1:9" x14ac:dyDescent="0.2">
      <c r="G18" s="14"/>
      <c r="H18" s="14"/>
      <c r="I18" s="14"/>
    </row>
    <row r="19" spans="1:9" x14ac:dyDescent="0.2">
      <c r="B19" s="1" t="s">
        <v>312</v>
      </c>
      <c r="G19" s="14"/>
      <c r="H19" s="14"/>
      <c r="I19" s="14"/>
    </row>
    <row r="20" spans="1:9" x14ac:dyDescent="0.2">
      <c r="A20" s="1"/>
      <c r="B20" s="1"/>
      <c r="C20" s="12" t="s">
        <v>343</v>
      </c>
      <c r="G20" s="14"/>
      <c r="H20" s="14"/>
      <c r="I20" s="14"/>
    </row>
    <row r="21" spans="1:9" x14ac:dyDescent="0.2">
      <c r="A21" s="1"/>
      <c r="B21" s="1"/>
      <c r="C21" s="12" t="s">
        <v>560</v>
      </c>
      <c r="G21" s="14"/>
      <c r="H21" s="14"/>
      <c r="I21" s="14"/>
    </row>
    <row r="22" spans="1:9" x14ac:dyDescent="0.2">
      <c r="A22" s="1"/>
      <c r="B22" s="1"/>
      <c r="G22" s="14"/>
      <c r="H22" s="14"/>
      <c r="I22" s="14"/>
    </row>
    <row r="23" spans="1:9" x14ac:dyDescent="0.2">
      <c r="A23" s="1"/>
      <c r="B23" s="1"/>
      <c r="F23" s="2" t="s">
        <v>314</v>
      </c>
      <c r="G23" s="14"/>
      <c r="H23" s="14"/>
      <c r="I23" s="14"/>
    </row>
    <row r="24" spans="1:9" x14ac:dyDescent="0.2">
      <c r="A24" s="53" t="s">
        <v>372</v>
      </c>
      <c r="B24" s="53"/>
      <c r="E24" s="3" t="s">
        <v>10</v>
      </c>
      <c r="F24" s="3" t="s">
        <v>38</v>
      </c>
      <c r="G24" s="131" t="s">
        <v>209</v>
      </c>
      <c r="H24" s="14"/>
      <c r="I24" s="14"/>
    </row>
    <row r="25" spans="1:9" x14ac:dyDescent="0.2">
      <c r="A25" s="2">
        <f>A17+1</f>
        <v>4</v>
      </c>
      <c r="B25" s="2"/>
      <c r="C25" t="s">
        <v>262</v>
      </c>
      <c r="E25" s="43">
        <f>'14-IncentivePlant'!F308</f>
        <v>7.4999999999999997E-3</v>
      </c>
      <c r="F25" s="102">
        <f>E25/0.01</f>
        <v>0.75</v>
      </c>
      <c r="G25" s="47" t="str">
        <f>"14-IncentivePlant, L "&amp;'14-IncentivePlant'!A308&amp;""</f>
        <v>14-IncentivePlant, L 184</v>
      </c>
      <c r="H25" s="14"/>
      <c r="I25" s="14"/>
    </row>
    <row r="26" spans="1:9" x14ac:dyDescent="0.2">
      <c r="A26" s="2">
        <f>A25+1</f>
        <v>5</v>
      </c>
      <c r="B26" s="2"/>
      <c r="C26" t="s">
        <v>263</v>
      </c>
      <c r="E26" s="43">
        <f>'14-IncentivePlant'!F313</f>
        <v>1.2500000000000001E-2</v>
      </c>
      <c r="F26" s="102">
        <f>E26/0.01</f>
        <v>1.25</v>
      </c>
      <c r="G26" s="47" t="str">
        <f>"14-IncentivePlant, L "&amp;'14-IncentivePlant'!A313&amp;""</f>
        <v>14-IncentivePlant, L 187</v>
      </c>
      <c r="H26" s="14"/>
      <c r="I26" s="14"/>
    </row>
    <row r="27" spans="1:9" x14ac:dyDescent="0.2">
      <c r="A27" s="2">
        <f>A26+1</f>
        <v>6</v>
      </c>
      <c r="B27" s="2"/>
      <c r="C27" s="649" t="s">
        <v>3194</v>
      </c>
      <c r="E27" s="43">
        <f>'14-IncentivePlant'!F318</f>
        <v>0.01</v>
      </c>
      <c r="F27" s="102">
        <f>E27/0.01</f>
        <v>1</v>
      </c>
      <c r="G27" s="47" t="str">
        <f>"14-IncentivePlant, L "&amp;'14-IncentivePlant'!A318&amp;""</f>
        <v>14-IncentivePlant, L 190</v>
      </c>
      <c r="H27" s="14"/>
      <c r="I27" s="14"/>
    </row>
    <row r="28" spans="1:9" x14ac:dyDescent="0.2">
      <c r="A28" s="2">
        <f>A27+1</f>
        <v>7</v>
      </c>
      <c r="B28" s="2"/>
      <c r="C28" s="122"/>
      <c r="D28" s="101"/>
      <c r="E28" s="43"/>
      <c r="F28" s="102"/>
      <c r="G28" s="14"/>
      <c r="H28" s="14"/>
      <c r="I28" s="14"/>
    </row>
    <row r="29" spans="1:9" x14ac:dyDescent="0.2">
      <c r="A29" s="2">
        <f>A28+1</f>
        <v>8</v>
      </c>
      <c r="B29" s="2"/>
      <c r="C29" s="199" t="s">
        <v>578</v>
      </c>
      <c r="E29" s="43"/>
      <c r="F29" s="102"/>
      <c r="G29" s="14"/>
      <c r="H29" s="14"/>
      <c r="I29" s="14"/>
    </row>
    <row r="31" spans="1:9" x14ac:dyDescent="0.2">
      <c r="B31" s="1" t="s">
        <v>313</v>
      </c>
    </row>
    <row r="32" spans="1:9" x14ac:dyDescent="0.2">
      <c r="A32" s="1"/>
      <c r="B32" s="1"/>
      <c r="C32" s="12" t="s">
        <v>1786</v>
      </c>
    </row>
    <row r="33" spans="1:9" x14ac:dyDescent="0.2">
      <c r="A33" s="1"/>
      <c r="B33" s="1"/>
      <c r="C33" s="12" t="s">
        <v>561</v>
      </c>
    </row>
    <row r="34" spans="1:9" x14ac:dyDescent="0.2">
      <c r="A34" s="1"/>
      <c r="B34" s="1"/>
      <c r="C34" s="12" t="s">
        <v>562</v>
      </c>
    </row>
    <row r="35" spans="1:9" x14ac:dyDescent="0.2">
      <c r="E35" s="2"/>
      <c r="G35" s="2"/>
    </row>
    <row r="36" spans="1:9" x14ac:dyDescent="0.2">
      <c r="E36" s="2" t="s">
        <v>75</v>
      </c>
      <c r="G36" s="2" t="s">
        <v>75</v>
      </c>
    </row>
    <row r="37" spans="1:9" x14ac:dyDescent="0.2">
      <c r="E37" s="2" t="s">
        <v>9</v>
      </c>
      <c r="F37" s="2" t="s">
        <v>314</v>
      </c>
      <c r="G37" s="2" t="s">
        <v>9</v>
      </c>
    </row>
    <row r="38" spans="1:9" x14ac:dyDescent="0.2">
      <c r="A38" s="53" t="s">
        <v>372</v>
      </c>
      <c r="B38" s="53"/>
      <c r="E38" s="3" t="s">
        <v>203</v>
      </c>
      <c r="F38" s="3" t="s">
        <v>38</v>
      </c>
      <c r="G38" s="3" t="s">
        <v>315</v>
      </c>
      <c r="H38" s="3" t="s">
        <v>209</v>
      </c>
    </row>
    <row r="39" spans="1:9" x14ac:dyDescent="0.2">
      <c r="A39" s="2">
        <f>A29+1</f>
        <v>9</v>
      </c>
      <c r="B39" s="2"/>
      <c r="C39" t="s">
        <v>262</v>
      </c>
      <c r="E39" s="7">
        <f>'14-IncentivePlant'!E46</f>
        <v>183961490.22307685</v>
      </c>
      <c r="F39" s="102">
        <f>F25</f>
        <v>0.75</v>
      </c>
      <c r="G39" s="7">
        <f>(E39/1000000)*(F39*$G$17)</f>
        <v>1151543.2090509222</v>
      </c>
      <c r="H39" s="47" t="str">
        <f>"14-IncentivePlant, L "&amp;'14-IncentivePlant'!A46&amp;", Col. 1"</f>
        <v>14-IncentivePlant, L 13, Col. 1</v>
      </c>
    </row>
    <row r="40" spans="1:9" x14ac:dyDescent="0.2">
      <c r="A40" s="2">
        <f>A39+1</f>
        <v>10</v>
      </c>
      <c r="B40" s="2"/>
      <c r="C40" t="s">
        <v>263</v>
      </c>
      <c r="E40" s="7">
        <f>'14-IncentivePlant'!E47</f>
        <v>954848188.05639052</v>
      </c>
      <c r="F40" s="102">
        <f>F26</f>
        <v>1.25</v>
      </c>
      <c r="G40" s="7">
        <f>(E40/1000000)*(F40*$G$17)</f>
        <v>9961767.4084720183</v>
      </c>
      <c r="H40" s="47" t="str">
        <f>"14-IncentivePlant, L "&amp;'14-IncentivePlant'!A47&amp;", Col. 1"</f>
        <v>14-IncentivePlant, L 14, Col. 1</v>
      </c>
    </row>
    <row r="41" spans="1:9" x14ac:dyDescent="0.2">
      <c r="A41" s="2">
        <f>A40+1</f>
        <v>11</v>
      </c>
      <c r="B41" s="2"/>
      <c r="C41" s="649" t="s">
        <v>3194</v>
      </c>
      <c r="E41" s="7">
        <f>'14-IncentivePlant'!E48</f>
        <v>46790129.102323584</v>
      </c>
      <c r="F41" s="102">
        <f>F27</f>
        <v>1</v>
      </c>
      <c r="G41" s="7">
        <f>(E41/1000000)*(F41*$G$17)</f>
        <v>390522.71467656421</v>
      </c>
      <c r="H41" s="47" t="str">
        <f>"14-IncentivePlant, L "&amp;'14-IncentivePlant'!A48&amp;", Col. 1"</f>
        <v>14-IncentivePlant, L 15, Col. 1</v>
      </c>
    </row>
    <row r="42" spans="1:9" x14ac:dyDescent="0.2">
      <c r="A42" s="2">
        <f>A41+1</f>
        <v>12</v>
      </c>
      <c r="B42" s="2"/>
      <c r="C42" s="122"/>
      <c r="D42" s="101"/>
      <c r="H42" s="14"/>
    </row>
    <row r="43" spans="1:9" x14ac:dyDescent="0.2">
      <c r="A43" s="2">
        <f>A42+1</f>
        <v>13</v>
      </c>
      <c r="B43" s="2"/>
      <c r="C43" s="199" t="s">
        <v>578</v>
      </c>
      <c r="H43" s="14"/>
    </row>
    <row r="44" spans="1:9" x14ac:dyDescent="0.2">
      <c r="A44" s="2">
        <f>A43+1</f>
        <v>14</v>
      </c>
      <c r="F44" s="37" t="s">
        <v>90</v>
      </c>
      <c r="G44" s="7">
        <f>SUM(G39:G42)</f>
        <v>11503833.332199505</v>
      </c>
      <c r="H44" s="648" t="s">
        <v>2423</v>
      </c>
    </row>
    <row r="45" spans="1:9" x14ac:dyDescent="0.2">
      <c r="H45" s="648" t="s">
        <v>2424</v>
      </c>
      <c r="I45" s="7"/>
    </row>
    <row r="46" spans="1:9" x14ac:dyDescent="0.2">
      <c r="B46" s="1" t="s">
        <v>1908</v>
      </c>
      <c r="H46" s="14"/>
    </row>
    <row r="47" spans="1:9" x14ac:dyDescent="0.2">
      <c r="A47" s="1"/>
      <c r="B47" s="1"/>
      <c r="C47" s="649" t="s">
        <v>1909</v>
      </c>
      <c r="H47" s="14"/>
    </row>
    <row r="48" spans="1:9" x14ac:dyDescent="0.2">
      <c r="A48" s="1"/>
      <c r="B48" s="1"/>
      <c r="C48" s="649" t="s">
        <v>1989</v>
      </c>
      <c r="H48" s="14"/>
    </row>
    <row r="49" spans="1:9" x14ac:dyDescent="0.2">
      <c r="A49" s="1"/>
      <c r="B49" s="1"/>
      <c r="C49" s="649" t="s">
        <v>2422</v>
      </c>
      <c r="H49" s="14"/>
    </row>
    <row r="50" spans="1:9" x14ac:dyDescent="0.2">
      <c r="H50" s="14"/>
    </row>
    <row r="51" spans="1:9" x14ac:dyDescent="0.2">
      <c r="E51" s="2" t="s">
        <v>1</v>
      </c>
      <c r="G51" s="2" t="s">
        <v>1</v>
      </c>
      <c r="H51" s="14"/>
    </row>
    <row r="52" spans="1:9" x14ac:dyDescent="0.2">
      <c r="E52" s="2" t="s">
        <v>9</v>
      </c>
      <c r="F52" s="2" t="s">
        <v>314</v>
      </c>
      <c r="G52" s="2" t="s">
        <v>9</v>
      </c>
      <c r="H52" s="14"/>
    </row>
    <row r="53" spans="1:9" x14ac:dyDescent="0.2">
      <c r="A53" s="53" t="s">
        <v>372</v>
      </c>
      <c r="B53" s="53"/>
      <c r="E53" s="3" t="s">
        <v>1107</v>
      </c>
      <c r="F53" s="3" t="s">
        <v>38</v>
      </c>
      <c r="G53" s="3" t="s">
        <v>315</v>
      </c>
      <c r="H53" s="131" t="s">
        <v>209</v>
      </c>
    </row>
    <row r="54" spans="1:9" x14ac:dyDescent="0.2">
      <c r="A54" s="2">
        <f>A44+1</f>
        <v>15</v>
      </c>
      <c r="B54" s="2"/>
      <c r="C54" t="s">
        <v>262</v>
      </c>
      <c r="E54" s="7">
        <f>'14-IncentivePlant'!E60</f>
        <v>185242918.08505863</v>
      </c>
      <c r="F54" s="102">
        <f>F25</f>
        <v>0.75</v>
      </c>
      <c r="G54" s="7">
        <f>(E54/1000000)*(F54*$G$17)</f>
        <v>1159564.5593376826</v>
      </c>
      <c r="H54" s="47" t="str">
        <f>"14-IncentivePlant, L "&amp;'14-IncentivePlant'!A60&amp;", Col. 1"</f>
        <v>14-IncentivePlant, L 19, Col. 1</v>
      </c>
    </row>
    <row r="55" spans="1:9" x14ac:dyDescent="0.2">
      <c r="A55" s="2">
        <f>A54+1</f>
        <v>16</v>
      </c>
      <c r="B55" s="2"/>
      <c r="C55" t="s">
        <v>263</v>
      </c>
      <c r="E55" s="7">
        <f>'14-IncentivePlant'!E61</f>
        <v>659708892.49414384</v>
      </c>
      <c r="F55" s="102">
        <f>F26</f>
        <v>1.25</v>
      </c>
      <c r="G55" s="7">
        <f>(E55/1000000)*(F55*$G$17)</f>
        <v>6882629.7484047981</v>
      </c>
      <c r="H55" s="47" t="str">
        <f>"14-IncentivePlant, L "&amp;'14-IncentivePlant'!A61&amp;", Col. 1"</f>
        <v>14-IncentivePlant, L 20, Col. 1</v>
      </c>
    </row>
    <row r="56" spans="1:9" x14ac:dyDescent="0.2">
      <c r="A56" s="2">
        <f>A55+1</f>
        <v>17</v>
      </c>
      <c r="B56" s="2"/>
      <c r="C56" s="649" t="s">
        <v>3194</v>
      </c>
      <c r="E56" s="7">
        <f>'14-IncentivePlant'!E62</f>
        <v>38270827.432369165</v>
      </c>
      <c r="F56" s="102">
        <f>F27</f>
        <v>1</v>
      </c>
      <c r="G56" s="7">
        <f>(E56/1000000)*(F56*$G$17)</f>
        <v>319418.38393142913</v>
      </c>
      <c r="H56" s="47" t="str">
        <f>"14-IncentivePlant, L "&amp;'14-IncentivePlant'!A62&amp;", Col. 1"</f>
        <v>14-IncentivePlant, L 21, Col. 1</v>
      </c>
    </row>
    <row r="57" spans="1:9" x14ac:dyDescent="0.2">
      <c r="A57" s="2">
        <f>A56+1</f>
        <v>18</v>
      </c>
      <c r="B57" s="2"/>
      <c r="C57" s="122"/>
      <c r="D57" s="101"/>
    </row>
    <row r="58" spans="1:9" x14ac:dyDescent="0.2">
      <c r="A58" s="2">
        <f>A57+1</f>
        <v>19</v>
      </c>
      <c r="B58" s="2"/>
      <c r="C58" s="199" t="s">
        <v>578</v>
      </c>
    </row>
    <row r="59" spans="1:9" x14ac:dyDescent="0.2">
      <c r="A59" s="2">
        <f>A58+1</f>
        <v>20</v>
      </c>
      <c r="F59" s="647" t="s">
        <v>1910</v>
      </c>
      <c r="G59" s="7">
        <f>SUM(G54:G57)</f>
        <v>8361612.6916739093</v>
      </c>
      <c r="H59" s="653" t="s">
        <v>2423</v>
      </c>
    </row>
    <row r="60" spans="1:9" x14ac:dyDescent="0.2">
      <c r="H60" s="653" t="s">
        <v>2424</v>
      </c>
      <c r="I60" s="7"/>
    </row>
    <row r="61" spans="1:9" x14ac:dyDescent="0.2">
      <c r="B61" s="1" t="s">
        <v>2004</v>
      </c>
    </row>
    <row r="63" spans="1:9" x14ac:dyDescent="0.2">
      <c r="C63" s="1" t="s">
        <v>2005</v>
      </c>
    </row>
    <row r="65" spans="1:8" x14ac:dyDescent="0.2">
      <c r="E65" s="731" t="s">
        <v>11</v>
      </c>
    </row>
    <row r="66" spans="1:8" x14ac:dyDescent="0.2">
      <c r="C66" s="731" t="s">
        <v>9</v>
      </c>
      <c r="E66" s="731" t="s">
        <v>341</v>
      </c>
    </row>
    <row r="67" spans="1:8" x14ac:dyDescent="0.2">
      <c r="A67" s="53" t="s">
        <v>372</v>
      </c>
      <c r="C67" s="3" t="s">
        <v>261</v>
      </c>
      <c r="E67" s="3" t="s">
        <v>4</v>
      </c>
      <c r="F67" s="3" t="s">
        <v>209</v>
      </c>
    </row>
    <row r="68" spans="1:8" x14ac:dyDescent="0.2">
      <c r="A68" s="731">
        <f>A59+1</f>
        <v>21</v>
      </c>
      <c r="C68" t="s">
        <v>262</v>
      </c>
      <c r="E68" s="7">
        <f>'14-IncentivePlant'!G60</f>
        <v>185242918.08505863</v>
      </c>
      <c r="F68" s="648" t="str">
        <f>"14-IncentivePlant, L "&amp;'14-IncentivePlant'!A60&amp;", Col. 3"</f>
        <v>14-IncentivePlant, L 19, Col. 3</v>
      </c>
      <c r="G68" s="14"/>
      <c r="H68" s="14"/>
    </row>
    <row r="69" spans="1:8" x14ac:dyDescent="0.2">
      <c r="A69" s="731">
        <f t="shared" ref="A69:A71" si="0">A68+1</f>
        <v>22</v>
      </c>
      <c r="C69" t="s">
        <v>263</v>
      </c>
      <c r="E69" s="7">
        <f>'14-IncentivePlant'!G61</f>
        <v>362625148.64875919</v>
      </c>
      <c r="F69" s="648" t="str">
        <f>"14-IncentivePlant, L "&amp;'14-IncentivePlant'!A61&amp;", Col. 3"</f>
        <v>14-IncentivePlant, L 20, Col. 3</v>
      </c>
      <c r="G69" s="14"/>
      <c r="H69" s="14"/>
    </row>
    <row r="70" spans="1:8" x14ac:dyDescent="0.2">
      <c r="A70" s="731">
        <f t="shared" si="0"/>
        <v>23</v>
      </c>
      <c r="C70" s="649" t="s">
        <v>3195</v>
      </c>
      <c r="E70" s="7">
        <f>'14-IncentivePlant'!G62</f>
        <v>22293.14544608333</v>
      </c>
      <c r="F70" s="648" t="str">
        <f>"14-IncentivePlant, L "&amp;'14-IncentivePlant'!A62&amp;", Col. 3"</f>
        <v>14-IncentivePlant, L 21, Col. 3</v>
      </c>
      <c r="G70" s="14"/>
      <c r="H70" s="14"/>
    </row>
    <row r="71" spans="1:8" x14ac:dyDescent="0.2">
      <c r="A71" s="731">
        <f t="shared" si="0"/>
        <v>24</v>
      </c>
      <c r="C71" s="122"/>
      <c r="F71" s="648"/>
      <c r="G71" s="14"/>
      <c r="H71" s="14"/>
    </row>
    <row r="72" spans="1:8" x14ac:dyDescent="0.2">
      <c r="C72" s="732" t="s">
        <v>578</v>
      </c>
    </row>
    <row r="73" spans="1:8" x14ac:dyDescent="0.2">
      <c r="C73" s="732"/>
    </row>
    <row r="74" spans="1:8" x14ac:dyDescent="0.2">
      <c r="C74" s="1" t="s">
        <v>2006</v>
      </c>
    </row>
    <row r="75" spans="1:8" x14ac:dyDescent="0.2">
      <c r="C75" s="1"/>
    </row>
    <row r="76" spans="1:8" x14ac:dyDescent="0.2">
      <c r="E76" s="3" t="s">
        <v>406</v>
      </c>
      <c r="F76" s="3" t="s">
        <v>390</v>
      </c>
    </row>
    <row r="77" spans="1:8" x14ac:dyDescent="0.2">
      <c r="E77" s="3"/>
      <c r="F77" s="731" t="s">
        <v>2007</v>
      </c>
    </row>
    <row r="78" spans="1:8" x14ac:dyDescent="0.2">
      <c r="E78" s="731" t="s">
        <v>318</v>
      </c>
      <c r="F78" s="731" t="s">
        <v>318</v>
      </c>
    </row>
    <row r="79" spans="1:8" x14ac:dyDescent="0.2">
      <c r="C79" s="731" t="s">
        <v>9</v>
      </c>
      <c r="E79" s="731" t="s">
        <v>9</v>
      </c>
      <c r="F79" s="731" t="s">
        <v>9</v>
      </c>
    </row>
    <row r="80" spans="1:8" x14ac:dyDescent="0.2">
      <c r="A80" s="53" t="s">
        <v>372</v>
      </c>
      <c r="C80" s="3" t="s">
        <v>261</v>
      </c>
      <c r="E80" s="3" t="s">
        <v>315</v>
      </c>
      <c r="F80" s="3" t="s">
        <v>315</v>
      </c>
      <c r="G80" s="3" t="s">
        <v>209</v>
      </c>
    </row>
    <row r="81" spans="1:8" x14ac:dyDescent="0.2">
      <c r="A81" s="731">
        <f>A71+1</f>
        <v>25</v>
      </c>
      <c r="C81" t="s">
        <v>262</v>
      </c>
      <c r="E81" s="7">
        <f>(E68/1000000)*(F54*$G$17)</f>
        <v>1159564.5593376826</v>
      </c>
      <c r="F81" s="7">
        <f>E81*(1-$G$16)</f>
        <v>687142.92689633137</v>
      </c>
      <c r="G81" s="653" t="s">
        <v>247</v>
      </c>
    </row>
    <row r="82" spans="1:8" x14ac:dyDescent="0.2">
      <c r="A82" s="731">
        <f t="shared" ref="A82:A86" si="1">A81+1</f>
        <v>26</v>
      </c>
      <c r="C82" t="s">
        <v>263</v>
      </c>
      <c r="E82" s="7">
        <f>(E69/1000000)*(F55*$G$17)</f>
        <v>3783205.9928339031</v>
      </c>
      <c r="F82" s="7">
        <f>E82*(1-$G$16)</f>
        <v>2241878.8311816505</v>
      </c>
      <c r="G82" s="653" t="s">
        <v>247</v>
      </c>
    </row>
    <row r="83" spans="1:8" x14ac:dyDescent="0.2">
      <c r="A83" s="731">
        <f t="shared" si="1"/>
        <v>27</v>
      </c>
      <c r="C83" s="649" t="s">
        <v>3195</v>
      </c>
      <c r="E83" s="7">
        <f>(E70/1000000)*(F56*$G$17)</f>
        <v>186.06445088546701</v>
      </c>
      <c r="F83" s="7">
        <f>E83*(1-$G$16)</f>
        <v>110.25938171637912</v>
      </c>
      <c r="G83" s="653" t="s">
        <v>247</v>
      </c>
    </row>
    <row r="84" spans="1:8" x14ac:dyDescent="0.2">
      <c r="A84" s="731">
        <f t="shared" si="1"/>
        <v>28</v>
      </c>
      <c r="C84" s="122"/>
      <c r="E84" s="7"/>
      <c r="F84" s="7"/>
      <c r="G84" s="653" t="s">
        <v>247</v>
      </c>
    </row>
    <row r="85" spans="1:8" x14ac:dyDescent="0.2">
      <c r="A85" s="731">
        <f t="shared" si="1"/>
        <v>29</v>
      </c>
      <c r="C85" s="732" t="s">
        <v>578</v>
      </c>
      <c r="E85" s="7"/>
      <c r="F85" s="7"/>
    </row>
    <row r="86" spans="1:8" x14ac:dyDescent="0.2">
      <c r="A86" s="731">
        <f t="shared" si="1"/>
        <v>30</v>
      </c>
      <c r="E86" s="647" t="s">
        <v>5</v>
      </c>
      <c r="F86" s="7">
        <f>SUM(F81:F85)</f>
        <v>2929132.0174596985</v>
      </c>
    </row>
    <row r="88" spans="1:8" x14ac:dyDescent="0.2">
      <c r="C88" s="1" t="s">
        <v>2008</v>
      </c>
    </row>
    <row r="89" spans="1:8" x14ac:dyDescent="0.2">
      <c r="A89" s="53" t="s">
        <v>372</v>
      </c>
      <c r="F89" s="3" t="s">
        <v>205</v>
      </c>
      <c r="G89" s="3" t="s">
        <v>209</v>
      </c>
    </row>
    <row r="90" spans="1:8" x14ac:dyDescent="0.2">
      <c r="A90" s="731">
        <f>A86+1</f>
        <v>31</v>
      </c>
      <c r="E90" s="647" t="s">
        <v>2009</v>
      </c>
      <c r="F90" s="7">
        <f>'4-TUTRR'!J29</f>
        <v>2151421672.2440906</v>
      </c>
      <c r="G90" s="648" t="str">
        <f>"4-TUTRR, Line "&amp;'4-TUTRR'!A29&amp;""</f>
        <v>4-TUTRR, Line 17</v>
      </c>
      <c r="H90" s="14"/>
    </row>
    <row r="91" spans="1:8" x14ac:dyDescent="0.2">
      <c r="A91" s="731">
        <f t="shared" ref="A91:A94" si="2">A90+1</f>
        <v>32</v>
      </c>
      <c r="E91" s="647" t="s">
        <v>2010</v>
      </c>
      <c r="F91" s="95">
        <f>'4-TUTRR'!J24</f>
        <v>336108252.85461545</v>
      </c>
      <c r="G91" s="648" t="str">
        <f>"4-TUTRR, Line "&amp;'4-TUTRR'!A24&amp;""</f>
        <v>4-TUTRR, Line 14</v>
      </c>
      <c r="H91" s="14"/>
    </row>
    <row r="92" spans="1:8" x14ac:dyDescent="0.2">
      <c r="A92" s="731">
        <f t="shared" si="2"/>
        <v>33</v>
      </c>
      <c r="E92" s="647" t="s">
        <v>2011</v>
      </c>
      <c r="F92" s="7">
        <f>F90-F91</f>
        <v>1815313419.3894751</v>
      </c>
      <c r="G92" s="120" t="str">
        <f>"Line "&amp;A90&amp;" - Line "&amp;A91&amp;""</f>
        <v>Line 31 - Line 32</v>
      </c>
      <c r="H92" s="14"/>
    </row>
    <row r="93" spans="1:8" x14ac:dyDescent="0.2">
      <c r="A93" s="731">
        <f t="shared" si="2"/>
        <v>34</v>
      </c>
      <c r="E93" s="647" t="s">
        <v>2012</v>
      </c>
      <c r="F93" s="8">
        <f>'1-BaseTRR'!K80</f>
        <v>0.49458871554507589</v>
      </c>
      <c r="G93" s="648" t="str">
        <f>"1-BaseTRR, Line "&amp;'1-BaseTRR'!A80&amp;""</f>
        <v>1-BaseTRR, Line 46</v>
      </c>
      <c r="H93" s="14"/>
    </row>
    <row r="94" spans="1:8" x14ac:dyDescent="0.2">
      <c r="A94" s="731">
        <f t="shared" si="2"/>
        <v>35</v>
      </c>
      <c r="E94" s="647" t="s">
        <v>2013</v>
      </c>
      <c r="F94" s="7">
        <f>F92*F93</f>
        <v>897833532.40758014</v>
      </c>
      <c r="G94" s="120" t="str">
        <f>"Line "&amp;A92&amp;" * Line "&amp;A93&amp;""</f>
        <v>Line 33 * Line 34</v>
      </c>
      <c r="H94" s="14"/>
    </row>
    <row r="95" spans="1:8" x14ac:dyDescent="0.2">
      <c r="G95" s="14"/>
      <c r="H95" s="14"/>
    </row>
    <row r="96" spans="1:8" x14ac:dyDescent="0.2">
      <c r="C96" s="1" t="s">
        <v>2014</v>
      </c>
      <c r="G96" s="14"/>
      <c r="H96" s="14"/>
    </row>
    <row r="97" spans="1:8" x14ac:dyDescent="0.2">
      <c r="A97" s="53" t="s">
        <v>372</v>
      </c>
      <c r="G97" s="14"/>
      <c r="H97" s="14"/>
    </row>
    <row r="98" spans="1:8" x14ac:dyDescent="0.2">
      <c r="A98" s="731">
        <f>A94+1</f>
        <v>36</v>
      </c>
      <c r="E98" s="647" t="s">
        <v>2015</v>
      </c>
      <c r="F98" s="43">
        <f>F86/F94</f>
        <v>3.2624444417943513E-3</v>
      </c>
      <c r="G98" s="120" t="str">
        <f>"Line "&amp;A86&amp;" / Line "&amp;A94&amp;""</f>
        <v>Line 30 / Line 35</v>
      </c>
      <c r="H98" s="14"/>
    </row>
    <row r="99" spans="1:8" x14ac:dyDescent="0.2">
      <c r="A99" s="731">
        <f t="shared" ref="A99:A101" si="3">A98+1</f>
        <v>37</v>
      </c>
      <c r="E99" s="647" t="s">
        <v>2016</v>
      </c>
      <c r="G99" s="14"/>
      <c r="H99" s="14"/>
    </row>
    <row r="100" spans="1:8" x14ac:dyDescent="0.2">
      <c r="A100" s="731">
        <f t="shared" si="3"/>
        <v>38</v>
      </c>
      <c r="E100" s="647" t="s">
        <v>2017</v>
      </c>
      <c r="F100" s="733">
        <f>'1-BaseTRR'!K85</f>
        <v>9.8000000000000004E-2</v>
      </c>
      <c r="G100" s="648" t="str">
        <f>"1-BaseTRR, Line "&amp;'1-BaseTRR'!A85&amp;""</f>
        <v>1-BaseTRR, Line 49</v>
      </c>
      <c r="H100" s="14"/>
    </row>
    <row r="101" spans="1:8" x14ac:dyDescent="0.2">
      <c r="A101" s="731">
        <f t="shared" si="3"/>
        <v>39</v>
      </c>
      <c r="E101" s="647" t="s">
        <v>2018</v>
      </c>
      <c r="F101" s="43">
        <f>F98+F100</f>
        <v>0.10126244444179436</v>
      </c>
      <c r="G101" s="16" t="str">
        <f>"Line "&amp;A98&amp;" + Line "&amp;A100&amp;""</f>
        <v>Line 36 + Line 38</v>
      </c>
    </row>
    <row r="103" spans="1:8" x14ac:dyDescent="0.2">
      <c r="B103" s="1" t="s">
        <v>433</v>
      </c>
    </row>
    <row r="104" spans="1:8" x14ac:dyDescent="0.2">
      <c r="B104" s="649" t="s">
        <v>602</v>
      </c>
    </row>
    <row r="105" spans="1:8" x14ac:dyDescent="0.2">
      <c r="B105" s="649" t="s">
        <v>603</v>
      </c>
    </row>
    <row r="107" spans="1:8" x14ac:dyDescent="0.2">
      <c r="B107" s="1" t="s">
        <v>267</v>
      </c>
    </row>
    <row r="108" spans="1:8" x14ac:dyDescent="0.2">
      <c r="B108" s="649" t="str">
        <f>"1) Column 1: The True Up Incentive Adder for each Incentive Project equals the IREF on Line "&amp;A17&amp;","</f>
        <v>1) Column 1: The True Up Incentive Adder for each Incentive Project equals the IREF on Line 3,</v>
      </c>
    </row>
    <row r="109" spans="1:8" x14ac:dyDescent="0.2">
      <c r="B109" s="649" t="str">
        <f>"times the applicable Multiplicative Factor on Lines "&amp;A54&amp;" to "&amp;A57&amp;", times the million $ of"</f>
        <v>times the applicable Multiplicative Factor on Lines 15 to 18, times the million $ of</v>
      </c>
    </row>
    <row r="110" spans="1:8" x14ac:dyDescent="0.2">
      <c r="B110" s="649" t="str">
        <f>"TIP Net Plant In Service on Lines "&amp;A68&amp;" to "&amp;A71&amp;"."</f>
        <v>TIP Net Plant In Service on Lines 21 to 24.</v>
      </c>
    </row>
    <row r="111" spans="1:8" x14ac:dyDescent="0.2">
      <c r="B111" s="649" t="s">
        <v>2019</v>
      </c>
    </row>
    <row r="112" spans="1:8" x14ac:dyDescent="0.2">
      <c r="B112" s="649" t="str">
        <f>"Column 1 by (1 - CTR) (Where the CTR is on Line "&amp;A16&amp;")."</f>
        <v>Column 1 by (1 - CTR) (Where the CTR is on Line 2).</v>
      </c>
    </row>
  </sheetData>
  <phoneticPr fontId="10" type="noConversion"/>
  <pageMargins left="0.75" right="0.75" top="1" bottom="1" header="0.5" footer="0.5"/>
  <pageSetup scale="75" orientation="portrait" cellComments="asDisplayed" r:id="rId1"/>
  <headerFooter alignWithMargins="0">
    <oddHeader>&amp;CSchedule 15
Incentive Adders
&amp;"Arial,Bold"Exhibit G-1</oddHeader>
    <oddFooter>&amp;R&amp;A</oddFooter>
  </headerFooter>
  <rowBreaks count="1" manualBreakCount="1">
    <brk id="6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95"/>
  <sheetViews>
    <sheetView zoomScale="85" zoomScaleNormal="85" workbookViewId="0"/>
  </sheetViews>
  <sheetFormatPr defaultColWidth="9.140625" defaultRowHeight="12.75" x14ac:dyDescent="0.2"/>
  <cols>
    <col min="1" max="1" width="4.7109375" style="931" customWidth="1"/>
    <col min="2" max="2" width="6" style="931" customWidth="1"/>
    <col min="3" max="3" width="15.7109375" style="931" customWidth="1"/>
    <col min="4" max="4" width="9.140625" style="931" customWidth="1"/>
    <col min="5" max="6" width="14.7109375" style="931" customWidth="1"/>
    <col min="7" max="7" width="16" style="931" bestFit="1" customWidth="1"/>
    <col min="8" max="8" width="18.28515625" style="931" customWidth="1"/>
    <col min="9" max="10" width="15.7109375" style="931" customWidth="1"/>
    <col min="11" max="11" width="16.85546875" style="931" customWidth="1"/>
    <col min="12" max="16" width="15.7109375" style="931" customWidth="1"/>
    <col min="17" max="17" width="2.85546875" style="931" customWidth="1"/>
    <col min="18" max="21" width="18.7109375" style="931" customWidth="1"/>
    <col min="22" max="22" width="15.7109375" style="931" customWidth="1"/>
    <col min="23" max="23" width="20.85546875" style="931" bestFit="1" customWidth="1"/>
    <col min="24" max="40" width="15.7109375" style="931" customWidth="1"/>
    <col min="41" max="16384" width="9.140625" style="931"/>
  </cols>
  <sheetData>
    <row r="1" spans="1:40" x14ac:dyDescent="0.2">
      <c r="A1" s="882" t="s">
        <v>1787</v>
      </c>
    </row>
    <row r="2" spans="1:40" x14ac:dyDescent="0.2">
      <c r="F2" s="932" t="s">
        <v>396</v>
      </c>
      <c r="G2" s="932"/>
    </row>
    <row r="3" spans="1:40" x14ac:dyDescent="0.2">
      <c r="B3" s="883" t="s">
        <v>1788</v>
      </c>
    </row>
    <row r="4" spans="1:40" x14ac:dyDescent="0.2">
      <c r="B4" s="883" t="s">
        <v>2938</v>
      </c>
    </row>
    <row r="5" spans="1:40" x14ac:dyDescent="0.2">
      <c r="B5" s="883" t="s">
        <v>2939</v>
      </c>
    </row>
    <row r="6" spans="1:40" x14ac:dyDescent="0.2">
      <c r="B6" s="883"/>
    </row>
    <row r="7" spans="1:40" x14ac:dyDescent="0.2">
      <c r="B7" s="882" t="s">
        <v>2940</v>
      </c>
      <c r="H7" s="883"/>
      <c r="I7" s="883"/>
    </row>
    <row r="8" spans="1:40" x14ac:dyDescent="0.2">
      <c r="B8" s="883"/>
      <c r="E8" s="933" t="s">
        <v>406</v>
      </c>
      <c r="F8" s="933" t="s">
        <v>390</v>
      </c>
      <c r="G8" s="933" t="s">
        <v>391</v>
      </c>
      <c r="H8" s="933" t="s">
        <v>392</v>
      </c>
      <c r="I8" s="933" t="s">
        <v>393</v>
      </c>
      <c r="J8" s="933" t="s">
        <v>394</v>
      </c>
      <c r="K8" s="933" t="s">
        <v>395</v>
      </c>
      <c r="L8" s="933" t="s">
        <v>610</v>
      </c>
      <c r="M8" s="933" t="s">
        <v>1059</v>
      </c>
      <c r="N8" s="933" t="s">
        <v>1076</v>
      </c>
      <c r="O8" s="933" t="s">
        <v>1079</v>
      </c>
      <c r="P8" s="933" t="s">
        <v>1097</v>
      </c>
      <c r="T8" s="933"/>
      <c r="U8" s="933"/>
      <c r="X8" s="934"/>
      <c r="Y8" s="934"/>
      <c r="Z8" s="934"/>
      <c r="AA8" s="934"/>
      <c r="AB8" s="934"/>
      <c r="AC8" s="934"/>
      <c r="AD8" s="934"/>
      <c r="AE8" s="934"/>
      <c r="AF8" s="934"/>
      <c r="AG8" s="934"/>
      <c r="AH8" s="934"/>
      <c r="AI8" s="934"/>
      <c r="AJ8" s="934"/>
      <c r="AK8" s="934"/>
      <c r="AL8" s="934"/>
      <c r="AM8" s="934"/>
      <c r="AN8" s="934"/>
    </row>
    <row r="9" spans="1:40" x14ac:dyDescent="0.2">
      <c r="B9" s="883"/>
      <c r="E9" s="935" t="s">
        <v>246</v>
      </c>
      <c r="F9" s="935" t="s">
        <v>246</v>
      </c>
      <c r="G9" s="935" t="s">
        <v>246</v>
      </c>
      <c r="H9" s="935" t="s">
        <v>246</v>
      </c>
      <c r="I9" s="935" t="s">
        <v>246</v>
      </c>
      <c r="J9" s="935" t="s">
        <v>246</v>
      </c>
      <c r="K9" s="935" t="s">
        <v>246</v>
      </c>
      <c r="L9" s="935" t="s">
        <v>246</v>
      </c>
      <c r="M9" s="935" t="s">
        <v>246</v>
      </c>
      <c r="N9" s="935" t="s">
        <v>246</v>
      </c>
      <c r="O9" s="935" t="s">
        <v>246</v>
      </c>
      <c r="P9" s="935" t="s">
        <v>246</v>
      </c>
      <c r="Q9" s="937"/>
    </row>
    <row r="10" spans="1:40" x14ac:dyDescent="0.2">
      <c r="C10" s="938" t="s">
        <v>228</v>
      </c>
      <c r="E10" s="938" t="s">
        <v>2903</v>
      </c>
      <c r="F10" s="938"/>
      <c r="G10" s="938"/>
      <c r="H10" s="939"/>
      <c r="I10" s="939" t="s">
        <v>2888</v>
      </c>
      <c r="J10" s="939"/>
      <c r="K10" s="939"/>
      <c r="L10" s="939"/>
      <c r="M10" s="939"/>
      <c r="O10" s="938" t="s">
        <v>2903</v>
      </c>
      <c r="P10" s="938" t="s">
        <v>2941</v>
      </c>
      <c r="T10" s="939"/>
      <c r="U10" s="939"/>
      <c r="X10" s="939"/>
      <c r="Y10" s="939"/>
      <c r="Z10" s="939"/>
      <c r="AA10" s="939"/>
      <c r="AB10" s="939"/>
      <c r="AC10" s="939"/>
      <c r="AD10" s="939"/>
      <c r="AE10" s="939"/>
      <c r="AF10" s="939"/>
      <c r="AG10" s="939"/>
      <c r="AH10" s="939"/>
      <c r="AI10" s="939"/>
      <c r="AJ10" s="939"/>
      <c r="AK10" s="939"/>
      <c r="AL10" s="939"/>
      <c r="AM10" s="939"/>
      <c r="AN10" s="939"/>
    </row>
    <row r="11" spans="1:40" x14ac:dyDescent="0.2">
      <c r="B11" s="882"/>
      <c r="C11" s="938" t="s">
        <v>229</v>
      </c>
      <c r="E11" s="938" t="s">
        <v>226</v>
      </c>
      <c r="F11" s="938" t="s">
        <v>2905</v>
      </c>
      <c r="G11" s="939" t="s">
        <v>2906</v>
      </c>
      <c r="H11" s="939" t="s">
        <v>2889</v>
      </c>
      <c r="I11" s="939" t="s">
        <v>2942</v>
      </c>
      <c r="J11" s="939"/>
      <c r="K11" s="939" t="s">
        <v>339</v>
      </c>
      <c r="L11" s="939" t="s">
        <v>1229</v>
      </c>
      <c r="M11" s="939" t="s">
        <v>339</v>
      </c>
      <c r="O11" s="939" t="s">
        <v>2308</v>
      </c>
      <c r="P11" s="939" t="s">
        <v>2308</v>
      </c>
      <c r="T11" s="939"/>
      <c r="U11" s="939"/>
      <c r="X11" s="939"/>
      <c r="Y11" s="939"/>
      <c r="Z11" s="939"/>
      <c r="AA11" s="939"/>
      <c r="AB11" s="939"/>
      <c r="AC11" s="939"/>
      <c r="AD11" s="939"/>
      <c r="AE11" s="939"/>
      <c r="AF11" s="939"/>
      <c r="AG11" s="939"/>
      <c r="AH11" s="939"/>
      <c r="AI11" s="939"/>
      <c r="AJ11" s="939"/>
      <c r="AK11" s="939"/>
      <c r="AL11" s="939"/>
      <c r="AM11" s="939"/>
      <c r="AN11" s="939"/>
    </row>
    <row r="12" spans="1:40" x14ac:dyDescent="0.2">
      <c r="A12" s="940" t="s">
        <v>372</v>
      </c>
      <c r="C12" s="921" t="s">
        <v>222</v>
      </c>
      <c r="D12" s="921" t="s">
        <v>223</v>
      </c>
      <c r="E12" s="934" t="s">
        <v>2909</v>
      </c>
      <c r="F12" s="934" t="s">
        <v>2910</v>
      </c>
      <c r="G12" s="941" t="s">
        <v>2911</v>
      </c>
      <c r="H12" s="941" t="s">
        <v>1132</v>
      </c>
      <c r="I12" s="941" t="s">
        <v>1118</v>
      </c>
      <c r="J12" s="941" t="s">
        <v>2888</v>
      </c>
      <c r="K12" s="941" t="s">
        <v>521</v>
      </c>
      <c r="L12" s="941" t="s">
        <v>2894</v>
      </c>
      <c r="M12" s="941" t="s">
        <v>1667</v>
      </c>
      <c r="N12" s="941" t="s">
        <v>1107</v>
      </c>
      <c r="O12" s="941" t="s">
        <v>1118</v>
      </c>
      <c r="P12" s="941" t="s">
        <v>1118</v>
      </c>
      <c r="T12" s="941"/>
      <c r="U12" s="941"/>
      <c r="V12" s="941"/>
      <c r="W12" s="941"/>
      <c r="X12" s="941"/>
      <c r="Y12" s="941"/>
      <c r="Z12" s="941"/>
      <c r="AA12" s="941"/>
      <c r="AB12" s="941"/>
      <c r="AC12" s="941"/>
      <c r="AD12" s="941"/>
      <c r="AE12" s="941"/>
      <c r="AF12" s="941"/>
      <c r="AG12" s="941"/>
      <c r="AH12" s="941"/>
      <c r="AI12" s="941"/>
      <c r="AJ12" s="941"/>
      <c r="AK12" s="941"/>
      <c r="AL12" s="941"/>
      <c r="AM12" s="941"/>
      <c r="AN12" s="941"/>
    </row>
    <row r="13" spans="1:40" x14ac:dyDescent="0.2">
      <c r="A13" s="938">
        <v>1</v>
      </c>
      <c r="C13" s="931" t="str">
        <f>C42</f>
        <v>January</v>
      </c>
      <c r="D13" s="1045">
        <f>D42</f>
        <v>2011</v>
      </c>
      <c r="E13" s="880">
        <f t="shared" ref="E13:P28" si="0">E42+E70</f>
        <v>2416957.8795833341</v>
      </c>
      <c r="F13" s="880">
        <f t="shared" si="0"/>
        <v>0</v>
      </c>
      <c r="G13" s="880">
        <f t="shared" si="0"/>
        <v>181271.84096875004</v>
      </c>
      <c r="H13" s="880">
        <f t="shared" si="0"/>
        <v>207858.37764416673</v>
      </c>
      <c r="I13" s="880">
        <f t="shared" si="0"/>
        <v>2390371.3429079172</v>
      </c>
      <c r="J13" s="880">
        <f t="shared" si="0"/>
        <v>71711.140287237518</v>
      </c>
      <c r="K13" s="880">
        <f t="shared" si="0"/>
        <v>2462082.4831951549</v>
      </c>
      <c r="L13" s="880">
        <f t="shared" si="0"/>
        <v>0</v>
      </c>
      <c r="M13" s="880">
        <f t="shared" si="0"/>
        <v>0</v>
      </c>
      <c r="N13" s="880">
        <f t="shared" si="0"/>
        <v>2462082.4831951549</v>
      </c>
      <c r="O13" s="880">
        <f t="shared" si="0"/>
        <v>0</v>
      </c>
      <c r="P13" s="880">
        <f t="shared" si="0"/>
        <v>0</v>
      </c>
      <c r="T13" s="942"/>
      <c r="U13" s="942"/>
      <c r="V13" s="943"/>
      <c r="W13" s="942"/>
      <c r="X13" s="944"/>
      <c r="Y13" s="702"/>
      <c r="Z13" s="942"/>
      <c r="AA13" s="942"/>
      <c r="AB13" s="942"/>
      <c r="AC13" s="942"/>
      <c r="AD13" s="942"/>
      <c r="AE13" s="942"/>
      <c r="AF13" s="942"/>
      <c r="AG13" s="942"/>
      <c r="AH13" s="942"/>
      <c r="AI13" s="942"/>
      <c r="AJ13" s="942"/>
      <c r="AK13" s="942"/>
      <c r="AL13" s="942"/>
      <c r="AM13" s="942"/>
      <c r="AN13" s="942"/>
    </row>
    <row r="14" spans="1:40" x14ac:dyDescent="0.2">
      <c r="A14" s="938">
        <f>A13+1</f>
        <v>2</v>
      </c>
      <c r="C14" s="931" t="str">
        <f t="shared" ref="C14:D29" si="1">C43</f>
        <v>February</v>
      </c>
      <c r="D14" s="1045">
        <f t="shared" si="1"/>
        <v>2011</v>
      </c>
      <c r="E14" s="880">
        <f t="shared" si="0"/>
        <v>2416957.8795833341</v>
      </c>
      <c r="F14" s="880">
        <f t="shared" si="0"/>
        <v>0</v>
      </c>
      <c r="G14" s="880">
        <f t="shared" si="0"/>
        <v>181271.84096875004</v>
      </c>
      <c r="H14" s="880">
        <f t="shared" si="0"/>
        <v>207858.37764416673</v>
      </c>
      <c r="I14" s="880">
        <f t="shared" si="0"/>
        <v>2390371.3429079172</v>
      </c>
      <c r="J14" s="880">
        <f t="shared" si="0"/>
        <v>71711.140287237518</v>
      </c>
      <c r="K14" s="880">
        <f t="shared" si="0"/>
        <v>4924164.9663903099</v>
      </c>
      <c r="L14" s="880">
        <f t="shared" si="0"/>
        <v>5135.6922253941511</v>
      </c>
      <c r="M14" s="880">
        <f t="shared" si="0"/>
        <v>5135.6922253941511</v>
      </c>
      <c r="N14" s="880">
        <f t="shared" si="0"/>
        <v>4919029.274164916</v>
      </c>
      <c r="O14" s="880">
        <f t="shared" si="0"/>
        <v>0</v>
      </c>
      <c r="P14" s="880">
        <f t="shared" si="0"/>
        <v>0</v>
      </c>
      <c r="T14" s="942"/>
      <c r="U14" s="942"/>
      <c r="V14" s="943"/>
      <c r="W14" s="942"/>
      <c r="X14" s="944"/>
      <c r="Y14" s="702"/>
      <c r="Z14" s="942"/>
      <c r="AA14" s="942"/>
      <c r="AB14" s="942"/>
      <c r="AC14" s="942"/>
      <c r="AD14" s="942"/>
      <c r="AE14" s="942"/>
      <c r="AF14" s="942"/>
      <c r="AG14" s="942"/>
      <c r="AH14" s="942"/>
      <c r="AI14" s="942"/>
      <c r="AJ14" s="942"/>
      <c r="AK14" s="942"/>
      <c r="AL14" s="942"/>
      <c r="AM14" s="942"/>
      <c r="AN14" s="942"/>
    </row>
    <row r="15" spans="1:40" x14ac:dyDescent="0.2">
      <c r="A15" s="938">
        <f t="shared" ref="A15:A33" si="2">A14+1</f>
        <v>3</v>
      </c>
      <c r="C15" s="931" t="str">
        <f t="shared" si="1"/>
        <v>March</v>
      </c>
      <c r="D15" s="1045">
        <f t="shared" si="1"/>
        <v>2011</v>
      </c>
      <c r="E15" s="880">
        <f t="shared" si="0"/>
        <v>2416957.8795833341</v>
      </c>
      <c r="F15" s="880">
        <f t="shared" si="0"/>
        <v>0</v>
      </c>
      <c r="G15" s="880">
        <f t="shared" si="0"/>
        <v>181271.84096875004</v>
      </c>
      <c r="H15" s="880">
        <f t="shared" si="0"/>
        <v>207858.37764416673</v>
      </c>
      <c r="I15" s="880">
        <f t="shared" si="0"/>
        <v>2390371.3429079172</v>
      </c>
      <c r="J15" s="880">
        <f t="shared" si="0"/>
        <v>71711.140287237518</v>
      </c>
      <c r="K15" s="880">
        <f t="shared" si="0"/>
        <v>7386247.4495854639</v>
      </c>
      <c r="L15" s="880">
        <f t="shared" si="0"/>
        <v>10271.384450788302</v>
      </c>
      <c r="M15" s="880">
        <f t="shared" si="0"/>
        <v>15407.076676182453</v>
      </c>
      <c r="N15" s="880">
        <f t="shared" si="0"/>
        <v>7370840.3729092814</v>
      </c>
      <c r="O15" s="880">
        <f t="shared" si="0"/>
        <v>0</v>
      </c>
      <c r="P15" s="880">
        <f t="shared" si="0"/>
        <v>0</v>
      </c>
      <c r="T15" s="942"/>
      <c r="U15" s="942"/>
      <c r="V15" s="943"/>
      <c r="W15" s="942"/>
      <c r="X15" s="944"/>
      <c r="Y15" s="702"/>
      <c r="Z15" s="942"/>
      <c r="AA15" s="942"/>
      <c r="AB15" s="942"/>
      <c r="AC15" s="942"/>
      <c r="AD15" s="942"/>
      <c r="AE15" s="942"/>
      <c r="AF15" s="942"/>
      <c r="AG15" s="942"/>
      <c r="AH15" s="942"/>
      <c r="AI15" s="942"/>
      <c r="AJ15" s="942"/>
      <c r="AK15" s="942"/>
      <c r="AL15" s="942"/>
      <c r="AM15" s="942"/>
      <c r="AN15" s="942"/>
    </row>
    <row r="16" spans="1:40" x14ac:dyDescent="0.2">
      <c r="A16" s="938">
        <f t="shared" si="2"/>
        <v>4</v>
      </c>
      <c r="C16" s="931" t="str">
        <f t="shared" si="1"/>
        <v>April</v>
      </c>
      <c r="D16" s="1045">
        <f t="shared" si="1"/>
        <v>2011</v>
      </c>
      <c r="E16" s="880">
        <f t="shared" si="0"/>
        <v>2851957.8795833341</v>
      </c>
      <c r="F16" s="880">
        <f t="shared" si="0"/>
        <v>0</v>
      </c>
      <c r="G16" s="880">
        <f t="shared" si="0"/>
        <v>213896.84096875004</v>
      </c>
      <c r="H16" s="880">
        <f t="shared" si="0"/>
        <v>245268.37764416673</v>
      </c>
      <c r="I16" s="880">
        <f t="shared" si="0"/>
        <v>2820586.3429079172</v>
      </c>
      <c r="J16" s="880">
        <f t="shared" si="0"/>
        <v>84617.590287237515</v>
      </c>
      <c r="K16" s="880">
        <f t="shared" si="0"/>
        <v>10291451.382780619</v>
      </c>
      <c r="L16" s="880">
        <f t="shared" si="0"/>
        <v>15407.076676182449</v>
      </c>
      <c r="M16" s="880">
        <f t="shared" si="0"/>
        <v>30814.153352364901</v>
      </c>
      <c r="N16" s="880">
        <f t="shared" si="0"/>
        <v>10260637.229428254</v>
      </c>
      <c r="O16" s="880">
        <f t="shared" si="0"/>
        <v>0</v>
      </c>
      <c r="P16" s="880">
        <f t="shared" si="0"/>
        <v>0</v>
      </c>
      <c r="T16" s="942"/>
      <c r="U16" s="942"/>
      <c r="V16" s="943"/>
      <c r="W16" s="942"/>
      <c r="X16" s="944"/>
      <c r="Y16" s="702"/>
      <c r="Z16" s="942"/>
      <c r="AA16" s="942"/>
      <c r="AB16" s="942"/>
      <c r="AC16" s="942"/>
      <c r="AD16" s="942"/>
      <c r="AE16" s="942"/>
      <c r="AF16" s="942"/>
      <c r="AG16" s="942"/>
      <c r="AH16" s="942"/>
      <c r="AI16" s="942"/>
      <c r="AJ16" s="942"/>
      <c r="AK16" s="942"/>
      <c r="AL16" s="942"/>
      <c r="AM16" s="942"/>
      <c r="AN16" s="942"/>
    </row>
    <row r="17" spans="1:40" x14ac:dyDescent="0.2">
      <c r="A17" s="938">
        <f t="shared" si="2"/>
        <v>5</v>
      </c>
      <c r="C17" s="931" t="str">
        <f t="shared" si="1"/>
        <v>May</v>
      </c>
      <c r="D17" s="1045">
        <f t="shared" si="1"/>
        <v>2011</v>
      </c>
      <c r="E17" s="880">
        <f t="shared" si="0"/>
        <v>3851478.489583334</v>
      </c>
      <c r="F17" s="880">
        <f t="shared" si="0"/>
        <v>1026462.54</v>
      </c>
      <c r="G17" s="880">
        <f t="shared" si="0"/>
        <v>211876.19621875003</v>
      </c>
      <c r="H17" s="880">
        <f t="shared" si="0"/>
        <v>207858.37764416673</v>
      </c>
      <c r="I17" s="880">
        <f t="shared" si="0"/>
        <v>2390371.3429079172</v>
      </c>
      <c r="J17" s="880">
        <f t="shared" si="0"/>
        <v>71711.140287237518</v>
      </c>
      <c r="K17" s="880">
        <f t="shared" si="0"/>
        <v>14218658.831225773</v>
      </c>
      <c r="L17" s="880">
        <f t="shared" si="0"/>
        <v>21467.082120651641</v>
      </c>
      <c r="M17" s="880">
        <f t="shared" si="0"/>
        <v>52281.235473016539</v>
      </c>
      <c r="N17" s="880">
        <f t="shared" si="0"/>
        <v>14166377.595752757</v>
      </c>
      <c r="O17" s="880">
        <f t="shared" si="0"/>
        <v>0</v>
      </c>
      <c r="P17" s="880">
        <f t="shared" si="0"/>
        <v>0</v>
      </c>
      <c r="T17" s="942"/>
      <c r="U17" s="942"/>
      <c r="V17" s="943"/>
      <c r="W17" s="942"/>
      <c r="X17" s="944"/>
      <c r="Y17" s="702"/>
      <c r="Z17" s="942"/>
      <c r="AA17" s="942"/>
      <c r="AB17" s="942"/>
      <c r="AC17" s="942"/>
      <c r="AD17" s="942"/>
      <c r="AE17" s="942"/>
      <c r="AF17" s="942"/>
      <c r="AG17" s="942"/>
      <c r="AH17" s="942"/>
      <c r="AI17" s="942"/>
      <c r="AJ17" s="942"/>
      <c r="AK17" s="942"/>
      <c r="AL17" s="942"/>
      <c r="AM17" s="942"/>
      <c r="AN17" s="942"/>
    </row>
    <row r="18" spans="1:40" x14ac:dyDescent="0.2">
      <c r="A18" s="938">
        <f t="shared" si="2"/>
        <v>6</v>
      </c>
      <c r="C18" s="931" t="str">
        <f t="shared" si="1"/>
        <v xml:space="preserve">June </v>
      </c>
      <c r="D18" s="1045">
        <f t="shared" si="1"/>
        <v>2011</v>
      </c>
      <c r="E18" s="880">
        <f t="shared" si="0"/>
        <v>5290514.9431833345</v>
      </c>
      <c r="F18" s="880">
        <f t="shared" si="0"/>
        <v>1268894.0636</v>
      </c>
      <c r="G18" s="880">
        <f t="shared" si="0"/>
        <v>301621.5659687501</v>
      </c>
      <c r="H18" s="880">
        <f t="shared" si="0"/>
        <v>345859.3956441668</v>
      </c>
      <c r="I18" s="880">
        <f t="shared" si="0"/>
        <v>3977383.0499079176</v>
      </c>
      <c r="J18" s="880">
        <f t="shared" si="0"/>
        <v>119321.49149723753</v>
      </c>
      <c r="K18" s="880">
        <f t="shared" si="0"/>
        <v>19584257.436230928</v>
      </c>
      <c r="L18" s="880">
        <f t="shared" si="0"/>
        <v>29658.898966005927</v>
      </c>
      <c r="M18" s="880">
        <f t="shared" si="0"/>
        <v>81940.134439022455</v>
      </c>
      <c r="N18" s="880">
        <f t="shared" si="0"/>
        <v>19502317.301791906</v>
      </c>
      <c r="O18" s="880">
        <f t="shared" si="0"/>
        <v>0</v>
      </c>
      <c r="P18" s="880">
        <f t="shared" si="0"/>
        <v>0</v>
      </c>
      <c r="T18" s="942"/>
      <c r="U18" s="942"/>
      <c r="V18" s="943"/>
      <c r="W18" s="942"/>
      <c r="X18" s="944"/>
      <c r="Y18" s="702"/>
      <c r="Z18" s="942"/>
      <c r="AA18" s="942"/>
      <c r="AB18" s="942"/>
      <c r="AC18" s="942"/>
      <c r="AD18" s="942"/>
      <c r="AE18" s="942"/>
      <c r="AF18" s="942"/>
      <c r="AG18" s="942"/>
      <c r="AH18" s="942"/>
      <c r="AI18" s="942"/>
      <c r="AJ18" s="942"/>
      <c r="AK18" s="942"/>
      <c r="AL18" s="942"/>
      <c r="AM18" s="942"/>
      <c r="AN18" s="942"/>
    </row>
    <row r="19" spans="1:40" x14ac:dyDescent="0.2">
      <c r="A19" s="938">
        <f t="shared" si="2"/>
        <v>7</v>
      </c>
      <c r="C19" s="931" t="str">
        <f t="shared" si="1"/>
        <v>July</v>
      </c>
      <c r="D19" s="1045">
        <f t="shared" si="1"/>
        <v>2011</v>
      </c>
      <c r="E19" s="880">
        <f t="shared" si="0"/>
        <v>43950641.739483334</v>
      </c>
      <c r="F19" s="880">
        <f t="shared" si="0"/>
        <v>37581626.939900003</v>
      </c>
      <c r="G19" s="880">
        <f t="shared" si="0"/>
        <v>477676.10996874981</v>
      </c>
      <c r="H19" s="880">
        <f t="shared" si="0"/>
        <v>547735.27276416647</v>
      </c>
      <c r="I19" s="880">
        <f t="shared" si="0"/>
        <v>6298955.6367879137</v>
      </c>
      <c r="J19" s="880">
        <f t="shared" si="0"/>
        <v>188968.6691036374</v>
      </c>
      <c r="K19" s="880">
        <f t="shared" si="0"/>
        <v>63653808.682022482</v>
      </c>
      <c r="L19" s="880">
        <f t="shared" si="0"/>
        <v>40851.076006537056</v>
      </c>
      <c r="M19" s="880">
        <f t="shared" si="0"/>
        <v>122791.21044555951</v>
      </c>
      <c r="N19" s="880">
        <f t="shared" si="0"/>
        <v>63531017.471576922</v>
      </c>
      <c r="O19" s="880">
        <f>O48+O76</f>
        <v>377000</v>
      </c>
      <c r="P19" s="880">
        <f t="shared" si="0"/>
        <v>383258.2</v>
      </c>
      <c r="T19" s="942"/>
      <c r="U19" s="942"/>
      <c r="V19" s="943"/>
      <c r="W19" s="942"/>
      <c r="X19" s="944"/>
      <c r="Y19" s="702"/>
      <c r="Z19" s="942"/>
      <c r="AA19" s="942"/>
      <c r="AB19" s="942"/>
      <c r="AC19" s="942"/>
      <c r="AD19" s="942"/>
      <c r="AE19" s="942"/>
      <c r="AF19" s="942"/>
      <c r="AG19" s="942"/>
      <c r="AH19" s="942"/>
      <c r="AI19" s="942"/>
      <c r="AJ19" s="942"/>
      <c r="AK19" s="942"/>
      <c r="AL19" s="942"/>
      <c r="AM19" s="942"/>
      <c r="AN19" s="942"/>
    </row>
    <row r="20" spans="1:40" x14ac:dyDescent="0.2">
      <c r="A20" s="938">
        <f t="shared" si="2"/>
        <v>8</v>
      </c>
      <c r="C20" s="931" t="str">
        <f t="shared" si="1"/>
        <v>August</v>
      </c>
      <c r="D20" s="1045">
        <f t="shared" si="1"/>
        <v>2011</v>
      </c>
      <c r="E20" s="880">
        <f t="shared" si="0"/>
        <v>4216963.8795833346</v>
      </c>
      <c r="F20" s="880">
        <f t="shared" si="0"/>
        <v>0</v>
      </c>
      <c r="G20" s="880">
        <f t="shared" si="0"/>
        <v>316272.29096875008</v>
      </c>
      <c r="H20" s="880">
        <f t="shared" si="0"/>
        <v>362658.89364416676</v>
      </c>
      <c r="I20" s="880">
        <f t="shared" si="0"/>
        <v>4170577.2769079176</v>
      </c>
      <c r="J20" s="880">
        <f t="shared" si="0"/>
        <v>125117.31830723753</v>
      </c>
      <c r="K20" s="880">
        <f t="shared" si="0"/>
        <v>67949503.277237639</v>
      </c>
      <c r="L20" s="880">
        <f t="shared" si="0"/>
        <v>132776.36821523076</v>
      </c>
      <c r="M20" s="880">
        <f t="shared" si="0"/>
        <v>255567.57866079028</v>
      </c>
      <c r="N20" s="880">
        <f t="shared" si="0"/>
        <v>67693935.698576853</v>
      </c>
      <c r="O20" s="880">
        <f t="shared" si="0"/>
        <v>377000</v>
      </c>
      <c r="P20" s="880">
        <f t="shared" si="0"/>
        <v>383258.2</v>
      </c>
      <c r="T20" s="942"/>
      <c r="U20" s="942"/>
      <c r="V20" s="943"/>
      <c r="W20" s="942"/>
      <c r="X20" s="944"/>
      <c r="Y20" s="702"/>
      <c r="Z20" s="942"/>
      <c r="AA20" s="942"/>
      <c r="AB20" s="942"/>
      <c r="AC20" s="942"/>
      <c r="AD20" s="942"/>
      <c r="AE20" s="942"/>
      <c r="AF20" s="942"/>
      <c r="AG20" s="942"/>
      <c r="AH20" s="942"/>
      <c r="AI20" s="942"/>
      <c r="AJ20" s="942"/>
      <c r="AK20" s="942"/>
      <c r="AL20" s="942"/>
      <c r="AM20" s="942"/>
      <c r="AN20" s="942"/>
    </row>
    <row r="21" spans="1:40" x14ac:dyDescent="0.2">
      <c r="A21" s="938">
        <f t="shared" si="2"/>
        <v>9</v>
      </c>
      <c r="C21" s="931" t="str">
        <f t="shared" si="1"/>
        <v>September</v>
      </c>
      <c r="D21" s="1045">
        <f t="shared" si="1"/>
        <v>2011</v>
      </c>
      <c r="E21" s="880">
        <f t="shared" si="0"/>
        <v>2416957.8795833341</v>
      </c>
      <c r="F21" s="880">
        <f t="shared" si="0"/>
        <v>0</v>
      </c>
      <c r="G21" s="880">
        <f t="shared" si="0"/>
        <v>181271.84096875004</v>
      </c>
      <c r="H21" s="880">
        <f t="shared" si="0"/>
        <v>207858.37764416673</v>
      </c>
      <c r="I21" s="880">
        <f t="shared" si="0"/>
        <v>2390371.3429079172</v>
      </c>
      <c r="J21" s="880">
        <f t="shared" si="0"/>
        <v>71711.140287237518</v>
      </c>
      <c r="K21" s="880">
        <f t="shared" si="0"/>
        <v>70411585.760432795</v>
      </c>
      <c r="L21" s="880">
        <f t="shared" si="0"/>
        <v>141736.81754456603</v>
      </c>
      <c r="M21" s="880">
        <f t="shared" si="0"/>
        <v>397304.39620535634</v>
      </c>
      <c r="N21" s="880">
        <f t="shared" si="0"/>
        <v>70014281.364227429</v>
      </c>
      <c r="O21" s="880">
        <f t="shared" si="0"/>
        <v>377000</v>
      </c>
      <c r="P21" s="880">
        <f t="shared" si="0"/>
        <v>383258.2</v>
      </c>
      <c r="T21" s="942"/>
      <c r="U21" s="942"/>
      <c r="V21" s="943"/>
      <c r="W21" s="942"/>
      <c r="X21" s="944"/>
      <c r="Y21" s="702"/>
      <c r="Z21" s="942"/>
      <c r="AA21" s="942"/>
      <c r="AB21" s="942"/>
      <c r="AC21" s="942"/>
      <c r="AD21" s="942"/>
      <c r="AE21" s="942"/>
      <c r="AF21" s="942"/>
      <c r="AG21" s="942"/>
      <c r="AH21" s="942"/>
      <c r="AI21" s="942"/>
      <c r="AJ21" s="942"/>
      <c r="AK21" s="942"/>
      <c r="AL21" s="942"/>
      <c r="AM21" s="942"/>
      <c r="AN21" s="942"/>
    </row>
    <row r="22" spans="1:40" x14ac:dyDescent="0.2">
      <c r="A22" s="938">
        <f t="shared" si="2"/>
        <v>10</v>
      </c>
      <c r="C22" s="931" t="str">
        <f t="shared" si="1"/>
        <v xml:space="preserve">October </v>
      </c>
      <c r="D22" s="1045">
        <f t="shared" si="1"/>
        <v>2011</v>
      </c>
      <c r="E22" s="880">
        <f t="shared" si="0"/>
        <v>4152305.1825833335</v>
      </c>
      <c r="F22" s="880">
        <f t="shared" si="0"/>
        <v>1195347.3030000001</v>
      </c>
      <c r="G22" s="880">
        <f t="shared" si="0"/>
        <v>221771.84096875001</v>
      </c>
      <c r="H22" s="880">
        <f t="shared" si="0"/>
        <v>254298.3776441667</v>
      </c>
      <c r="I22" s="880">
        <f t="shared" si="0"/>
        <v>2924431.3429079168</v>
      </c>
      <c r="J22" s="880">
        <f t="shared" si="0"/>
        <v>87732.940287237492</v>
      </c>
      <c r="K22" s="880">
        <f t="shared" si="0"/>
        <v>74619097.346627951</v>
      </c>
      <c r="L22" s="880">
        <f t="shared" si="0"/>
        <v>146872.50976996016</v>
      </c>
      <c r="M22" s="880">
        <f t="shared" si="0"/>
        <v>544176.90597531642</v>
      </c>
      <c r="N22" s="880">
        <f t="shared" si="0"/>
        <v>74074920.440652639</v>
      </c>
      <c r="O22" s="880">
        <f t="shared" si="0"/>
        <v>2112347.3029999998</v>
      </c>
      <c r="P22" s="880">
        <f t="shared" si="0"/>
        <v>2147412.2682297998</v>
      </c>
      <c r="T22" s="942"/>
      <c r="U22" s="942"/>
      <c r="V22" s="943"/>
      <c r="W22" s="942"/>
      <c r="X22" s="944"/>
      <c r="Y22" s="702"/>
      <c r="Z22" s="942"/>
      <c r="AA22" s="942"/>
      <c r="AB22" s="942"/>
      <c r="AC22" s="942"/>
      <c r="AD22" s="942"/>
      <c r="AE22" s="942"/>
      <c r="AF22" s="942"/>
      <c r="AG22" s="942"/>
      <c r="AH22" s="942"/>
      <c r="AI22" s="942"/>
      <c r="AJ22" s="942"/>
      <c r="AK22" s="942"/>
      <c r="AL22" s="942"/>
      <c r="AM22" s="942"/>
      <c r="AN22" s="942"/>
    </row>
    <row r="23" spans="1:40" x14ac:dyDescent="0.2">
      <c r="A23" s="938">
        <f t="shared" si="2"/>
        <v>11</v>
      </c>
      <c r="C23" s="931" t="str">
        <f t="shared" si="1"/>
        <v>November</v>
      </c>
      <c r="D23" s="1045">
        <f t="shared" si="1"/>
        <v>2011</v>
      </c>
      <c r="E23" s="880">
        <f t="shared" si="0"/>
        <v>2416957.8795833341</v>
      </c>
      <c r="F23" s="880">
        <f t="shared" si="0"/>
        <v>0</v>
      </c>
      <c r="G23" s="880">
        <f t="shared" si="0"/>
        <v>181271.84096875004</v>
      </c>
      <c r="H23" s="880">
        <f t="shared" si="0"/>
        <v>207858.37764416673</v>
      </c>
      <c r="I23" s="880">
        <f t="shared" si="0"/>
        <v>2390371.3429079172</v>
      </c>
      <c r="J23" s="880">
        <f t="shared" si="0"/>
        <v>71711.140287237518</v>
      </c>
      <c r="K23" s="880">
        <f t="shared" si="0"/>
        <v>77081179.829823107</v>
      </c>
      <c r="L23" s="880">
        <f t="shared" si="0"/>
        <v>155649.01692963744</v>
      </c>
      <c r="M23" s="880">
        <f t="shared" si="0"/>
        <v>699825.92290495394</v>
      </c>
      <c r="N23" s="880">
        <f t="shared" si="0"/>
        <v>76381353.906918153</v>
      </c>
      <c r="O23" s="880">
        <f t="shared" si="0"/>
        <v>2112347.3029999998</v>
      </c>
      <c r="P23" s="880">
        <f t="shared" si="0"/>
        <v>2147412.2682297998</v>
      </c>
      <c r="T23" s="942"/>
      <c r="U23" s="942"/>
      <c r="V23" s="943"/>
      <c r="W23" s="942"/>
      <c r="X23" s="944"/>
      <c r="Y23" s="702"/>
      <c r="Z23" s="942"/>
      <c r="AA23" s="942"/>
      <c r="AB23" s="942"/>
      <c r="AC23" s="942"/>
      <c r="AD23" s="942"/>
      <c r="AE23" s="942"/>
      <c r="AF23" s="942"/>
      <c r="AG23" s="942"/>
      <c r="AH23" s="942"/>
      <c r="AI23" s="942"/>
      <c r="AJ23" s="942"/>
      <c r="AK23" s="942"/>
      <c r="AL23" s="942"/>
      <c r="AM23" s="942"/>
      <c r="AN23" s="942"/>
    </row>
    <row r="24" spans="1:40" x14ac:dyDescent="0.2">
      <c r="A24" s="938">
        <f t="shared" si="2"/>
        <v>12</v>
      </c>
      <c r="C24" s="931" t="str">
        <f t="shared" si="1"/>
        <v>December</v>
      </c>
      <c r="D24" s="1045">
        <f t="shared" si="1"/>
        <v>2011</v>
      </c>
      <c r="E24" s="880">
        <f t="shared" si="0"/>
        <v>35939707.788958356</v>
      </c>
      <c r="F24" s="880">
        <f t="shared" si="0"/>
        <v>15928507.873300001</v>
      </c>
      <c r="G24" s="880">
        <f t="shared" si="0"/>
        <v>1500839.9936743763</v>
      </c>
      <c r="H24" s="880">
        <f t="shared" si="0"/>
        <v>1109334.8876441671</v>
      </c>
      <c r="I24" s="880">
        <f t="shared" si="0"/>
        <v>12757351.207907919</v>
      </c>
      <c r="J24" s="880">
        <f t="shared" si="0"/>
        <v>382720.53623723757</v>
      </c>
      <c r="K24" s="880">
        <f t="shared" si="0"/>
        <v>113795113.2610489</v>
      </c>
      <c r="L24" s="880">
        <f t="shared" si="0"/>
        <v>160784.70915503157</v>
      </c>
      <c r="M24" s="880">
        <f t="shared" si="0"/>
        <v>860610.63205998554</v>
      </c>
      <c r="N24" s="880">
        <f t="shared" si="0"/>
        <v>112934502.62898892</v>
      </c>
      <c r="O24" s="880">
        <f t="shared" si="0"/>
        <v>11017731.443</v>
      </c>
      <c r="P24" s="880">
        <f t="shared" si="0"/>
        <v>11200625.784953799</v>
      </c>
      <c r="T24" s="942"/>
      <c r="U24" s="942"/>
      <c r="V24" s="943"/>
      <c r="W24" s="942"/>
      <c r="X24" s="944"/>
      <c r="Y24" s="702"/>
      <c r="Z24" s="942"/>
      <c r="AA24" s="942"/>
      <c r="AB24" s="942"/>
      <c r="AC24" s="942"/>
      <c r="AD24" s="942"/>
      <c r="AE24" s="942"/>
      <c r="AF24" s="942"/>
      <c r="AG24" s="942"/>
      <c r="AH24" s="942"/>
      <c r="AI24" s="942"/>
      <c r="AJ24" s="942"/>
      <c r="AK24" s="942"/>
      <c r="AL24" s="942"/>
      <c r="AM24" s="942"/>
      <c r="AN24" s="942"/>
    </row>
    <row r="25" spans="1:40" x14ac:dyDescent="0.2">
      <c r="A25" s="938">
        <f t="shared" si="2"/>
        <v>13</v>
      </c>
      <c r="C25" s="931" t="str">
        <f t="shared" si="1"/>
        <v>January</v>
      </c>
      <c r="D25" s="1045">
        <f t="shared" si="1"/>
        <v>2012</v>
      </c>
      <c r="E25" s="880">
        <f t="shared" si="0"/>
        <v>3073458.5749999997</v>
      </c>
      <c r="F25" s="880">
        <f t="shared" si="0"/>
        <v>0</v>
      </c>
      <c r="G25" s="880">
        <f t="shared" si="0"/>
        <v>230509.39312499997</v>
      </c>
      <c r="H25" s="880">
        <f t="shared" si="0"/>
        <v>252725.95324999996</v>
      </c>
      <c r="I25" s="880">
        <f t="shared" si="0"/>
        <v>2906348.4623749997</v>
      </c>
      <c r="J25" s="880">
        <f t="shared" si="0"/>
        <v>87190.453871249993</v>
      </c>
      <c r="K25" s="880">
        <f t="shared" si="0"/>
        <v>116933545.72979514</v>
      </c>
      <c r="L25" s="880">
        <f t="shared" si="0"/>
        <v>237366.81547085781</v>
      </c>
      <c r="M25" s="880">
        <f t="shared" si="0"/>
        <v>1097977.4475308433</v>
      </c>
      <c r="N25" s="880">
        <f t="shared" si="0"/>
        <v>115835568.28226431</v>
      </c>
      <c r="O25" s="880">
        <f t="shared" si="0"/>
        <v>11017731.443</v>
      </c>
      <c r="P25" s="880">
        <f t="shared" si="0"/>
        <v>11200625.784953799</v>
      </c>
      <c r="T25" s="942"/>
      <c r="U25" s="942"/>
      <c r="V25" s="943"/>
      <c r="W25" s="942"/>
      <c r="X25" s="944"/>
      <c r="Y25" s="702"/>
      <c r="Z25" s="942"/>
      <c r="AA25" s="942"/>
      <c r="AB25" s="942"/>
      <c r="AC25" s="942"/>
      <c r="AD25" s="942"/>
      <c r="AE25" s="942"/>
      <c r="AF25" s="942"/>
      <c r="AG25" s="942"/>
      <c r="AH25" s="942"/>
      <c r="AI25" s="942"/>
      <c r="AJ25" s="942"/>
      <c r="AK25" s="942"/>
      <c r="AL25" s="942"/>
      <c r="AM25" s="942"/>
      <c r="AN25" s="942"/>
    </row>
    <row r="26" spans="1:40" x14ac:dyDescent="0.2">
      <c r="A26" s="938">
        <f t="shared" si="2"/>
        <v>14</v>
      </c>
      <c r="C26" s="931" t="str">
        <f t="shared" si="1"/>
        <v>February</v>
      </c>
      <c r="D26" s="1045">
        <f t="shared" si="1"/>
        <v>2012</v>
      </c>
      <c r="E26" s="880">
        <f t="shared" si="0"/>
        <v>3030218.8749999977</v>
      </c>
      <c r="F26" s="880">
        <f t="shared" si="0"/>
        <v>0</v>
      </c>
      <c r="G26" s="880">
        <f t="shared" si="0"/>
        <v>227266.41562499985</v>
      </c>
      <c r="H26" s="880">
        <f t="shared" si="0"/>
        <v>252725.95324999996</v>
      </c>
      <c r="I26" s="880">
        <f t="shared" si="0"/>
        <v>2906348.4623749997</v>
      </c>
      <c r="J26" s="880">
        <f t="shared" si="0"/>
        <v>87190.453871249993</v>
      </c>
      <c r="K26" s="880">
        <f t="shared" si="0"/>
        <v>120025495.52104139</v>
      </c>
      <c r="L26" s="880">
        <f t="shared" si="0"/>
        <v>243913.31557378999</v>
      </c>
      <c r="M26" s="880">
        <f t="shared" si="0"/>
        <v>1341890.7631046332</v>
      </c>
      <c r="N26" s="880">
        <f t="shared" si="0"/>
        <v>118683604.75793676</v>
      </c>
      <c r="O26" s="880">
        <f t="shared" si="0"/>
        <v>11017731.443</v>
      </c>
      <c r="P26" s="880">
        <f t="shared" si="0"/>
        <v>11200625.784953799</v>
      </c>
      <c r="T26" s="942"/>
      <c r="U26" s="942"/>
      <c r="V26" s="943"/>
      <c r="W26" s="942"/>
      <c r="X26" s="944"/>
      <c r="Y26" s="702"/>
      <c r="Z26" s="942"/>
      <c r="AA26" s="942"/>
      <c r="AB26" s="942"/>
      <c r="AC26" s="942"/>
      <c r="AD26" s="942"/>
      <c r="AE26" s="942"/>
      <c r="AF26" s="942"/>
      <c r="AG26" s="942"/>
      <c r="AH26" s="942"/>
      <c r="AI26" s="942"/>
      <c r="AJ26" s="942"/>
      <c r="AK26" s="942"/>
      <c r="AL26" s="942"/>
      <c r="AM26" s="942"/>
      <c r="AN26" s="942"/>
    </row>
    <row r="27" spans="1:40" x14ac:dyDescent="0.2">
      <c r="A27" s="938">
        <f t="shared" si="2"/>
        <v>15</v>
      </c>
      <c r="C27" s="931" t="str">
        <f t="shared" si="1"/>
        <v>March</v>
      </c>
      <c r="D27" s="1045">
        <f t="shared" si="1"/>
        <v>2012</v>
      </c>
      <c r="E27" s="880">
        <f t="shared" si="0"/>
        <v>155257494.01191083</v>
      </c>
      <c r="F27" s="880">
        <f t="shared" si="0"/>
        <v>61132520.412</v>
      </c>
      <c r="G27" s="880">
        <f t="shared" si="0"/>
        <v>7059373.0199933117</v>
      </c>
      <c r="H27" s="880">
        <f t="shared" si="0"/>
        <v>254445.95324999996</v>
      </c>
      <c r="I27" s="880">
        <f t="shared" si="0"/>
        <v>2926128.4623749997</v>
      </c>
      <c r="J27" s="880">
        <f t="shared" si="0"/>
        <v>87783.853871249987</v>
      </c>
      <c r="K27" s="880">
        <f t="shared" si="0"/>
        <v>282175700.45356679</v>
      </c>
      <c r="L27" s="880">
        <f t="shared" si="0"/>
        <v>250362.85681076962</v>
      </c>
      <c r="M27" s="880">
        <f t="shared" si="0"/>
        <v>1592253.6199154027</v>
      </c>
      <c r="N27" s="880">
        <f t="shared" si="0"/>
        <v>280583446.83365136</v>
      </c>
      <c r="O27" s="880">
        <f t="shared" si="0"/>
        <v>11017731.443</v>
      </c>
      <c r="P27" s="880">
        <f t="shared" si="0"/>
        <v>11200625.784953799</v>
      </c>
      <c r="T27" s="942"/>
      <c r="U27" s="942"/>
      <c r="V27" s="943"/>
      <c r="W27" s="942"/>
      <c r="X27" s="944"/>
      <c r="Y27" s="702"/>
      <c r="Z27" s="942"/>
      <c r="AA27" s="942"/>
      <c r="AB27" s="942"/>
      <c r="AC27" s="942"/>
      <c r="AD27" s="942"/>
      <c r="AE27" s="942"/>
      <c r="AF27" s="942"/>
      <c r="AG27" s="942"/>
      <c r="AH27" s="942"/>
      <c r="AI27" s="942"/>
      <c r="AJ27" s="942"/>
      <c r="AK27" s="942"/>
      <c r="AL27" s="942"/>
      <c r="AM27" s="942"/>
      <c r="AN27" s="942"/>
    </row>
    <row r="28" spans="1:40" x14ac:dyDescent="0.2">
      <c r="A28" s="938">
        <f t="shared" si="2"/>
        <v>16</v>
      </c>
      <c r="C28" s="931" t="str">
        <f t="shared" si="1"/>
        <v>April</v>
      </c>
      <c r="D28" s="1045">
        <f t="shared" si="1"/>
        <v>2012</v>
      </c>
      <c r="E28" s="880">
        <f t="shared" si="0"/>
        <v>10176367.381906703</v>
      </c>
      <c r="F28" s="880">
        <f t="shared" si="0"/>
        <v>48537.33</v>
      </c>
      <c r="G28" s="880">
        <f t="shared" si="0"/>
        <v>759587.25389300275</v>
      </c>
      <c r="H28" s="880">
        <f t="shared" si="0"/>
        <v>289708.8772499999</v>
      </c>
      <c r="I28" s="880">
        <f t="shared" si="0"/>
        <v>3331652.0883749989</v>
      </c>
      <c r="J28" s="880">
        <f t="shared" si="0"/>
        <v>99949.562651249958</v>
      </c>
      <c r="K28" s="880">
        <f t="shared" si="0"/>
        <v>292921895.77476776</v>
      </c>
      <c r="L28" s="880">
        <f t="shared" si="0"/>
        <v>588594.23309566861</v>
      </c>
      <c r="M28" s="880">
        <f t="shared" si="0"/>
        <v>2180847.8530110712</v>
      </c>
      <c r="N28" s="880">
        <f t="shared" si="0"/>
        <v>290741047.92175668</v>
      </c>
      <c r="O28" s="880">
        <f t="shared" si="0"/>
        <v>11017731.443</v>
      </c>
      <c r="P28" s="880">
        <f t="shared" si="0"/>
        <v>11200625.784953799</v>
      </c>
      <c r="T28" s="942"/>
      <c r="U28" s="942"/>
      <c r="V28" s="943"/>
      <c r="W28" s="942"/>
      <c r="X28" s="944"/>
      <c r="Y28" s="702"/>
      <c r="Z28" s="942"/>
      <c r="AA28" s="942"/>
      <c r="AB28" s="942"/>
      <c r="AC28" s="942"/>
      <c r="AD28" s="942"/>
      <c r="AE28" s="942"/>
      <c r="AF28" s="942"/>
      <c r="AG28" s="942"/>
      <c r="AH28" s="942"/>
      <c r="AI28" s="942"/>
      <c r="AJ28" s="942"/>
      <c r="AK28" s="942"/>
      <c r="AL28" s="942"/>
      <c r="AM28" s="942"/>
      <c r="AN28" s="942"/>
    </row>
    <row r="29" spans="1:40" x14ac:dyDescent="0.2">
      <c r="A29" s="938">
        <f t="shared" si="2"/>
        <v>17</v>
      </c>
      <c r="C29" s="931" t="str">
        <f t="shared" si="1"/>
        <v>May</v>
      </c>
      <c r="D29" s="1045">
        <f t="shared" si="1"/>
        <v>2012</v>
      </c>
      <c r="E29" s="880">
        <f t="shared" ref="E29:P33" si="3">E58+E86</f>
        <v>424057367.91996974</v>
      </c>
      <c r="F29" s="880">
        <f t="shared" si="3"/>
        <v>241404065.09</v>
      </c>
      <c r="G29" s="880">
        <f t="shared" si="3"/>
        <v>13698997.712247729</v>
      </c>
      <c r="H29" s="880">
        <f t="shared" si="3"/>
        <v>252725.95324999996</v>
      </c>
      <c r="I29" s="880">
        <f t="shared" si="3"/>
        <v>2906348.4623749997</v>
      </c>
      <c r="J29" s="880">
        <f t="shared" si="3"/>
        <v>87190.453871249993</v>
      </c>
      <c r="K29" s="880">
        <f t="shared" si="3"/>
        <v>730512725.90760648</v>
      </c>
      <c r="L29" s="880">
        <f t="shared" si="3"/>
        <v>611009.87194625544</v>
      </c>
      <c r="M29" s="880">
        <f t="shared" si="3"/>
        <v>2791857.7249573269</v>
      </c>
      <c r="N29" s="880">
        <f t="shared" si="3"/>
        <v>727720868.18264914</v>
      </c>
      <c r="O29" s="880">
        <f t="shared" si="3"/>
        <v>11017731.443</v>
      </c>
      <c r="P29" s="880">
        <f t="shared" si="3"/>
        <v>11200625.784953799</v>
      </c>
      <c r="T29" s="942"/>
      <c r="U29" s="942"/>
      <c r="V29" s="943"/>
      <c r="W29" s="942"/>
      <c r="X29" s="944"/>
      <c r="Y29" s="702"/>
      <c r="Z29" s="942"/>
      <c r="AA29" s="942"/>
      <c r="AB29" s="942"/>
      <c r="AC29" s="942"/>
      <c r="AD29" s="942"/>
      <c r="AE29" s="942"/>
      <c r="AF29" s="942"/>
      <c r="AG29" s="942"/>
      <c r="AH29" s="942"/>
      <c r="AI29" s="942"/>
      <c r="AJ29" s="942"/>
      <c r="AK29" s="942"/>
      <c r="AL29" s="942"/>
      <c r="AM29" s="942"/>
      <c r="AN29" s="942"/>
    </row>
    <row r="30" spans="1:40" x14ac:dyDescent="0.2">
      <c r="A30" s="938">
        <f t="shared" si="2"/>
        <v>18</v>
      </c>
      <c r="C30" s="931" t="str">
        <f t="shared" ref="C30:D33" si="4">C59</f>
        <v xml:space="preserve">June </v>
      </c>
      <c r="D30" s="1045">
        <f t="shared" si="4"/>
        <v>2012</v>
      </c>
      <c r="E30" s="880">
        <f t="shared" si="3"/>
        <v>18064442.271496248</v>
      </c>
      <c r="F30" s="880">
        <f t="shared" si="3"/>
        <v>6550288.5769999996</v>
      </c>
      <c r="G30" s="880">
        <f t="shared" si="3"/>
        <v>863561.52708721859</v>
      </c>
      <c r="H30" s="880">
        <f t="shared" si="3"/>
        <v>731257.4044499998</v>
      </c>
      <c r="I30" s="880">
        <f t="shared" si="3"/>
        <v>8409460.1511749979</v>
      </c>
      <c r="J30" s="880">
        <f t="shared" si="3"/>
        <v>252283.80453524992</v>
      </c>
      <c r="K30" s="880">
        <f t="shared" si="3"/>
        <v>748961756.1062752</v>
      </c>
      <c r="L30" s="880">
        <f t="shared" si="3"/>
        <v>1523786.6938261339</v>
      </c>
      <c r="M30" s="880">
        <f t="shared" si="3"/>
        <v>4315644.4187834607</v>
      </c>
      <c r="N30" s="880">
        <f t="shared" si="3"/>
        <v>744646111.68749166</v>
      </c>
      <c r="O30" s="880">
        <f t="shared" si="3"/>
        <v>11017731.443</v>
      </c>
      <c r="P30" s="880">
        <f t="shared" si="3"/>
        <v>11200625.784953799</v>
      </c>
      <c r="T30" s="942"/>
      <c r="U30" s="942"/>
      <c r="V30" s="943"/>
      <c r="W30" s="942"/>
      <c r="X30" s="944"/>
      <c r="Y30" s="702"/>
      <c r="Z30" s="942"/>
      <c r="AA30" s="942"/>
      <c r="AB30" s="942"/>
      <c r="AC30" s="942"/>
      <c r="AD30" s="942"/>
      <c r="AE30" s="942"/>
      <c r="AF30" s="942"/>
      <c r="AG30" s="942"/>
      <c r="AH30" s="942"/>
      <c r="AI30" s="942"/>
      <c r="AJ30" s="942"/>
      <c r="AK30" s="942"/>
      <c r="AL30" s="942"/>
      <c r="AM30" s="942"/>
      <c r="AN30" s="942"/>
    </row>
    <row r="31" spans="1:40" x14ac:dyDescent="0.2">
      <c r="A31" s="938">
        <f t="shared" si="2"/>
        <v>19</v>
      </c>
      <c r="C31" s="931" t="str">
        <f t="shared" si="4"/>
        <v>July</v>
      </c>
      <c r="D31" s="1045">
        <f t="shared" si="4"/>
        <v>2012</v>
      </c>
      <c r="E31" s="880">
        <f t="shared" si="3"/>
        <v>4802056.4969465118</v>
      </c>
      <c r="F31" s="880">
        <f t="shared" si="3"/>
        <v>0</v>
      </c>
      <c r="G31" s="880">
        <f t="shared" si="3"/>
        <v>360154.23727098835</v>
      </c>
      <c r="H31" s="880">
        <f t="shared" si="3"/>
        <v>252725.95324999996</v>
      </c>
      <c r="I31" s="880">
        <f t="shared" si="3"/>
        <v>2906348.4623749997</v>
      </c>
      <c r="J31" s="880">
        <f t="shared" si="3"/>
        <v>87190.453871249993</v>
      </c>
      <c r="K31" s="880">
        <f t="shared" si="3"/>
        <v>753958431.34111381</v>
      </c>
      <c r="L31" s="880">
        <f t="shared" si="3"/>
        <v>1562269.7834886725</v>
      </c>
      <c r="M31" s="880">
        <f t="shared" si="3"/>
        <v>5877914.2022721339</v>
      </c>
      <c r="N31" s="880">
        <f t="shared" si="3"/>
        <v>748080517.13884163</v>
      </c>
      <c r="O31" s="880">
        <f t="shared" si="3"/>
        <v>11017731.443</v>
      </c>
      <c r="P31" s="880">
        <f t="shared" si="3"/>
        <v>11200625.784953799</v>
      </c>
      <c r="T31" s="942"/>
      <c r="U31" s="942"/>
      <c r="V31" s="943"/>
      <c r="W31" s="942"/>
      <c r="X31" s="944"/>
      <c r="Y31" s="702"/>
      <c r="Z31" s="942"/>
      <c r="AA31" s="942"/>
      <c r="AB31" s="942"/>
      <c r="AC31" s="942"/>
      <c r="AD31" s="942"/>
      <c r="AE31" s="942"/>
      <c r="AF31" s="942"/>
      <c r="AG31" s="942"/>
      <c r="AH31" s="942"/>
      <c r="AI31" s="942"/>
      <c r="AJ31" s="942"/>
      <c r="AK31" s="942"/>
      <c r="AL31" s="942"/>
      <c r="AM31" s="942"/>
      <c r="AN31" s="942"/>
    </row>
    <row r="32" spans="1:40" x14ac:dyDescent="0.2">
      <c r="A32" s="938">
        <f t="shared" si="2"/>
        <v>20</v>
      </c>
      <c r="C32" s="931" t="str">
        <f t="shared" si="4"/>
        <v>August</v>
      </c>
      <c r="D32" s="1045">
        <f t="shared" si="4"/>
        <v>2012</v>
      </c>
      <c r="E32" s="880">
        <f t="shared" si="3"/>
        <v>4543221.4028727245</v>
      </c>
      <c r="F32" s="880">
        <f t="shared" si="3"/>
        <v>0</v>
      </c>
      <c r="G32" s="880">
        <f t="shared" si="3"/>
        <v>340741.6052154543</v>
      </c>
      <c r="H32" s="880">
        <f t="shared" si="3"/>
        <v>252725.95324999996</v>
      </c>
      <c r="I32" s="880">
        <f t="shared" si="3"/>
        <v>2906348.4623749997</v>
      </c>
      <c r="J32" s="880">
        <f t="shared" si="3"/>
        <v>87190.453871249993</v>
      </c>
      <c r="K32" s="880">
        <f t="shared" si="3"/>
        <v>758676858.84982324</v>
      </c>
      <c r="L32" s="880">
        <f t="shared" si="3"/>
        <v>1572692.4181207495</v>
      </c>
      <c r="M32" s="880">
        <f t="shared" si="3"/>
        <v>7450606.6203928823</v>
      </c>
      <c r="N32" s="880">
        <f t="shared" si="3"/>
        <v>751226252.22943032</v>
      </c>
      <c r="O32" s="880">
        <f t="shared" si="3"/>
        <v>11017731.443</v>
      </c>
      <c r="P32" s="880">
        <f t="shared" si="3"/>
        <v>11200625.784953799</v>
      </c>
      <c r="T32" s="942"/>
      <c r="U32" s="942"/>
      <c r="V32" s="943"/>
      <c r="W32" s="942"/>
      <c r="X32" s="944"/>
      <c r="Y32" s="702"/>
      <c r="Z32" s="942"/>
      <c r="AA32" s="942"/>
      <c r="AB32" s="942"/>
      <c r="AC32" s="942"/>
      <c r="AD32" s="942"/>
      <c r="AE32" s="942"/>
      <c r="AF32" s="942"/>
      <c r="AG32" s="942"/>
      <c r="AH32" s="942"/>
      <c r="AI32" s="942"/>
      <c r="AJ32" s="942"/>
      <c r="AK32" s="942"/>
      <c r="AL32" s="942"/>
      <c r="AM32" s="942"/>
      <c r="AN32" s="942"/>
    </row>
    <row r="33" spans="1:40" x14ac:dyDescent="0.2">
      <c r="A33" s="938">
        <f t="shared" si="2"/>
        <v>21</v>
      </c>
      <c r="C33" s="931" t="str">
        <f t="shared" si="4"/>
        <v>September</v>
      </c>
      <c r="D33" s="1045">
        <f t="shared" si="4"/>
        <v>2012</v>
      </c>
      <c r="E33" s="880">
        <f t="shared" si="3"/>
        <v>22731201.630163331</v>
      </c>
      <c r="F33" s="880">
        <f t="shared" si="3"/>
        <v>3436601.14</v>
      </c>
      <c r="G33" s="880">
        <f t="shared" si="3"/>
        <v>1447095.0367622497</v>
      </c>
      <c r="H33" s="880">
        <f t="shared" si="3"/>
        <v>1013774.34981</v>
      </c>
      <c r="I33" s="880">
        <f t="shared" si="3"/>
        <v>11658405.022815</v>
      </c>
      <c r="J33" s="880">
        <f t="shared" si="3"/>
        <v>349752.15068445</v>
      </c>
      <c r="K33" s="945">
        <f t="shared" si="3"/>
        <v>782191133.31762326</v>
      </c>
      <c r="L33" s="900">
        <f t="shared" si="3"/>
        <v>1582534.6519362133</v>
      </c>
      <c r="M33" s="900">
        <f t="shared" si="3"/>
        <v>9033141.2723290958</v>
      </c>
      <c r="N33" s="945">
        <f t="shared" si="3"/>
        <v>773157992.04529417</v>
      </c>
      <c r="O33" s="900">
        <f t="shared" si="3"/>
        <v>11017731.443</v>
      </c>
      <c r="P33" s="945">
        <f t="shared" si="3"/>
        <v>11200625.784953799</v>
      </c>
      <c r="T33" s="942"/>
      <c r="U33" s="942"/>
      <c r="V33" s="943"/>
      <c r="W33" s="942"/>
      <c r="X33" s="944"/>
      <c r="Y33" s="702"/>
      <c r="Z33" s="942"/>
      <c r="AA33" s="942"/>
      <c r="AB33" s="942"/>
      <c r="AC33" s="942"/>
      <c r="AD33" s="942"/>
      <c r="AE33" s="942"/>
      <c r="AF33" s="942"/>
      <c r="AG33" s="942"/>
      <c r="AH33" s="942"/>
      <c r="AI33" s="942"/>
      <c r="AJ33" s="942"/>
      <c r="AK33" s="942"/>
      <c r="AL33" s="942"/>
      <c r="AM33" s="942"/>
      <c r="AN33" s="942"/>
    </row>
    <row r="34" spans="1:40" s="882" customFormat="1" x14ac:dyDescent="0.2">
      <c r="A34" s="938">
        <f>A33+1</f>
        <v>22</v>
      </c>
      <c r="D34" s="978" t="s">
        <v>2309</v>
      </c>
      <c r="K34" s="1103">
        <f>AVERAGE(K21:K33)</f>
        <v>378635732.2461189</v>
      </c>
      <c r="M34" s="979"/>
      <c r="N34" s="979">
        <f>AVERAGE(N21:N33)</f>
        <v>375698497.49385411</v>
      </c>
      <c r="O34" s="979"/>
      <c r="P34" s="979">
        <f>AVERAGE(P21:P33)</f>
        <v>8975718.506615201</v>
      </c>
      <c r="Q34" s="980"/>
      <c r="T34" s="956"/>
      <c r="U34" s="956"/>
    </row>
    <row r="35" spans="1:40" x14ac:dyDescent="0.2">
      <c r="A35" s="938"/>
      <c r="T35" s="880"/>
      <c r="U35" s="880"/>
      <c r="Z35" s="880"/>
    </row>
    <row r="36" spans="1:40" x14ac:dyDescent="0.2">
      <c r="A36" s="938"/>
      <c r="B36" s="882" t="s">
        <v>2943</v>
      </c>
      <c r="G36" s="938"/>
      <c r="K36" s="702"/>
      <c r="M36" s="702"/>
      <c r="N36" s="702"/>
      <c r="O36" s="702"/>
      <c r="P36" s="702"/>
    </row>
    <row r="37" spans="1:40" x14ac:dyDescent="0.2">
      <c r="A37" s="938"/>
      <c r="B37" s="882"/>
      <c r="E37" s="934" t="s">
        <v>406</v>
      </c>
      <c r="F37" s="934" t="s">
        <v>390</v>
      </c>
      <c r="G37" s="934" t="s">
        <v>391</v>
      </c>
      <c r="H37" s="934" t="s">
        <v>392</v>
      </c>
      <c r="I37" s="934" t="s">
        <v>393</v>
      </c>
      <c r="J37" s="934" t="s">
        <v>394</v>
      </c>
      <c r="K37" s="981" t="s">
        <v>395</v>
      </c>
      <c r="L37" s="934" t="s">
        <v>610</v>
      </c>
      <c r="M37" s="981" t="s">
        <v>1059</v>
      </c>
      <c r="N37" s="981" t="s">
        <v>1076</v>
      </c>
      <c r="O37" s="981" t="s">
        <v>1079</v>
      </c>
      <c r="P37" s="981" t="s">
        <v>1097</v>
      </c>
    </row>
    <row r="38" spans="1:40" ht="25.5" x14ac:dyDescent="0.2">
      <c r="A38" s="938"/>
      <c r="B38" s="882"/>
      <c r="E38" s="982" t="s">
        <v>2944</v>
      </c>
      <c r="F38" s="982" t="s">
        <v>2945</v>
      </c>
      <c r="G38" s="982" t="s">
        <v>2946</v>
      </c>
      <c r="H38" s="983" t="s">
        <v>2947</v>
      </c>
      <c r="I38" s="983" t="s">
        <v>2947</v>
      </c>
      <c r="J38" s="937" t="s">
        <v>2947</v>
      </c>
      <c r="K38" s="984" t="s">
        <v>2948</v>
      </c>
      <c r="L38" s="985" t="s">
        <v>2949</v>
      </c>
      <c r="M38" s="986" t="s">
        <v>2950</v>
      </c>
      <c r="N38" s="952" t="s">
        <v>2885</v>
      </c>
      <c r="O38" s="952"/>
      <c r="P38" s="986" t="s">
        <v>2951</v>
      </c>
    </row>
    <row r="39" spans="1:40" x14ac:dyDescent="0.2">
      <c r="A39" s="938"/>
      <c r="C39" s="938" t="str">
        <f>C10</f>
        <v>Forecast</v>
      </c>
      <c r="E39" s="938" t="str">
        <f>E10</f>
        <v>Unloaded</v>
      </c>
      <c r="F39" s="938"/>
      <c r="G39" s="938"/>
      <c r="I39" s="939" t="str">
        <f>I10</f>
        <v>AFUDC</v>
      </c>
      <c r="J39" s="939"/>
      <c r="K39" s="939"/>
      <c r="L39" s="939"/>
      <c r="M39" s="939"/>
      <c r="N39" s="939"/>
      <c r="O39" s="938" t="str">
        <f t="shared" ref="O39:P41" si="5">O10</f>
        <v>Unloaded</v>
      </c>
      <c r="P39" s="938" t="str">
        <f t="shared" si="5"/>
        <v>Loaded</v>
      </c>
    </row>
    <row r="40" spans="1:40" x14ac:dyDescent="0.2">
      <c r="A40" s="938"/>
      <c r="B40" s="882"/>
      <c r="C40" s="938" t="str">
        <f>C11</f>
        <v>Period</v>
      </c>
      <c r="E40" s="938" t="str">
        <f>E11</f>
        <v>Total</v>
      </c>
      <c r="F40" s="938" t="str">
        <f t="shared" ref="E40:H41" si="6">F11</f>
        <v>Prior Period</v>
      </c>
      <c r="G40" s="939" t="str">
        <f t="shared" si="6"/>
        <v>Over Heads</v>
      </c>
      <c r="H40" s="939" t="str">
        <f t="shared" si="6"/>
        <v xml:space="preserve">Cost of </v>
      </c>
      <c r="I40" s="939" t="str">
        <f>I11</f>
        <v>Eligible Plant</v>
      </c>
      <c r="J40" s="939"/>
      <c r="K40" s="939" t="str">
        <f>K11</f>
        <v>Incremental</v>
      </c>
      <c r="L40" s="939" t="str">
        <f>L11</f>
        <v>Depreciation</v>
      </c>
      <c r="M40" s="939"/>
      <c r="N40" s="939"/>
      <c r="O40" s="939" t="str">
        <f t="shared" si="5"/>
        <v>Low Voltage</v>
      </c>
      <c r="P40" s="939" t="str">
        <f t="shared" si="5"/>
        <v>Low Voltage</v>
      </c>
    </row>
    <row r="41" spans="1:40" x14ac:dyDescent="0.2">
      <c r="A41" s="940" t="s">
        <v>372</v>
      </c>
      <c r="C41" s="921" t="str">
        <f t="shared" ref="C41:D41" si="7">C12</f>
        <v>Month</v>
      </c>
      <c r="D41" s="921" t="str">
        <f t="shared" si="7"/>
        <v>Year</v>
      </c>
      <c r="E41" s="934" t="str">
        <f t="shared" si="6"/>
        <v>Plant Adds</v>
      </c>
      <c r="F41" s="934" t="str">
        <f t="shared" si="6"/>
        <v>CWIP Closed</v>
      </c>
      <c r="G41" s="941" t="str">
        <f t="shared" si="6"/>
        <v>Closed to PIS</v>
      </c>
      <c r="H41" s="941" t="str">
        <f t="shared" si="6"/>
        <v>Removal</v>
      </c>
      <c r="I41" s="941" t="str">
        <f>I12</f>
        <v>Additions</v>
      </c>
      <c r="J41" s="941" t="str">
        <f>J12</f>
        <v>AFUDC</v>
      </c>
      <c r="K41" s="941" t="str">
        <f>K12</f>
        <v>Gross Plant</v>
      </c>
      <c r="L41" s="941" t="str">
        <f>L12</f>
        <v>Accrual</v>
      </c>
      <c r="M41" s="941" t="str">
        <f>M12</f>
        <v>Reserve</v>
      </c>
      <c r="N41" s="941" t="str">
        <f>N12</f>
        <v>Net Plant</v>
      </c>
      <c r="O41" s="941" t="str">
        <f t="shared" si="5"/>
        <v>Additions</v>
      </c>
      <c r="P41" s="941" t="str">
        <f t="shared" si="5"/>
        <v>Additions</v>
      </c>
      <c r="T41" s="941"/>
      <c r="U41" s="941"/>
      <c r="V41" s="941"/>
      <c r="W41" s="941"/>
      <c r="X41" s="941"/>
      <c r="Y41" s="941"/>
    </row>
    <row r="42" spans="1:40" x14ac:dyDescent="0.2">
      <c r="A42" s="938">
        <f>A34+1</f>
        <v>23</v>
      </c>
      <c r="C42" s="922" t="s">
        <v>211</v>
      </c>
      <c r="D42" s="923">
        <v>2011</v>
      </c>
      <c r="E42" s="949">
        <f>'10-CWIP'!G55</f>
        <v>0</v>
      </c>
      <c r="F42" s="949">
        <f>'10-CWIP'!H55</f>
        <v>0</v>
      </c>
      <c r="G42" s="949">
        <f>'10-CWIP'!I55</f>
        <v>0</v>
      </c>
      <c r="H42" s="987">
        <v>0</v>
      </c>
      <c r="I42" s="942">
        <v>0</v>
      </c>
      <c r="J42" s="988">
        <v>0</v>
      </c>
      <c r="K42" s="880">
        <f>0+E42+G42</f>
        <v>0</v>
      </c>
      <c r="L42" s="880">
        <v>0</v>
      </c>
      <c r="M42" s="880">
        <f>L42</f>
        <v>0</v>
      </c>
      <c r="N42" s="880">
        <f t="shared" ref="N42:N62" si="8">K42-M42</f>
        <v>0</v>
      </c>
      <c r="O42" s="989">
        <v>0</v>
      </c>
      <c r="P42" s="988">
        <f t="shared" ref="P42:P62" si="9">O42*(1-$E$98)*(1+$E$94+$E$102)</f>
        <v>0</v>
      </c>
      <c r="S42" s="880"/>
      <c r="T42" s="948"/>
      <c r="U42" s="944"/>
      <c r="V42" s="702"/>
      <c r="W42" s="948"/>
      <c r="X42" s="944"/>
      <c r="Y42" s="702"/>
    </row>
    <row r="43" spans="1:40" x14ac:dyDescent="0.2">
      <c r="A43" s="938">
        <f t="shared" ref="A43:A90" si="10">A42+1</f>
        <v>24</v>
      </c>
      <c r="C43" s="925" t="s">
        <v>212</v>
      </c>
      <c r="D43" s="923">
        <v>2011</v>
      </c>
      <c r="E43" s="949">
        <f>'10-CWIP'!G56</f>
        <v>0</v>
      </c>
      <c r="F43" s="949">
        <f>'10-CWIP'!H56</f>
        <v>0</v>
      </c>
      <c r="G43" s="949">
        <f>'10-CWIP'!I56</f>
        <v>0</v>
      </c>
      <c r="H43" s="987">
        <v>0</v>
      </c>
      <c r="I43" s="942">
        <v>0</v>
      </c>
      <c r="J43" s="988">
        <v>0</v>
      </c>
      <c r="K43" s="880">
        <f>K42+E43+G43</f>
        <v>0</v>
      </c>
      <c r="L43" s="880">
        <f t="shared" ref="L43:L62" si="11">K42*$E$124/12</f>
        <v>0</v>
      </c>
      <c r="M43" s="880">
        <f>M42+L43</f>
        <v>0</v>
      </c>
      <c r="N43" s="880">
        <f t="shared" si="8"/>
        <v>0</v>
      </c>
      <c r="O43" s="989">
        <v>0</v>
      </c>
      <c r="P43" s="988">
        <f t="shared" si="9"/>
        <v>0</v>
      </c>
      <c r="S43" s="880"/>
      <c r="T43" s="948"/>
      <c r="U43" s="944"/>
      <c r="V43" s="702"/>
      <c r="W43" s="948"/>
      <c r="X43" s="944"/>
      <c r="Y43" s="702"/>
    </row>
    <row r="44" spans="1:40" x14ac:dyDescent="0.2">
      <c r="A44" s="938">
        <f t="shared" si="10"/>
        <v>25</v>
      </c>
      <c r="C44" s="925" t="s">
        <v>225</v>
      </c>
      <c r="D44" s="923">
        <v>2011</v>
      </c>
      <c r="E44" s="949">
        <f>'10-CWIP'!G57</f>
        <v>0</v>
      </c>
      <c r="F44" s="949">
        <f>'10-CWIP'!H57</f>
        <v>0</v>
      </c>
      <c r="G44" s="949">
        <f>'10-CWIP'!I57</f>
        <v>0</v>
      </c>
      <c r="H44" s="987">
        <v>0</v>
      </c>
      <c r="I44" s="942">
        <v>0</v>
      </c>
      <c r="J44" s="988">
        <v>0</v>
      </c>
      <c r="K44" s="880">
        <f t="shared" ref="K44:K62" si="12">K43+E44+G44</f>
        <v>0</v>
      </c>
      <c r="L44" s="880">
        <f t="shared" si="11"/>
        <v>0</v>
      </c>
      <c r="M44" s="880">
        <f t="shared" ref="M44:M62" si="13">M43+L44</f>
        <v>0</v>
      </c>
      <c r="N44" s="880">
        <f t="shared" si="8"/>
        <v>0</v>
      </c>
      <c r="O44" s="989">
        <v>0</v>
      </c>
      <c r="P44" s="988">
        <f t="shared" si="9"/>
        <v>0</v>
      </c>
      <c r="S44" s="880"/>
      <c r="T44" s="948"/>
      <c r="U44" s="944"/>
      <c r="V44" s="702"/>
      <c r="W44" s="948"/>
      <c r="X44" s="944"/>
      <c r="Y44" s="702"/>
    </row>
    <row r="45" spans="1:40" x14ac:dyDescent="0.2">
      <c r="A45" s="938">
        <f t="shared" si="10"/>
        <v>26</v>
      </c>
      <c r="C45" s="922" t="s">
        <v>213</v>
      </c>
      <c r="D45" s="923">
        <v>2011</v>
      </c>
      <c r="E45" s="949">
        <f>'10-CWIP'!G58</f>
        <v>0</v>
      </c>
      <c r="F45" s="949">
        <f>'10-CWIP'!H58</f>
        <v>0</v>
      </c>
      <c r="G45" s="949">
        <f>'10-CWIP'!I58</f>
        <v>0</v>
      </c>
      <c r="H45" s="987">
        <v>0</v>
      </c>
      <c r="I45" s="942">
        <v>0</v>
      </c>
      <c r="J45" s="988">
        <v>0</v>
      </c>
      <c r="K45" s="880">
        <f t="shared" si="12"/>
        <v>0</v>
      </c>
      <c r="L45" s="880">
        <f t="shared" si="11"/>
        <v>0</v>
      </c>
      <c r="M45" s="880">
        <f t="shared" si="13"/>
        <v>0</v>
      </c>
      <c r="N45" s="880">
        <f t="shared" si="8"/>
        <v>0</v>
      </c>
      <c r="O45" s="989">
        <v>0</v>
      </c>
      <c r="P45" s="988">
        <f t="shared" si="9"/>
        <v>0</v>
      </c>
      <c r="S45" s="880"/>
      <c r="T45" s="948"/>
      <c r="U45" s="944"/>
      <c r="V45" s="702"/>
      <c r="W45" s="948"/>
      <c r="X45" s="944"/>
      <c r="Y45" s="702"/>
    </row>
    <row r="46" spans="1:40" x14ac:dyDescent="0.2">
      <c r="A46" s="938">
        <f t="shared" si="10"/>
        <v>27</v>
      </c>
      <c r="C46" s="925" t="s">
        <v>214</v>
      </c>
      <c r="D46" s="923">
        <v>2011</v>
      </c>
      <c r="E46" s="949">
        <f>'10-CWIP'!G59</f>
        <v>1434520.61</v>
      </c>
      <c r="F46" s="949">
        <f>'10-CWIP'!H59</f>
        <v>1026462.54</v>
      </c>
      <c r="G46" s="949">
        <f>'10-CWIP'!I59</f>
        <v>30604.355250000004</v>
      </c>
      <c r="H46" s="987">
        <v>0</v>
      </c>
      <c r="I46" s="942">
        <v>0</v>
      </c>
      <c r="J46" s="988">
        <v>0</v>
      </c>
      <c r="K46" s="880">
        <f t="shared" si="12"/>
        <v>1465124.9652500001</v>
      </c>
      <c r="L46" s="880">
        <f t="shared" si="11"/>
        <v>0</v>
      </c>
      <c r="M46" s="880">
        <f t="shared" si="13"/>
        <v>0</v>
      </c>
      <c r="N46" s="880">
        <f t="shared" si="8"/>
        <v>1465124.9652500001</v>
      </c>
      <c r="O46" s="989">
        <v>0</v>
      </c>
      <c r="P46" s="988">
        <f t="shared" si="9"/>
        <v>0</v>
      </c>
      <c r="S46" s="880"/>
      <c r="T46" s="948"/>
      <c r="U46" s="944"/>
      <c r="V46" s="702"/>
      <c r="W46" s="948"/>
      <c r="X46" s="944"/>
      <c r="Y46" s="702"/>
    </row>
    <row r="47" spans="1:40" x14ac:dyDescent="0.2">
      <c r="A47" s="938">
        <f t="shared" si="10"/>
        <v>28</v>
      </c>
      <c r="C47" s="925" t="s">
        <v>215</v>
      </c>
      <c r="D47" s="923">
        <v>2011</v>
      </c>
      <c r="E47" s="949">
        <f>'10-CWIP'!G60</f>
        <v>0</v>
      </c>
      <c r="F47" s="949">
        <f>'10-CWIP'!H60</f>
        <v>0</v>
      </c>
      <c r="G47" s="949">
        <f>'10-CWIP'!I60</f>
        <v>0</v>
      </c>
      <c r="H47" s="987">
        <v>0</v>
      </c>
      <c r="I47" s="942">
        <v>0</v>
      </c>
      <c r="J47" s="988">
        <v>0</v>
      </c>
      <c r="K47" s="880">
        <f t="shared" si="12"/>
        <v>1465124.9652500001</v>
      </c>
      <c r="L47" s="880">
        <f t="shared" si="11"/>
        <v>3056.124619960136</v>
      </c>
      <c r="M47" s="880">
        <f t="shared" si="13"/>
        <v>3056.124619960136</v>
      </c>
      <c r="N47" s="880">
        <f t="shared" si="8"/>
        <v>1462068.84063004</v>
      </c>
      <c r="O47" s="989">
        <v>0</v>
      </c>
      <c r="P47" s="988">
        <f t="shared" si="9"/>
        <v>0</v>
      </c>
      <c r="S47" s="880"/>
      <c r="T47" s="948"/>
      <c r="U47" s="944"/>
      <c r="V47" s="702"/>
      <c r="W47" s="948"/>
      <c r="X47" s="944"/>
      <c r="Y47" s="702"/>
    </row>
    <row r="48" spans="1:40" x14ac:dyDescent="0.2">
      <c r="A48" s="938">
        <f t="shared" si="10"/>
        <v>29</v>
      </c>
      <c r="C48" s="922" t="s">
        <v>216</v>
      </c>
      <c r="D48" s="923">
        <v>2011</v>
      </c>
      <c r="E48" s="949">
        <f>'10-CWIP'!G61</f>
        <v>1213616.2600000002</v>
      </c>
      <c r="F48" s="949">
        <f>'10-CWIP'!H61</f>
        <v>1213616.26</v>
      </c>
      <c r="G48" s="949">
        <f>'10-CWIP'!I61</f>
        <v>1.7462298274040222E-11</v>
      </c>
      <c r="H48" s="987">
        <v>0</v>
      </c>
      <c r="I48" s="942">
        <v>0</v>
      </c>
      <c r="J48" s="988">
        <v>0</v>
      </c>
      <c r="K48" s="880">
        <f t="shared" si="12"/>
        <v>2678741.2252500001</v>
      </c>
      <c r="L48" s="880">
        <f t="shared" si="11"/>
        <v>3056.124619960136</v>
      </c>
      <c r="M48" s="880">
        <f t="shared" si="13"/>
        <v>6112.249239920272</v>
      </c>
      <c r="N48" s="880">
        <f t="shared" si="8"/>
        <v>2672628.97601008</v>
      </c>
      <c r="O48" s="989">
        <v>0</v>
      </c>
      <c r="P48" s="988">
        <f t="shared" si="9"/>
        <v>0</v>
      </c>
      <c r="S48" s="880"/>
      <c r="T48" s="948"/>
      <c r="U48" s="944"/>
      <c r="V48" s="702"/>
      <c r="W48" s="948"/>
      <c r="X48" s="944"/>
      <c r="Y48" s="702"/>
    </row>
    <row r="49" spans="1:25" x14ac:dyDescent="0.2">
      <c r="A49" s="938">
        <f t="shared" si="10"/>
        <v>30</v>
      </c>
      <c r="C49" s="925" t="s">
        <v>217</v>
      </c>
      <c r="D49" s="923">
        <v>2011</v>
      </c>
      <c r="E49" s="949">
        <f>'10-CWIP'!G62</f>
        <v>0</v>
      </c>
      <c r="F49" s="949">
        <f>'10-CWIP'!H62</f>
        <v>0</v>
      </c>
      <c r="G49" s="949">
        <f>'10-CWIP'!I62</f>
        <v>0</v>
      </c>
      <c r="H49" s="987">
        <v>0</v>
      </c>
      <c r="I49" s="942">
        <v>0</v>
      </c>
      <c r="J49" s="988">
        <v>0</v>
      </c>
      <c r="K49" s="880">
        <f t="shared" si="12"/>
        <v>2678741.2252500001</v>
      </c>
      <c r="L49" s="880">
        <f t="shared" si="11"/>
        <v>5587.6237202686652</v>
      </c>
      <c r="M49" s="880">
        <f t="shared" si="13"/>
        <v>11699.872960188937</v>
      </c>
      <c r="N49" s="880">
        <f t="shared" si="8"/>
        <v>2667041.3522898112</v>
      </c>
      <c r="O49" s="989">
        <v>0</v>
      </c>
      <c r="P49" s="988">
        <f t="shared" si="9"/>
        <v>0</v>
      </c>
      <c r="S49" s="880"/>
      <c r="T49" s="948"/>
      <c r="U49" s="944"/>
      <c r="V49" s="702"/>
      <c r="W49" s="948"/>
      <c r="X49" s="944"/>
      <c r="Y49" s="702"/>
    </row>
    <row r="50" spans="1:25" x14ac:dyDescent="0.2">
      <c r="A50" s="938">
        <f t="shared" si="10"/>
        <v>31</v>
      </c>
      <c r="C50" s="925" t="s">
        <v>218</v>
      </c>
      <c r="D50" s="923">
        <v>2011</v>
      </c>
      <c r="E50" s="949">
        <f>'10-CWIP'!G63</f>
        <v>0</v>
      </c>
      <c r="F50" s="949">
        <f>'10-CWIP'!H63</f>
        <v>0</v>
      </c>
      <c r="G50" s="949">
        <f>'10-CWIP'!I63</f>
        <v>0</v>
      </c>
      <c r="H50" s="987">
        <v>0</v>
      </c>
      <c r="I50" s="942">
        <v>0</v>
      </c>
      <c r="J50" s="988">
        <v>0</v>
      </c>
      <c r="K50" s="880">
        <f t="shared" si="12"/>
        <v>2678741.2252500001</v>
      </c>
      <c r="L50" s="880">
        <f t="shared" si="11"/>
        <v>5587.6237202686652</v>
      </c>
      <c r="M50" s="880">
        <f t="shared" si="13"/>
        <v>17287.496680457603</v>
      </c>
      <c r="N50" s="880">
        <f t="shared" si="8"/>
        <v>2661453.7285695425</v>
      </c>
      <c r="O50" s="989">
        <v>0</v>
      </c>
      <c r="P50" s="988">
        <f t="shared" si="9"/>
        <v>0</v>
      </c>
      <c r="S50" s="880"/>
      <c r="T50" s="948"/>
      <c r="U50" s="944"/>
      <c r="V50" s="702"/>
      <c r="W50" s="948"/>
      <c r="X50" s="944"/>
      <c r="Y50" s="702"/>
    </row>
    <row r="51" spans="1:25" x14ac:dyDescent="0.2">
      <c r="A51" s="938">
        <f t="shared" si="10"/>
        <v>32</v>
      </c>
      <c r="C51" s="922" t="s">
        <v>219</v>
      </c>
      <c r="D51" s="923">
        <v>2011</v>
      </c>
      <c r="E51" s="949">
        <f>'10-CWIP'!G64</f>
        <v>0</v>
      </c>
      <c r="F51" s="949">
        <f>'10-CWIP'!H64</f>
        <v>0</v>
      </c>
      <c r="G51" s="949">
        <f>'10-CWIP'!I64</f>
        <v>0</v>
      </c>
      <c r="H51" s="987">
        <v>0</v>
      </c>
      <c r="I51" s="942">
        <v>0</v>
      </c>
      <c r="J51" s="988">
        <v>0</v>
      </c>
      <c r="K51" s="880">
        <f t="shared" si="12"/>
        <v>2678741.2252500001</v>
      </c>
      <c r="L51" s="880">
        <f t="shared" si="11"/>
        <v>5587.6237202686652</v>
      </c>
      <c r="M51" s="880">
        <f t="shared" si="13"/>
        <v>22875.120400726268</v>
      </c>
      <c r="N51" s="880">
        <f t="shared" si="8"/>
        <v>2655866.1048492738</v>
      </c>
      <c r="O51" s="989">
        <v>0</v>
      </c>
      <c r="P51" s="988">
        <f t="shared" si="9"/>
        <v>0</v>
      </c>
      <c r="S51" s="880"/>
      <c r="T51" s="948"/>
      <c r="U51" s="944"/>
      <c r="V51" s="702"/>
      <c r="W51" s="948"/>
      <c r="X51" s="944"/>
      <c r="Y51" s="702"/>
    </row>
    <row r="52" spans="1:25" x14ac:dyDescent="0.2">
      <c r="A52" s="938">
        <f t="shared" si="10"/>
        <v>33</v>
      </c>
      <c r="C52" s="922" t="s">
        <v>220</v>
      </c>
      <c r="D52" s="923">
        <v>2011</v>
      </c>
      <c r="E52" s="949">
        <f>'10-CWIP'!G65</f>
        <v>0</v>
      </c>
      <c r="F52" s="949">
        <f>'10-CWIP'!H65</f>
        <v>0</v>
      </c>
      <c r="G52" s="949">
        <f>'10-CWIP'!I65</f>
        <v>0</v>
      </c>
      <c r="H52" s="987">
        <v>0</v>
      </c>
      <c r="I52" s="942">
        <v>0</v>
      </c>
      <c r="J52" s="988">
        <v>0</v>
      </c>
      <c r="K52" s="880">
        <f t="shared" si="12"/>
        <v>2678741.2252500001</v>
      </c>
      <c r="L52" s="880">
        <f t="shared" si="11"/>
        <v>5587.6237202686652</v>
      </c>
      <c r="M52" s="880">
        <f t="shared" si="13"/>
        <v>28462.744120994932</v>
      </c>
      <c r="N52" s="880">
        <f t="shared" si="8"/>
        <v>2650278.4811290051</v>
      </c>
      <c r="O52" s="989">
        <v>0</v>
      </c>
      <c r="P52" s="988">
        <f t="shared" si="9"/>
        <v>0</v>
      </c>
      <c r="S52" s="880"/>
      <c r="T52" s="948"/>
      <c r="U52" s="944"/>
      <c r="V52" s="702"/>
      <c r="W52" s="948"/>
      <c r="X52" s="944"/>
      <c r="Y52" s="702"/>
    </row>
    <row r="53" spans="1:25" x14ac:dyDescent="0.2">
      <c r="A53" s="938">
        <f t="shared" si="10"/>
        <v>34</v>
      </c>
      <c r="C53" s="922" t="s">
        <v>210</v>
      </c>
      <c r="D53" s="923">
        <v>2011</v>
      </c>
      <c r="E53" s="949">
        <f>'10-CWIP'!G66</f>
        <v>14616252.726075016</v>
      </c>
      <c r="F53" s="949">
        <f>'10-CWIP'!H66</f>
        <v>7504295.6900000004</v>
      </c>
      <c r="G53" s="949">
        <f>'10-CWIP'!I66</f>
        <v>533396.7777056261</v>
      </c>
      <c r="H53" s="987">
        <v>0</v>
      </c>
      <c r="I53" s="942">
        <v>0</v>
      </c>
      <c r="J53" s="988">
        <v>0</v>
      </c>
      <c r="K53" s="880">
        <f t="shared" si="12"/>
        <v>17828390.729030639</v>
      </c>
      <c r="L53" s="880">
        <f t="shared" si="11"/>
        <v>5587.6237202686652</v>
      </c>
      <c r="M53" s="880">
        <f t="shared" si="13"/>
        <v>34050.3678412636</v>
      </c>
      <c r="N53" s="880">
        <f t="shared" si="8"/>
        <v>17794340.361189377</v>
      </c>
      <c r="O53" s="989">
        <v>0</v>
      </c>
      <c r="P53" s="988">
        <f t="shared" si="9"/>
        <v>0</v>
      </c>
      <c r="S53" s="880"/>
      <c r="T53" s="948"/>
      <c r="U53" s="944"/>
      <c r="V53" s="702"/>
      <c r="W53" s="948"/>
      <c r="X53" s="944"/>
      <c r="Y53" s="702"/>
    </row>
    <row r="54" spans="1:25" x14ac:dyDescent="0.2">
      <c r="A54" s="938">
        <f t="shared" si="10"/>
        <v>35</v>
      </c>
      <c r="C54" s="922" t="s">
        <v>211</v>
      </c>
      <c r="D54" s="923">
        <v>2012</v>
      </c>
      <c r="E54" s="949">
        <f>'10-CWIP'!G67</f>
        <v>134784.70000000016</v>
      </c>
      <c r="F54" s="949">
        <f>'10-CWIP'!H67</f>
        <v>0</v>
      </c>
      <c r="G54" s="949">
        <f>'10-CWIP'!I67</f>
        <v>10108.852500000012</v>
      </c>
      <c r="H54" s="987">
        <v>0</v>
      </c>
      <c r="I54" s="942">
        <v>0</v>
      </c>
      <c r="J54" s="988">
        <v>0</v>
      </c>
      <c r="K54" s="880">
        <f t="shared" si="12"/>
        <v>17973284.281530637</v>
      </c>
      <c r="L54" s="880">
        <f t="shared" si="11"/>
        <v>37188.48912793077</v>
      </c>
      <c r="M54" s="880">
        <f t="shared" si="13"/>
        <v>71238.85696919437</v>
      </c>
      <c r="N54" s="880">
        <f t="shared" si="8"/>
        <v>17902045.424561445</v>
      </c>
      <c r="O54" s="989">
        <v>0</v>
      </c>
      <c r="P54" s="988">
        <f t="shared" si="9"/>
        <v>0</v>
      </c>
      <c r="S54" s="880"/>
      <c r="T54" s="948"/>
      <c r="U54" s="944"/>
      <c r="V54" s="702"/>
      <c r="W54" s="948"/>
      <c r="X54" s="944"/>
      <c r="Y54" s="702"/>
    </row>
    <row r="55" spans="1:25" x14ac:dyDescent="0.2">
      <c r="A55" s="938">
        <f t="shared" si="10"/>
        <v>36</v>
      </c>
      <c r="C55" s="925" t="s">
        <v>212</v>
      </c>
      <c r="D55" s="923">
        <v>2012</v>
      </c>
      <c r="E55" s="949">
        <f>'10-CWIP'!G68</f>
        <v>91544.999999998254</v>
      </c>
      <c r="F55" s="949">
        <f>'10-CWIP'!H68</f>
        <v>0</v>
      </c>
      <c r="G55" s="949">
        <f>'10-CWIP'!I68</f>
        <v>6865.874999999869</v>
      </c>
      <c r="H55" s="987">
        <v>0</v>
      </c>
      <c r="I55" s="942">
        <v>0</v>
      </c>
      <c r="J55" s="988">
        <v>0</v>
      </c>
      <c r="K55" s="880">
        <f t="shared" si="12"/>
        <v>18071695.156530637</v>
      </c>
      <c r="L55" s="880">
        <f t="shared" si="11"/>
        <v>37490.72461198258</v>
      </c>
      <c r="M55" s="880">
        <f t="shared" si="13"/>
        <v>108729.58158117696</v>
      </c>
      <c r="N55" s="880">
        <f t="shared" si="8"/>
        <v>17962965.574949462</v>
      </c>
      <c r="O55" s="989">
        <v>0</v>
      </c>
      <c r="P55" s="988">
        <f t="shared" si="9"/>
        <v>0</v>
      </c>
      <c r="S55" s="880"/>
      <c r="T55" s="948"/>
      <c r="U55" s="944"/>
      <c r="V55" s="702"/>
      <c r="W55" s="948"/>
      <c r="X55" s="944"/>
      <c r="Y55" s="702"/>
    </row>
    <row r="56" spans="1:25" x14ac:dyDescent="0.2">
      <c r="A56" s="938">
        <f t="shared" si="10"/>
        <v>37</v>
      </c>
      <c r="C56" s="925" t="s">
        <v>225</v>
      </c>
      <c r="D56" s="923">
        <v>2012</v>
      </c>
      <c r="E56" s="949">
        <f>'10-CWIP'!G69</f>
        <v>151081049.87491083</v>
      </c>
      <c r="F56" s="949">
        <f>'10-CWIP'!H69</f>
        <v>59914750.149999999</v>
      </c>
      <c r="G56" s="949">
        <f>'10-CWIP'!I69</f>
        <v>6837472.4793683114</v>
      </c>
      <c r="H56" s="987">
        <v>0</v>
      </c>
      <c r="I56" s="942">
        <v>0</v>
      </c>
      <c r="J56" s="988">
        <v>0</v>
      </c>
      <c r="K56" s="880">
        <f t="shared" si="12"/>
        <v>175990217.51080978</v>
      </c>
      <c r="L56" s="880">
        <f t="shared" si="11"/>
        <v>37696.001230081842</v>
      </c>
      <c r="M56" s="880">
        <f t="shared" si="13"/>
        <v>146425.58281125879</v>
      </c>
      <c r="N56" s="880">
        <f t="shared" si="8"/>
        <v>175843791.92799851</v>
      </c>
      <c r="O56" s="989">
        <v>0</v>
      </c>
      <c r="P56" s="988">
        <f t="shared" si="9"/>
        <v>0</v>
      </c>
      <c r="S56" s="880"/>
      <c r="T56" s="948"/>
      <c r="U56" s="944"/>
      <c r="V56" s="702"/>
      <c r="W56" s="948"/>
      <c r="X56" s="944"/>
      <c r="Y56" s="702"/>
    </row>
    <row r="57" spans="1:25" x14ac:dyDescent="0.2">
      <c r="A57" s="938">
        <f t="shared" si="10"/>
        <v>38</v>
      </c>
      <c r="C57" s="922" t="s">
        <v>213</v>
      </c>
      <c r="D57" s="923">
        <v>2012</v>
      </c>
      <c r="E57" s="949">
        <f>'10-CWIP'!G70</f>
        <v>6759122.1769067049</v>
      </c>
      <c r="F57" s="949">
        <f>'10-CWIP'!H70</f>
        <v>0</v>
      </c>
      <c r="G57" s="949">
        <f>'10-CWIP'!I70</f>
        <v>506934.16326800286</v>
      </c>
      <c r="H57" s="987">
        <v>0</v>
      </c>
      <c r="I57" s="942">
        <v>0</v>
      </c>
      <c r="J57" s="988">
        <v>0</v>
      </c>
      <c r="K57" s="880">
        <f t="shared" si="12"/>
        <v>183256273.85098448</v>
      </c>
      <c r="L57" s="880">
        <f t="shared" si="11"/>
        <v>367100.45174552739</v>
      </c>
      <c r="M57" s="880">
        <f t="shared" si="13"/>
        <v>513526.03455678618</v>
      </c>
      <c r="N57" s="880">
        <f t="shared" si="8"/>
        <v>182742747.81642771</v>
      </c>
      <c r="O57" s="989">
        <v>0</v>
      </c>
      <c r="P57" s="988">
        <f t="shared" si="9"/>
        <v>0</v>
      </c>
      <c r="S57" s="880"/>
      <c r="T57" s="948"/>
      <c r="U57" s="944"/>
      <c r="V57" s="702"/>
      <c r="W57" s="948"/>
      <c r="X57" s="944"/>
      <c r="Y57" s="702"/>
    </row>
    <row r="58" spans="1:25" x14ac:dyDescent="0.2">
      <c r="A58" s="938">
        <f t="shared" si="10"/>
        <v>39</v>
      </c>
      <c r="C58" s="925" t="s">
        <v>214</v>
      </c>
      <c r="D58" s="923">
        <v>2012</v>
      </c>
      <c r="E58" s="949">
        <f>'10-CWIP'!G71</f>
        <v>421118694.04496974</v>
      </c>
      <c r="F58" s="949">
        <f>'10-CWIP'!H71</f>
        <v>241404065.09</v>
      </c>
      <c r="G58" s="949">
        <f>'10-CWIP'!I71</f>
        <v>13478597.171622729</v>
      </c>
      <c r="H58" s="987">
        <v>0</v>
      </c>
      <c r="I58" s="942">
        <v>0</v>
      </c>
      <c r="J58" s="988">
        <v>0</v>
      </c>
      <c r="K58" s="880">
        <f t="shared" si="12"/>
        <v>617853565.067577</v>
      </c>
      <c r="L58" s="880">
        <f t="shared" si="11"/>
        <v>382256.82010857435</v>
      </c>
      <c r="M58" s="880">
        <f t="shared" si="13"/>
        <v>895782.85466536053</v>
      </c>
      <c r="N58" s="880">
        <f t="shared" si="8"/>
        <v>616957782.21291161</v>
      </c>
      <c r="O58" s="989">
        <v>0</v>
      </c>
      <c r="P58" s="988">
        <f t="shared" si="9"/>
        <v>0</v>
      </c>
      <c r="S58" s="880"/>
      <c r="T58" s="948"/>
      <c r="U58" s="944"/>
      <c r="V58" s="702"/>
      <c r="W58" s="948"/>
      <c r="X58" s="944"/>
      <c r="Y58" s="702"/>
    </row>
    <row r="59" spans="1:25" x14ac:dyDescent="0.2">
      <c r="A59" s="938">
        <f t="shared" si="10"/>
        <v>40</v>
      </c>
      <c r="C59" s="925" t="s">
        <v>215</v>
      </c>
      <c r="D59" s="923">
        <v>2012</v>
      </c>
      <c r="E59" s="949">
        <f>'10-CWIP'!G72</f>
        <v>3011160.6194962515</v>
      </c>
      <c r="F59" s="949">
        <f>'10-CWIP'!H72</f>
        <v>0</v>
      </c>
      <c r="G59" s="949">
        <f>'10-CWIP'!I72</f>
        <v>225837.04646221886</v>
      </c>
      <c r="H59" s="987">
        <v>0</v>
      </c>
      <c r="I59" s="942">
        <v>0</v>
      </c>
      <c r="J59" s="988">
        <v>0</v>
      </c>
      <c r="K59" s="880">
        <f t="shared" si="12"/>
        <v>621090562.73353541</v>
      </c>
      <c r="L59" s="880">
        <f t="shared" si="11"/>
        <v>1288789.3773695722</v>
      </c>
      <c r="M59" s="880">
        <f t="shared" si="13"/>
        <v>2184572.2320349328</v>
      </c>
      <c r="N59" s="880">
        <f t="shared" si="8"/>
        <v>618905990.50150049</v>
      </c>
      <c r="O59" s="989">
        <v>0</v>
      </c>
      <c r="P59" s="988">
        <f t="shared" si="9"/>
        <v>0</v>
      </c>
      <c r="S59" s="880"/>
      <c r="T59" s="948"/>
      <c r="U59" s="944"/>
      <c r="V59" s="702"/>
      <c r="W59" s="948"/>
      <c r="X59" s="944"/>
      <c r="Y59" s="702"/>
    </row>
    <row r="60" spans="1:25" x14ac:dyDescent="0.2">
      <c r="A60" s="938">
        <f t="shared" si="10"/>
        <v>41</v>
      </c>
      <c r="C60" s="922" t="s">
        <v>216</v>
      </c>
      <c r="D60" s="923">
        <v>2012</v>
      </c>
      <c r="E60" s="949">
        <f>'10-CWIP'!G73</f>
        <v>1863382.6219465118</v>
      </c>
      <c r="F60" s="949">
        <f>'10-CWIP'!H73</f>
        <v>0</v>
      </c>
      <c r="G60" s="949">
        <f>'10-CWIP'!I73</f>
        <v>139753.69664598838</v>
      </c>
      <c r="H60" s="987">
        <v>0</v>
      </c>
      <c r="I60" s="942">
        <v>0</v>
      </c>
      <c r="J60" s="988">
        <v>0</v>
      </c>
      <c r="K60" s="880">
        <f t="shared" si="12"/>
        <v>623093699.05212784</v>
      </c>
      <c r="L60" s="880">
        <f t="shared" si="11"/>
        <v>1295541.4759934607</v>
      </c>
      <c r="M60" s="880">
        <f t="shared" si="13"/>
        <v>3480113.7080283938</v>
      </c>
      <c r="N60" s="880">
        <f t="shared" si="8"/>
        <v>619613585.3440994</v>
      </c>
      <c r="O60" s="989">
        <v>0</v>
      </c>
      <c r="P60" s="988">
        <f t="shared" si="9"/>
        <v>0</v>
      </c>
      <c r="S60" s="880"/>
      <c r="T60" s="948"/>
      <c r="U60" s="944"/>
      <c r="V60" s="702"/>
      <c r="W60" s="948"/>
      <c r="X60" s="944"/>
      <c r="Y60" s="702"/>
    </row>
    <row r="61" spans="1:25" x14ac:dyDescent="0.2">
      <c r="A61" s="938">
        <f t="shared" si="10"/>
        <v>42</v>
      </c>
      <c r="C61" s="925" t="s">
        <v>217</v>
      </c>
      <c r="D61" s="923">
        <v>2012</v>
      </c>
      <c r="E61" s="949">
        <f>'10-CWIP'!G74</f>
        <v>1604547.5278727245</v>
      </c>
      <c r="F61" s="949">
        <f>'10-CWIP'!H74</f>
        <v>0</v>
      </c>
      <c r="G61" s="949">
        <f>'10-CWIP'!I74</f>
        <v>120341.06459045433</v>
      </c>
      <c r="H61" s="987">
        <v>0</v>
      </c>
      <c r="I61" s="942">
        <v>0</v>
      </c>
      <c r="J61" s="988">
        <v>0</v>
      </c>
      <c r="K61" s="880">
        <f t="shared" si="12"/>
        <v>624818587.64459097</v>
      </c>
      <c r="L61" s="880">
        <f t="shared" si="11"/>
        <v>1299719.8460066575</v>
      </c>
      <c r="M61" s="880">
        <f t="shared" si="13"/>
        <v>4779833.5540350508</v>
      </c>
      <c r="N61" s="880">
        <f t="shared" si="8"/>
        <v>620038754.09055591</v>
      </c>
      <c r="O61" s="989">
        <v>0</v>
      </c>
      <c r="P61" s="988">
        <f t="shared" si="9"/>
        <v>0</v>
      </c>
      <c r="S61" s="880"/>
      <c r="T61" s="948"/>
      <c r="U61" s="944"/>
      <c r="V61" s="702"/>
      <c r="W61" s="948"/>
      <c r="X61" s="944"/>
      <c r="Y61" s="702"/>
    </row>
    <row r="62" spans="1:25" x14ac:dyDescent="0.2">
      <c r="A62" s="938">
        <f t="shared" si="10"/>
        <v>43</v>
      </c>
      <c r="C62" s="925" t="s">
        <v>218</v>
      </c>
      <c r="D62" s="923">
        <v>2012</v>
      </c>
      <c r="E62" s="949">
        <f>'10-CWIP'!G75</f>
        <v>7506526.65516333</v>
      </c>
      <c r="F62" s="949">
        <f>'10-CWIP'!H75</f>
        <v>0</v>
      </c>
      <c r="G62" s="949">
        <f>'10-CWIP'!I75</f>
        <v>562989.49913724978</v>
      </c>
      <c r="H62" s="987">
        <v>0</v>
      </c>
      <c r="I62" s="942">
        <v>0</v>
      </c>
      <c r="J62" s="988">
        <v>0</v>
      </c>
      <c r="K62" s="880">
        <f t="shared" si="12"/>
        <v>632888103.79889154</v>
      </c>
      <c r="L62" s="880">
        <f t="shared" si="11"/>
        <v>1303317.8152032408</v>
      </c>
      <c r="M62" s="880">
        <f t="shared" si="13"/>
        <v>6083151.3692382919</v>
      </c>
      <c r="N62" s="880">
        <f t="shared" si="8"/>
        <v>626804952.42965329</v>
      </c>
      <c r="O62" s="989">
        <v>0</v>
      </c>
      <c r="P62" s="988">
        <f t="shared" si="9"/>
        <v>0</v>
      </c>
      <c r="S62" s="880"/>
      <c r="T62" s="948"/>
      <c r="U62" s="944"/>
      <c r="V62" s="702"/>
      <c r="W62" s="948"/>
      <c r="X62" s="944"/>
      <c r="Y62" s="702"/>
    </row>
    <row r="63" spans="1:25" x14ac:dyDescent="0.2">
      <c r="A63" s="938"/>
      <c r="D63" s="947"/>
      <c r="G63" s="880"/>
      <c r="M63" s="877"/>
      <c r="N63" s="942"/>
    </row>
    <row r="64" spans="1:25" x14ac:dyDescent="0.2">
      <c r="A64" s="938"/>
      <c r="B64" s="882" t="s">
        <v>2952</v>
      </c>
      <c r="D64" s="947"/>
      <c r="G64" s="990"/>
      <c r="M64" s="877"/>
      <c r="N64" s="942"/>
    </row>
    <row r="65" spans="1:25" x14ac:dyDescent="0.2">
      <c r="A65" s="938"/>
      <c r="E65" s="933" t="s">
        <v>406</v>
      </c>
      <c r="F65" s="933" t="s">
        <v>390</v>
      </c>
      <c r="G65" s="933" t="s">
        <v>391</v>
      </c>
      <c r="H65" s="933" t="s">
        <v>392</v>
      </c>
      <c r="I65" s="933" t="s">
        <v>393</v>
      </c>
      <c r="J65" s="933" t="s">
        <v>394</v>
      </c>
      <c r="K65" s="933" t="s">
        <v>395</v>
      </c>
      <c r="L65" s="933" t="s">
        <v>610</v>
      </c>
      <c r="M65" s="933" t="s">
        <v>1059</v>
      </c>
      <c r="N65" s="933" t="s">
        <v>1076</v>
      </c>
      <c r="O65" s="933" t="s">
        <v>1079</v>
      </c>
      <c r="P65" s="933" t="s">
        <v>1097</v>
      </c>
    </row>
    <row r="66" spans="1:25" ht="25.5" x14ac:dyDescent="0.2">
      <c r="A66" s="938"/>
      <c r="E66" s="935"/>
      <c r="F66" s="935"/>
      <c r="G66" s="936" t="str">
        <f>"=(C"&amp;RIGHT(E65)&amp;"-C"&amp;RIGHT(F65)&amp;")*L"&amp;$A$94</f>
        <v>=(C1-C2)*L65</v>
      </c>
      <c r="H66" s="935" t="str">
        <f>"=(C"&amp;RIGHT(E65)&amp;"-C"&amp;RIGHT(F65)&amp;"+C"&amp;RIGHT(G65)&amp;")*L"&amp;$A$98</f>
        <v>=(C1-C2+C3)*L66</v>
      </c>
      <c r="I66" s="935" t="str">
        <f>"=C"&amp;RIGHT(E65)&amp;"-C"&amp;RIGHT(F65)&amp;"+C"&amp;RIGHT(G65)&amp;"-C"&amp;RIGHT(H65)</f>
        <v>=C1-C2+C3-C4</v>
      </c>
      <c r="J66" s="936" t="str">
        <f>"=C"&amp;RIGHT(I65)&amp;"*L"&amp;$A$102</f>
        <v>=C5*L67</v>
      </c>
      <c r="K66" s="984" t="s">
        <v>2953</v>
      </c>
      <c r="L66" s="985" t="s">
        <v>2949</v>
      </c>
      <c r="M66" s="986" t="s">
        <v>2950</v>
      </c>
      <c r="N66" s="935" t="str">
        <f>"=C"&amp;RIGHT(K65)&amp;"-C"&amp;RIGHT(M65)</f>
        <v>=C7-C9</v>
      </c>
      <c r="P66" s="986" t="s">
        <v>2951</v>
      </c>
    </row>
    <row r="67" spans="1:25" x14ac:dyDescent="0.2">
      <c r="A67" s="938"/>
      <c r="C67" s="938" t="str">
        <f>C10</f>
        <v>Forecast</v>
      </c>
      <c r="E67" s="938" t="str">
        <f t="shared" ref="E67:H69" si="14">E10</f>
        <v>Unloaded</v>
      </c>
      <c r="F67" s="938"/>
      <c r="G67" s="938"/>
      <c r="H67" s="939"/>
      <c r="I67" s="939" t="str">
        <f>I10</f>
        <v>AFUDC</v>
      </c>
      <c r="J67" s="939"/>
      <c r="K67" s="939"/>
      <c r="L67" s="939"/>
      <c r="M67" s="939"/>
      <c r="O67" s="938" t="str">
        <f t="shared" ref="O67:P68" si="15">O10</f>
        <v>Unloaded</v>
      </c>
      <c r="P67" s="938" t="str">
        <f t="shared" si="15"/>
        <v>Loaded</v>
      </c>
    </row>
    <row r="68" spans="1:25" x14ac:dyDescent="0.2">
      <c r="A68" s="938"/>
      <c r="C68" s="938" t="str">
        <f>C11</f>
        <v>Period</v>
      </c>
      <c r="E68" s="938" t="str">
        <f t="shared" si="14"/>
        <v>Total</v>
      </c>
      <c r="F68" s="938" t="str">
        <f t="shared" si="14"/>
        <v>Prior Period</v>
      </c>
      <c r="G68" s="939" t="str">
        <f t="shared" si="14"/>
        <v>Over Heads</v>
      </c>
      <c r="H68" s="939" t="str">
        <f t="shared" si="14"/>
        <v xml:space="preserve">Cost of </v>
      </c>
      <c r="I68" s="939" t="str">
        <f>I11</f>
        <v>Eligible Plant</v>
      </c>
      <c r="J68" s="939"/>
      <c r="K68" s="939" t="str">
        <f t="shared" ref="K68:M68" si="16">K11</f>
        <v>Incremental</v>
      </c>
      <c r="L68" s="939" t="str">
        <f t="shared" si="16"/>
        <v>Depreciation</v>
      </c>
      <c r="M68" s="939" t="str">
        <f t="shared" si="16"/>
        <v>Incremental</v>
      </c>
      <c r="O68" s="939" t="str">
        <f t="shared" si="15"/>
        <v>Low Voltage</v>
      </c>
      <c r="P68" s="939" t="str">
        <f t="shared" si="15"/>
        <v>Low Voltage</v>
      </c>
      <c r="Q68" s="938"/>
    </row>
    <row r="69" spans="1:25" x14ac:dyDescent="0.2">
      <c r="A69" s="940" t="s">
        <v>372</v>
      </c>
      <c r="C69" s="921" t="str">
        <f>C12</f>
        <v>Month</v>
      </c>
      <c r="D69" s="921" t="str">
        <f>D12</f>
        <v>Year</v>
      </c>
      <c r="E69" s="934" t="str">
        <f t="shared" si="14"/>
        <v>Plant Adds</v>
      </c>
      <c r="F69" s="934" t="str">
        <f t="shared" si="14"/>
        <v>CWIP Closed</v>
      </c>
      <c r="G69" s="941" t="str">
        <f t="shared" si="14"/>
        <v>Closed to PIS</v>
      </c>
      <c r="H69" s="941" t="str">
        <f t="shared" si="14"/>
        <v>Removal</v>
      </c>
      <c r="I69" s="941" t="str">
        <f>I12</f>
        <v>Additions</v>
      </c>
      <c r="J69" s="941" t="str">
        <f t="shared" ref="J69:P69" si="17">J12</f>
        <v>AFUDC</v>
      </c>
      <c r="K69" s="941" t="str">
        <f t="shared" si="17"/>
        <v>Gross Plant</v>
      </c>
      <c r="L69" s="941" t="str">
        <f t="shared" si="17"/>
        <v>Accrual</v>
      </c>
      <c r="M69" s="941" t="str">
        <f t="shared" si="17"/>
        <v>Reserve</v>
      </c>
      <c r="N69" s="941" t="str">
        <f t="shared" si="17"/>
        <v>Net Plant</v>
      </c>
      <c r="O69" s="941" t="str">
        <f t="shared" si="17"/>
        <v>Additions</v>
      </c>
      <c r="P69" s="941" t="str">
        <f t="shared" si="17"/>
        <v>Additions</v>
      </c>
      <c r="Q69" s="941"/>
      <c r="S69" s="991"/>
      <c r="T69" s="941"/>
      <c r="U69" s="941"/>
      <c r="V69" s="941"/>
      <c r="W69" s="941"/>
      <c r="X69" s="941"/>
      <c r="Y69" s="941"/>
    </row>
    <row r="70" spans="1:25" x14ac:dyDescent="0.2">
      <c r="A70" s="938">
        <f>A62+1</f>
        <v>44</v>
      </c>
      <c r="C70" s="922" t="str">
        <f t="shared" ref="C70:D85" si="18">C42</f>
        <v>January</v>
      </c>
      <c r="D70" s="923">
        <f t="shared" si="18"/>
        <v>2011</v>
      </c>
      <c r="E70" s="950">
        <v>2416957.8795833341</v>
      </c>
      <c r="F70" s="950">
        <v>0</v>
      </c>
      <c r="G70" s="942">
        <f t="shared" ref="G70:G90" si="19">(E70-F70)*$E$94</f>
        <v>181271.84096875004</v>
      </c>
      <c r="H70" s="880">
        <f t="shared" ref="H70:H90" si="20">(E70-F70+G70)*$E$98</f>
        <v>207858.37764416673</v>
      </c>
      <c r="I70" s="942">
        <f>E70-F70+G70-H70</f>
        <v>2390371.3429079172</v>
      </c>
      <c r="J70" s="942">
        <f t="shared" ref="J70:J90" si="21">I70*$E$102</f>
        <v>71711.140287237518</v>
      </c>
      <c r="K70" s="880">
        <f>F70+I70+J70</f>
        <v>2462082.4831951549</v>
      </c>
      <c r="L70" s="880">
        <v>0</v>
      </c>
      <c r="M70" s="880">
        <f>L70</f>
        <v>0</v>
      </c>
      <c r="N70" s="880">
        <f t="shared" ref="N70:N90" si="22">K70-M70</f>
        <v>2462082.4831951549</v>
      </c>
      <c r="O70" s="989">
        <v>0</v>
      </c>
      <c r="P70" s="880">
        <f t="shared" ref="P70:P90" si="23">O70*(1-$E$98)*(1+$E$94+$E$102)</f>
        <v>0</v>
      </c>
      <c r="Q70" s="948"/>
      <c r="R70" s="944"/>
      <c r="S70" s="948"/>
      <c r="T70" s="948"/>
      <c r="U70" s="944"/>
      <c r="V70" s="702"/>
      <c r="W70" s="948"/>
      <c r="X70" s="944"/>
      <c r="Y70" s="702"/>
    </row>
    <row r="71" spans="1:25" x14ac:dyDescent="0.2">
      <c r="A71" s="938">
        <f t="shared" si="10"/>
        <v>45</v>
      </c>
      <c r="C71" s="922" t="str">
        <f t="shared" si="18"/>
        <v>February</v>
      </c>
      <c r="D71" s="923">
        <f t="shared" si="18"/>
        <v>2011</v>
      </c>
      <c r="E71" s="950">
        <v>2416957.8795833341</v>
      </c>
      <c r="F71" s="950">
        <v>0</v>
      </c>
      <c r="G71" s="942">
        <f t="shared" si="19"/>
        <v>181271.84096875004</v>
      </c>
      <c r="H71" s="880">
        <f t="shared" si="20"/>
        <v>207858.37764416673</v>
      </c>
      <c r="I71" s="942">
        <f t="shared" ref="I71:I90" si="24">E71-F71+G71-H71</f>
        <v>2390371.3429079172</v>
      </c>
      <c r="J71" s="942">
        <f t="shared" si="21"/>
        <v>71711.140287237518</v>
      </c>
      <c r="K71" s="880">
        <f>K70+J71+I71+F71</f>
        <v>4924164.9663903099</v>
      </c>
      <c r="L71" s="880">
        <f t="shared" ref="L71:L90" si="25">K70*$E$124/12</f>
        <v>5135.6922253941511</v>
      </c>
      <c r="M71" s="880">
        <f>M70+L71</f>
        <v>5135.6922253941511</v>
      </c>
      <c r="N71" s="880">
        <f t="shared" si="22"/>
        <v>4919029.274164916</v>
      </c>
      <c r="O71" s="989">
        <v>0</v>
      </c>
      <c r="P71" s="880">
        <f t="shared" si="23"/>
        <v>0</v>
      </c>
      <c r="Q71" s="948"/>
      <c r="R71" s="944"/>
      <c r="S71" s="948"/>
      <c r="T71" s="948"/>
      <c r="U71" s="944"/>
      <c r="V71" s="702"/>
      <c r="W71" s="948"/>
      <c r="X71" s="944"/>
      <c r="Y71" s="702"/>
    </row>
    <row r="72" spans="1:25" x14ac:dyDescent="0.2">
      <c r="A72" s="938">
        <f t="shared" si="10"/>
        <v>46</v>
      </c>
      <c r="C72" s="922" t="str">
        <f t="shared" si="18"/>
        <v>March</v>
      </c>
      <c r="D72" s="923">
        <f t="shared" si="18"/>
        <v>2011</v>
      </c>
      <c r="E72" s="950">
        <v>2416957.8795833341</v>
      </c>
      <c r="F72" s="950">
        <v>0</v>
      </c>
      <c r="G72" s="942">
        <f t="shared" si="19"/>
        <v>181271.84096875004</v>
      </c>
      <c r="H72" s="880">
        <f t="shared" si="20"/>
        <v>207858.37764416673</v>
      </c>
      <c r="I72" s="942">
        <f t="shared" si="24"/>
        <v>2390371.3429079172</v>
      </c>
      <c r="J72" s="942">
        <f t="shared" si="21"/>
        <v>71711.140287237518</v>
      </c>
      <c r="K72" s="880">
        <f t="shared" ref="K72:K90" si="26">K71+J72+I72+F72</f>
        <v>7386247.4495854639</v>
      </c>
      <c r="L72" s="880">
        <f t="shared" si="25"/>
        <v>10271.384450788302</v>
      </c>
      <c r="M72" s="880">
        <f t="shared" ref="M72:M90" si="27">M71+L72</f>
        <v>15407.076676182453</v>
      </c>
      <c r="N72" s="880">
        <f t="shared" si="22"/>
        <v>7370840.3729092814</v>
      </c>
      <c r="O72" s="989">
        <v>0</v>
      </c>
      <c r="P72" s="880">
        <f t="shared" si="23"/>
        <v>0</v>
      </c>
      <c r="Q72" s="948"/>
      <c r="R72" s="944"/>
      <c r="S72" s="948"/>
      <c r="T72" s="948"/>
      <c r="U72" s="944"/>
      <c r="V72" s="702"/>
      <c r="W72" s="948"/>
      <c r="X72" s="944"/>
      <c r="Y72" s="702"/>
    </row>
    <row r="73" spans="1:25" x14ac:dyDescent="0.2">
      <c r="A73" s="938">
        <f t="shared" si="10"/>
        <v>47</v>
      </c>
      <c r="C73" s="922" t="str">
        <f t="shared" si="18"/>
        <v>April</v>
      </c>
      <c r="D73" s="923">
        <f t="shared" si="18"/>
        <v>2011</v>
      </c>
      <c r="E73" s="950">
        <v>2851957.8795833341</v>
      </c>
      <c r="F73" s="950">
        <v>0</v>
      </c>
      <c r="G73" s="942">
        <f t="shared" si="19"/>
        <v>213896.84096875004</v>
      </c>
      <c r="H73" s="880">
        <f t="shared" si="20"/>
        <v>245268.37764416673</v>
      </c>
      <c r="I73" s="942">
        <f t="shared" si="24"/>
        <v>2820586.3429079172</v>
      </c>
      <c r="J73" s="942">
        <f t="shared" si="21"/>
        <v>84617.590287237515</v>
      </c>
      <c r="K73" s="880">
        <f t="shared" si="26"/>
        <v>10291451.382780619</v>
      </c>
      <c r="L73" s="880">
        <f t="shared" si="25"/>
        <v>15407.076676182449</v>
      </c>
      <c r="M73" s="880">
        <f t="shared" si="27"/>
        <v>30814.153352364901</v>
      </c>
      <c r="N73" s="880">
        <f t="shared" si="22"/>
        <v>10260637.229428254</v>
      </c>
      <c r="O73" s="989">
        <v>0</v>
      </c>
      <c r="P73" s="880">
        <f t="shared" si="23"/>
        <v>0</v>
      </c>
      <c r="Q73" s="948"/>
      <c r="R73" s="944"/>
      <c r="S73" s="948"/>
      <c r="T73" s="948"/>
      <c r="U73" s="944"/>
      <c r="V73" s="702"/>
      <c r="W73" s="948"/>
      <c r="X73" s="944"/>
      <c r="Y73" s="702"/>
    </row>
    <row r="74" spans="1:25" x14ac:dyDescent="0.2">
      <c r="A74" s="938">
        <f t="shared" si="10"/>
        <v>48</v>
      </c>
      <c r="C74" s="922" t="str">
        <f t="shared" si="18"/>
        <v>May</v>
      </c>
      <c r="D74" s="923">
        <f t="shared" si="18"/>
        <v>2011</v>
      </c>
      <c r="E74" s="950">
        <v>2416957.8795833341</v>
      </c>
      <c r="F74" s="950">
        <v>0</v>
      </c>
      <c r="G74" s="942">
        <f t="shared" si="19"/>
        <v>181271.84096875004</v>
      </c>
      <c r="H74" s="880">
        <f t="shared" si="20"/>
        <v>207858.37764416673</v>
      </c>
      <c r="I74" s="942">
        <f t="shared" si="24"/>
        <v>2390371.3429079172</v>
      </c>
      <c r="J74" s="942">
        <f t="shared" si="21"/>
        <v>71711.140287237518</v>
      </c>
      <c r="K74" s="880">
        <f t="shared" si="26"/>
        <v>12753533.865975773</v>
      </c>
      <c r="L74" s="880">
        <f t="shared" si="25"/>
        <v>21467.082120651641</v>
      </c>
      <c r="M74" s="880">
        <f t="shared" si="27"/>
        <v>52281.235473016539</v>
      </c>
      <c r="N74" s="880">
        <f t="shared" si="22"/>
        <v>12701252.630502757</v>
      </c>
      <c r="O74" s="989">
        <v>0</v>
      </c>
      <c r="P74" s="880">
        <f t="shared" si="23"/>
        <v>0</v>
      </c>
      <c r="Q74" s="948"/>
      <c r="R74" s="944"/>
      <c r="S74" s="948"/>
      <c r="T74" s="948"/>
      <c r="U74" s="944"/>
      <c r="V74" s="702"/>
      <c r="W74" s="948"/>
      <c r="X74" s="944"/>
      <c r="Y74" s="702"/>
    </row>
    <row r="75" spans="1:25" x14ac:dyDescent="0.2">
      <c r="A75" s="938">
        <f t="shared" si="10"/>
        <v>49</v>
      </c>
      <c r="C75" s="922" t="str">
        <f t="shared" si="18"/>
        <v xml:space="preserve">June </v>
      </c>
      <c r="D75" s="923">
        <f t="shared" si="18"/>
        <v>2011</v>
      </c>
      <c r="E75" s="950">
        <v>5290514.9431833345</v>
      </c>
      <c r="F75" s="950">
        <v>1268894.0636</v>
      </c>
      <c r="G75" s="942">
        <f t="shared" si="19"/>
        <v>301621.5659687501</v>
      </c>
      <c r="H75" s="880">
        <f t="shared" si="20"/>
        <v>345859.3956441668</v>
      </c>
      <c r="I75" s="942">
        <f t="shared" si="24"/>
        <v>3977383.0499079176</v>
      </c>
      <c r="J75" s="942">
        <f t="shared" si="21"/>
        <v>119321.49149723753</v>
      </c>
      <c r="K75" s="880">
        <f t="shared" si="26"/>
        <v>18119132.470980927</v>
      </c>
      <c r="L75" s="880">
        <f t="shared" si="25"/>
        <v>26602.77434604579</v>
      </c>
      <c r="M75" s="880">
        <f t="shared" si="27"/>
        <v>78884.009819062325</v>
      </c>
      <c r="N75" s="880">
        <f t="shared" si="22"/>
        <v>18040248.461161867</v>
      </c>
      <c r="O75" s="989">
        <v>0</v>
      </c>
      <c r="P75" s="880">
        <f t="shared" si="23"/>
        <v>0</v>
      </c>
      <c r="Q75" s="948"/>
      <c r="R75" s="944"/>
      <c r="S75" s="948"/>
      <c r="T75" s="948"/>
      <c r="U75" s="944"/>
      <c r="V75" s="702"/>
      <c r="W75" s="948"/>
      <c r="X75" s="944"/>
      <c r="Y75" s="702"/>
    </row>
    <row r="76" spans="1:25" x14ac:dyDescent="0.2">
      <c r="A76" s="938">
        <f t="shared" si="10"/>
        <v>50</v>
      </c>
      <c r="C76" s="922" t="str">
        <f t="shared" si="18"/>
        <v>July</v>
      </c>
      <c r="D76" s="923">
        <f t="shared" si="18"/>
        <v>2011</v>
      </c>
      <c r="E76" s="950">
        <v>42737025.479483336</v>
      </c>
      <c r="F76" s="950">
        <v>36368010.679900005</v>
      </c>
      <c r="G76" s="942">
        <f t="shared" si="19"/>
        <v>477676.10996874981</v>
      </c>
      <c r="H76" s="880">
        <f t="shared" si="20"/>
        <v>547735.27276416647</v>
      </c>
      <c r="I76" s="942">
        <f t="shared" si="24"/>
        <v>6298955.6367879137</v>
      </c>
      <c r="J76" s="942">
        <f t="shared" si="21"/>
        <v>188968.6691036374</v>
      </c>
      <c r="K76" s="880">
        <f t="shared" si="26"/>
        <v>60975067.456772484</v>
      </c>
      <c r="L76" s="880">
        <f t="shared" si="25"/>
        <v>37794.951386576919</v>
      </c>
      <c r="M76" s="880">
        <f t="shared" si="27"/>
        <v>116678.96120563924</v>
      </c>
      <c r="N76" s="880">
        <f t="shared" si="22"/>
        <v>60858388.495566845</v>
      </c>
      <c r="O76" s="989">
        <v>377000</v>
      </c>
      <c r="P76" s="880">
        <f t="shared" si="23"/>
        <v>383258.2</v>
      </c>
      <c r="Q76" s="948"/>
      <c r="R76" s="944"/>
      <c r="S76" s="948"/>
      <c r="T76" s="948"/>
      <c r="U76" s="944"/>
      <c r="V76" s="702"/>
      <c r="W76" s="948"/>
      <c r="X76" s="944"/>
      <c r="Y76" s="702"/>
    </row>
    <row r="77" spans="1:25" x14ac:dyDescent="0.2">
      <c r="A77" s="938">
        <f t="shared" si="10"/>
        <v>51</v>
      </c>
      <c r="C77" s="922" t="str">
        <f t="shared" si="18"/>
        <v>August</v>
      </c>
      <c r="D77" s="923">
        <f t="shared" si="18"/>
        <v>2011</v>
      </c>
      <c r="E77" s="950">
        <v>4216963.8795833346</v>
      </c>
      <c r="F77" s="950">
        <v>0</v>
      </c>
      <c r="G77" s="942">
        <f t="shared" si="19"/>
        <v>316272.29096875008</v>
      </c>
      <c r="H77" s="880">
        <f t="shared" si="20"/>
        <v>362658.89364416676</v>
      </c>
      <c r="I77" s="942">
        <f t="shared" si="24"/>
        <v>4170577.2769079176</v>
      </c>
      <c r="J77" s="942">
        <f t="shared" si="21"/>
        <v>125117.31830723753</v>
      </c>
      <c r="K77" s="880">
        <f t="shared" si="26"/>
        <v>65270762.051987641</v>
      </c>
      <c r="L77" s="880">
        <f t="shared" si="25"/>
        <v>127188.74449496208</v>
      </c>
      <c r="M77" s="880">
        <f t="shared" si="27"/>
        <v>243867.70570060133</v>
      </c>
      <c r="N77" s="880">
        <f t="shared" si="22"/>
        <v>65026894.346287042</v>
      </c>
      <c r="O77" s="989">
        <v>377000</v>
      </c>
      <c r="P77" s="880">
        <f t="shared" si="23"/>
        <v>383258.2</v>
      </c>
      <c r="Q77" s="948"/>
      <c r="R77" s="944"/>
      <c r="S77" s="948"/>
      <c r="T77" s="948"/>
      <c r="U77" s="944"/>
      <c r="V77" s="702"/>
      <c r="W77" s="948"/>
      <c r="X77" s="944"/>
      <c r="Y77" s="702"/>
    </row>
    <row r="78" spans="1:25" x14ac:dyDescent="0.2">
      <c r="A78" s="938">
        <f t="shared" si="10"/>
        <v>52</v>
      </c>
      <c r="C78" s="922" t="str">
        <f t="shared" si="18"/>
        <v>September</v>
      </c>
      <c r="D78" s="923">
        <f t="shared" si="18"/>
        <v>2011</v>
      </c>
      <c r="E78" s="950">
        <v>2416957.8795833341</v>
      </c>
      <c r="F78" s="950">
        <v>0</v>
      </c>
      <c r="G78" s="942">
        <f t="shared" si="19"/>
        <v>181271.84096875004</v>
      </c>
      <c r="H78" s="880">
        <f t="shared" si="20"/>
        <v>207858.37764416673</v>
      </c>
      <c r="I78" s="942">
        <f t="shared" si="24"/>
        <v>2390371.3429079172</v>
      </c>
      <c r="J78" s="942">
        <f t="shared" si="21"/>
        <v>71711.140287237518</v>
      </c>
      <c r="K78" s="880">
        <f t="shared" si="26"/>
        <v>67732844.535182789</v>
      </c>
      <c r="L78" s="880">
        <f t="shared" si="25"/>
        <v>136149.19382429737</v>
      </c>
      <c r="M78" s="880">
        <f t="shared" si="27"/>
        <v>380016.89952489873</v>
      </c>
      <c r="N78" s="880">
        <f t="shared" si="22"/>
        <v>67352827.635657892</v>
      </c>
      <c r="O78" s="989">
        <v>377000</v>
      </c>
      <c r="P78" s="880">
        <f t="shared" si="23"/>
        <v>383258.2</v>
      </c>
      <c r="Q78" s="948"/>
      <c r="R78" s="944"/>
      <c r="S78" s="948"/>
      <c r="T78" s="948"/>
      <c r="U78" s="944"/>
      <c r="V78" s="702"/>
      <c r="W78" s="948"/>
      <c r="X78" s="944"/>
      <c r="Y78" s="702"/>
    </row>
    <row r="79" spans="1:25" x14ac:dyDescent="0.2">
      <c r="A79" s="938">
        <f t="shared" si="10"/>
        <v>53</v>
      </c>
      <c r="C79" s="922" t="str">
        <f t="shared" si="18"/>
        <v xml:space="preserve">October </v>
      </c>
      <c r="D79" s="923">
        <f t="shared" si="18"/>
        <v>2011</v>
      </c>
      <c r="E79" s="950">
        <v>4152305.1825833335</v>
      </c>
      <c r="F79" s="950">
        <v>1195347.3030000001</v>
      </c>
      <c r="G79" s="942">
        <f t="shared" si="19"/>
        <v>221771.84096875001</v>
      </c>
      <c r="H79" s="880">
        <f t="shared" si="20"/>
        <v>254298.3776441667</v>
      </c>
      <c r="I79" s="942">
        <f t="shared" si="24"/>
        <v>2924431.3429079168</v>
      </c>
      <c r="J79" s="942">
        <f t="shared" si="21"/>
        <v>87732.940287237492</v>
      </c>
      <c r="K79" s="880">
        <f t="shared" si="26"/>
        <v>71940356.121377945</v>
      </c>
      <c r="L79" s="880">
        <f t="shared" si="25"/>
        <v>141284.8860496915</v>
      </c>
      <c r="M79" s="880">
        <f t="shared" si="27"/>
        <v>521301.78557459021</v>
      </c>
      <c r="N79" s="880">
        <f t="shared" si="22"/>
        <v>71419054.33580336</v>
      </c>
      <c r="O79" s="989">
        <v>2112347.3029999998</v>
      </c>
      <c r="P79" s="880">
        <f t="shared" si="23"/>
        <v>2147412.2682297998</v>
      </c>
      <c r="Q79" s="948"/>
      <c r="R79" s="944"/>
      <c r="S79" s="948"/>
      <c r="T79" s="948"/>
      <c r="U79" s="944"/>
      <c r="V79" s="702"/>
      <c r="W79" s="948"/>
      <c r="X79" s="944"/>
      <c r="Y79" s="702"/>
    </row>
    <row r="80" spans="1:25" x14ac:dyDescent="0.2">
      <c r="A80" s="938">
        <f t="shared" si="10"/>
        <v>54</v>
      </c>
      <c r="C80" s="922" t="str">
        <f t="shared" si="18"/>
        <v>November</v>
      </c>
      <c r="D80" s="923">
        <f t="shared" si="18"/>
        <v>2011</v>
      </c>
      <c r="E80" s="950">
        <v>2416957.8795833341</v>
      </c>
      <c r="F80" s="950">
        <v>0</v>
      </c>
      <c r="G80" s="942">
        <f t="shared" si="19"/>
        <v>181271.84096875004</v>
      </c>
      <c r="H80" s="880">
        <f t="shared" si="20"/>
        <v>207858.37764416673</v>
      </c>
      <c r="I80" s="942">
        <f t="shared" si="24"/>
        <v>2390371.3429079172</v>
      </c>
      <c r="J80" s="942">
        <f t="shared" si="21"/>
        <v>71711.140287237518</v>
      </c>
      <c r="K80" s="880">
        <f t="shared" si="26"/>
        <v>74402438.604573101</v>
      </c>
      <c r="L80" s="880">
        <f t="shared" si="25"/>
        <v>150061.39320936878</v>
      </c>
      <c r="M80" s="880">
        <f t="shared" si="27"/>
        <v>671363.17878395901</v>
      </c>
      <c r="N80" s="880">
        <f t="shared" si="22"/>
        <v>73731075.425789148</v>
      </c>
      <c r="O80" s="989">
        <v>2112347.3029999998</v>
      </c>
      <c r="P80" s="880">
        <f t="shared" si="23"/>
        <v>2147412.2682297998</v>
      </c>
      <c r="Q80" s="948"/>
      <c r="R80" s="944"/>
      <c r="S80" s="948"/>
      <c r="T80" s="948"/>
      <c r="U80" s="944"/>
      <c r="V80" s="702"/>
      <c r="W80" s="948"/>
      <c r="X80" s="944"/>
      <c r="Y80" s="702"/>
    </row>
    <row r="81" spans="1:25" x14ac:dyDescent="0.2">
      <c r="A81" s="938">
        <f t="shared" si="10"/>
        <v>55</v>
      </c>
      <c r="C81" s="922" t="str">
        <f t="shared" si="18"/>
        <v>December</v>
      </c>
      <c r="D81" s="923">
        <f t="shared" si="18"/>
        <v>2011</v>
      </c>
      <c r="E81" s="950">
        <v>21323455.062883336</v>
      </c>
      <c r="F81" s="950">
        <v>8424212.1832999997</v>
      </c>
      <c r="G81" s="942">
        <f t="shared" si="19"/>
        <v>967443.21596875018</v>
      </c>
      <c r="H81" s="880">
        <f t="shared" si="20"/>
        <v>1109334.8876441671</v>
      </c>
      <c r="I81" s="942">
        <f t="shared" si="24"/>
        <v>12757351.207907919</v>
      </c>
      <c r="J81" s="942">
        <f t="shared" si="21"/>
        <v>382720.53623723757</v>
      </c>
      <c r="K81" s="880">
        <f t="shared" si="26"/>
        <v>95966722.532018259</v>
      </c>
      <c r="L81" s="880">
        <f t="shared" si="25"/>
        <v>155197.08543476291</v>
      </c>
      <c r="M81" s="880">
        <f t="shared" si="27"/>
        <v>826560.26421872189</v>
      </c>
      <c r="N81" s="880">
        <f t="shared" si="22"/>
        <v>95140162.267799541</v>
      </c>
      <c r="O81" s="989">
        <v>11017731.443</v>
      </c>
      <c r="P81" s="880">
        <f t="shared" si="23"/>
        <v>11200625.784953799</v>
      </c>
      <c r="Q81" s="948"/>
      <c r="R81" s="944"/>
      <c r="S81" s="948"/>
      <c r="T81" s="948"/>
      <c r="U81" s="944"/>
      <c r="V81" s="702"/>
      <c r="W81" s="948"/>
      <c r="X81" s="944"/>
      <c r="Y81" s="702"/>
    </row>
    <row r="82" spans="1:25" x14ac:dyDescent="0.2">
      <c r="A82" s="938">
        <f t="shared" si="10"/>
        <v>56</v>
      </c>
      <c r="C82" s="922" t="str">
        <f t="shared" si="18"/>
        <v>January</v>
      </c>
      <c r="D82" s="923">
        <f t="shared" si="18"/>
        <v>2012</v>
      </c>
      <c r="E82" s="950">
        <v>2938673.8749999995</v>
      </c>
      <c r="F82" s="950">
        <v>0</v>
      </c>
      <c r="G82" s="942">
        <f t="shared" si="19"/>
        <v>220400.54062499997</v>
      </c>
      <c r="H82" s="880">
        <f t="shared" si="20"/>
        <v>252725.95324999996</v>
      </c>
      <c r="I82" s="942">
        <f t="shared" si="24"/>
        <v>2906348.4623749997</v>
      </c>
      <c r="J82" s="942">
        <f t="shared" si="21"/>
        <v>87190.453871249993</v>
      </c>
      <c r="K82" s="880">
        <f t="shared" si="26"/>
        <v>98960261.448264509</v>
      </c>
      <c r="L82" s="880">
        <f t="shared" si="25"/>
        <v>200178.32634292703</v>
      </c>
      <c r="M82" s="880">
        <f t="shared" si="27"/>
        <v>1026738.5905616489</v>
      </c>
      <c r="N82" s="880">
        <f t="shared" si="22"/>
        <v>97933522.857702866</v>
      </c>
      <c r="O82" s="989">
        <v>11017731.443</v>
      </c>
      <c r="P82" s="880">
        <f t="shared" si="23"/>
        <v>11200625.784953799</v>
      </c>
      <c r="Q82" s="948"/>
      <c r="R82" s="944"/>
      <c r="S82" s="948"/>
      <c r="T82" s="948"/>
      <c r="U82" s="944"/>
      <c r="V82" s="702"/>
      <c r="W82" s="948"/>
      <c r="X82" s="944"/>
      <c r="Y82" s="702"/>
    </row>
    <row r="83" spans="1:25" x14ac:dyDescent="0.2">
      <c r="A83" s="938">
        <f t="shared" si="10"/>
        <v>57</v>
      </c>
      <c r="C83" s="922" t="str">
        <f t="shared" si="18"/>
        <v>February</v>
      </c>
      <c r="D83" s="923">
        <f t="shared" si="18"/>
        <v>2012</v>
      </c>
      <c r="E83" s="950">
        <v>2938673.8749999995</v>
      </c>
      <c r="F83" s="950">
        <v>0</v>
      </c>
      <c r="G83" s="942">
        <f t="shared" si="19"/>
        <v>220400.54062499997</v>
      </c>
      <c r="H83" s="880">
        <f t="shared" si="20"/>
        <v>252725.95324999996</v>
      </c>
      <c r="I83" s="942">
        <f t="shared" si="24"/>
        <v>2906348.4623749997</v>
      </c>
      <c r="J83" s="942">
        <f t="shared" si="21"/>
        <v>87190.453871249993</v>
      </c>
      <c r="K83" s="880">
        <f t="shared" si="26"/>
        <v>101953800.36451076</v>
      </c>
      <c r="L83" s="880">
        <f t="shared" si="25"/>
        <v>206422.59096180741</v>
      </c>
      <c r="M83" s="880">
        <f t="shared" si="27"/>
        <v>1233161.1815234562</v>
      </c>
      <c r="N83" s="880">
        <f t="shared" si="22"/>
        <v>100720639.1829873</v>
      </c>
      <c r="O83" s="989">
        <v>11017731.443</v>
      </c>
      <c r="P83" s="880">
        <f t="shared" si="23"/>
        <v>11200625.784953799</v>
      </c>
      <c r="Q83" s="948"/>
      <c r="R83" s="944"/>
      <c r="S83" s="948"/>
      <c r="T83" s="948"/>
      <c r="U83" s="944"/>
      <c r="V83" s="702"/>
      <c r="W83" s="948"/>
      <c r="X83" s="944"/>
      <c r="Y83" s="702"/>
    </row>
    <row r="84" spans="1:25" x14ac:dyDescent="0.2">
      <c r="A84" s="938">
        <f t="shared" si="10"/>
        <v>58</v>
      </c>
      <c r="C84" s="922" t="str">
        <f t="shared" si="18"/>
        <v>March</v>
      </c>
      <c r="D84" s="923">
        <f t="shared" si="18"/>
        <v>2012</v>
      </c>
      <c r="E84" s="950">
        <v>4176444.1369999996</v>
      </c>
      <c r="F84" s="950">
        <v>1217770.2620000001</v>
      </c>
      <c r="G84" s="942">
        <f t="shared" si="19"/>
        <v>221900.54062499997</v>
      </c>
      <c r="H84" s="880">
        <f t="shared" si="20"/>
        <v>254445.95324999996</v>
      </c>
      <c r="I84" s="942">
        <f t="shared" si="24"/>
        <v>2926128.4623749997</v>
      </c>
      <c r="J84" s="942">
        <f t="shared" si="21"/>
        <v>87783.853871249987</v>
      </c>
      <c r="K84" s="880">
        <f t="shared" si="26"/>
        <v>106185482.94275701</v>
      </c>
      <c r="L84" s="880">
        <f t="shared" si="25"/>
        <v>212666.85558068778</v>
      </c>
      <c r="M84" s="880">
        <f t="shared" si="27"/>
        <v>1445828.037104144</v>
      </c>
      <c r="N84" s="880">
        <f t="shared" si="22"/>
        <v>104739654.90565287</v>
      </c>
      <c r="O84" s="989">
        <v>11017731.443</v>
      </c>
      <c r="P84" s="880">
        <f t="shared" si="23"/>
        <v>11200625.784953799</v>
      </c>
      <c r="Q84" s="948"/>
      <c r="R84" s="944"/>
      <c r="S84" s="948"/>
      <c r="T84" s="948"/>
      <c r="U84" s="944"/>
      <c r="V84" s="702"/>
      <c r="W84" s="948"/>
      <c r="X84" s="944"/>
      <c r="Y84" s="702"/>
    </row>
    <row r="85" spans="1:25" x14ac:dyDescent="0.2">
      <c r="A85" s="938">
        <f t="shared" si="10"/>
        <v>59</v>
      </c>
      <c r="C85" s="922" t="str">
        <f t="shared" si="18"/>
        <v>April</v>
      </c>
      <c r="D85" s="923">
        <f t="shared" si="18"/>
        <v>2012</v>
      </c>
      <c r="E85" s="950">
        <v>3417245.2049999991</v>
      </c>
      <c r="F85" s="950">
        <v>48537.33</v>
      </c>
      <c r="G85" s="942">
        <f t="shared" si="19"/>
        <v>252653.09062499992</v>
      </c>
      <c r="H85" s="880">
        <f t="shared" si="20"/>
        <v>289708.8772499999</v>
      </c>
      <c r="I85" s="942">
        <f t="shared" si="24"/>
        <v>3331652.0883749989</v>
      </c>
      <c r="J85" s="942">
        <f t="shared" si="21"/>
        <v>99949.562651249958</v>
      </c>
      <c r="K85" s="880">
        <f t="shared" si="26"/>
        <v>109665621.92378326</v>
      </c>
      <c r="L85" s="880">
        <f t="shared" si="25"/>
        <v>221493.78135014119</v>
      </c>
      <c r="M85" s="880">
        <f t="shared" si="27"/>
        <v>1667321.8184542852</v>
      </c>
      <c r="N85" s="880">
        <f t="shared" si="22"/>
        <v>107998300.10532898</v>
      </c>
      <c r="O85" s="989">
        <v>11017731.443</v>
      </c>
      <c r="P85" s="880">
        <f t="shared" si="23"/>
        <v>11200625.784953799</v>
      </c>
      <c r="Q85" s="948"/>
      <c r="R85" s="944"/>
      <c r="S85" s="948"/>
      <c r="T85" s="948"/>
      <c r="U85" s="944"/>
      <c r="V85" s="702"/>
      <c r="W85" s="948"/>
      <c r="X85" s="944"/>
      <c r="Y85" s="702"/>
    </row>
    <row r="86" spans="1:25" x14ac:dyDescent="0.2">
      <c r="A86" s="938">
        <f t="shared" si="10"/>
        <v>60</v>
      </c>
      <c r="C86" s="922" t="str">
        <f t="shared" ref="C86:D90" si="28">C58</f>
        <v>May</v>
      </c>
      <c r="D86" s="923">
        <f t="shared" si="28"/>
        <v>2012</v>
      </c>
      <c r="E86" s="950">
        <v>2938673.8749999995</v>
      </c>
      <c r="F86" s="950">
        <v>0</v>
      </c>
      <c r="G86" s="942">
        <f t="shared" si="19"/>
        <v>220400.54062499997</v>
      </c>
      <c r="H86" s="880">
        <f t="shared" si="20"/>
        <v>252725.95324999996</v>
      </c>
      <c r="I86" s="942">
        <f t="shared" si="24"/>
        <v>2906348.4623749997</v>
      </c>
      <c r="J86" s="942">
        <f t="shared" si="21"/>
        <v>87190.453871249993</v>
      </c>
      <c r="K86" s="880">
        <f t="shared" si="26"/>
        <v>112659160.84002951</v>
      </c>
      <c r="L86" s="880">
        <f t="shared" si="25"/>
        <v>228753.05183768112</v>
      </c>
      <c r="M86" s="880">
        <f t="shared" si="27"/>
        <v>1896074.8702919662</v>
      </c>
      <c r="N86" s="880">
        <f t="shared" si="22"/>
        <v>110763085.96973754</v>
      </c>
      <c r="O86" s="989">
        <v>11017731.443</v>
      </c>
      <c r="P86" s="880">
        <f t="shared" si="23"/>
        <v>11200625.784953799</v>
      </c>
      <c r="Q86" s="948"/>
      <c r="R86" s="944"/>
      <c r="S86" s="948"/>
      <c r="T86" s="948"/>
      <c r="U86" s="944"/>
      <c r="V86" s="702"/>
      <c r="W86" s="948"/>
      <c r="X86" s="944"/>
      <c r="Y86" s="702"/>
    </row>
    <row r="87" spans="1:25" x14ac:dyDescent="0.2">
      <c r="A87" s="938">
        <f t="shared" si="10"/>
        <v>61</v>
      </c>
      <c r="C87" s="922" t="str">
        <f t="shared" si="28"/>
        <v xml:space="preserve">June </v>
      </c>
      <c r="D87" s="923">
        <f t="shared" si="28"/>
        <v>2012</v>
      </c>
      <c r="E87" s="950">
        <v>15053281.651999997</v>
      </c>
      <c r="F87" s="950">
        <v>6550288.5769999996</v>
      </c>
      <c r="G87" s="942">
        <f t="shared" si="19"/>
        <v>637724.48062499973</v>
      </c>
      <c r="H87" s="880">
        <f t="shared" si="20"/>
        <v>731257.4044499998</v>
      </c>
      <c r="I87" s="942">
        <f t="shared" si="24"/>
        <v>8409460.1511749979</v>
      </c>
      <c r="J87" s="942">
        <f t="shared" si="21"/>
        <v>252283.80453524992</v>
      </c>
      <c r="K87" s="880">
        <f t="shared" si="26"/>
        <v>127871193.37273976</v>
      </c>
      <c r="L87" s="880">
        <f t="shared" si="25"/>
        <v>234997.31645656156</v>
      </c>
      <c r="M87" s="880">
        <f t="shared" si="27"/>
        <v>2131072.1867485279</v>
      </c>
      <c r="N87" s="880">
        <f t="shared" si="22"/>
        <v>125740121.18599123</v>
      </c>
      <c r="O87" s="989">
        <v>11017731.443</v>
      </c>
      <c r="P87" s="880">
        <f t="shared" si="23"/>
        <v>11200625.784953799</v>
      </c>
      <c r="Q87" s="948"/>
      <c r="R87" s="944"/>
      <c r="S87" s="948"/>
      <c r="T87" s="948"/>
      <c r="U87" s="944"/>
      <c r="V87" s="702"/>
      <c r="W87" s="948"/>
      <c r="X87" s="944"/>
      <c r="Y87" s="702"/>
    </row>
    <row r="88" spans="1:25" x14ac:dyDescent="0.2">
      <c r="A88" s="938">
        <f t="shared" si="10"/>
        <v>62</v>
      </c>
      <c r="C88" s="922" t="str">
        <f t="shared" si="28"/>
        <v>July</v>
      </c>
      <c r="D88" s="923">
        <f t="shared" si="28"/>
        <v>2012</v>
      </c>
      <c r="E88" s="950">
        <v>2938673.8749999995</v>
      </c>
      <c r="F88" s="950">
        <v>0</v>
      </c>
      <c r="G88" s="942">
        <f t="shared" si="19"/>
        <v>220400.54062499997</v>
      </c>
      <c r="H88" s="880">
        <f t="shared" si="20"/>
        <v>252725.95324999996</v>
      </c>
      <c r="I88" s="942">
        <f t="shared" si="24"/>
        <v>2906348.4623749997</v>
      </c>
      <c r="J88" s="942">
        <f t="shared" si="21"/>
        <v>87190.453871249993</v>
      </c>
      <c r="K88" s="880">
        <f t="shared" si="26"/>
        <v>130864732.28898601</v>
      </c>
      <c r="L88" s="880">
        <f t="shared" si="25"/>
        <v>266728.30749521166</v>
      </c>
      <c r="M88" s="880">
        <f t="shared" si="27"/>
        <v>2397800.4942437396</v>
      </c>
      <c r="N88" s="880">
        <f t="shared" si="22"/>
        <v>128466931.79474227</v>
      </c>
      <c r="O88" s="989">
        <v>11017731.443</v>
      </c>
      <c r="P88" s="880">
        <f t="shared" si="23"/>
        <v>11200625.784953799</v>
      </c>
      <c r="Q88" s="948"/>
      <c r="R88" s="944"/>
      <c r="S88" s="948"/>
      <c r="T88" s="948"/>
      <c r="U88" s="944"/>
      <c r="V88" s="702"/>
      <c r="W88" s="948"/>
      <c r="X88" s="944"/>
      <c r="Y88" s="702"/>
    </row>
    <row r="89" spans="1:25" x14ac:dyDescent="0.2">
      <c r="A89" s="938">
        <f t="shared" si="10"/>
        <v>63</v>
      </c>
      <c r="C89" s="922" t="str">
        <f t="shared" si="28"/>
        <v>August</v>
      </c>
      <c r="D89" s="923">
        <f t="shared" si="28"/>
        <v>2012</v>
      </c>
      <c r="E89" s="950">
        <v>2938673.8749999995</v>
      </c>
      <c r="F89" s="950">
        <v>0</v>
      </c>
      <c r="G89" s="942">
        <f t="shared" si="19"/>
        <v>220400.54062499997</v>
      </c>
      <c r="H89" s="880">
        <f t="shared" si="20"/>
        <v>252725.95324999996</v>
      </c>
      <c r="I89" s="942">
        <f t="shared" si="24"/>
        <v>2906348.4623749997</v>
      </c>
      <c r="J89" s="942">
        <f t="shared" si="21"/>
        <v>87190.453871249993</v>
      </c>
      <c r="K89" s="880">
        <f t="shared" si="26"/>
        <v>133858271.20523226</v>
      </c>
      <c r="L89" s="880">
        <f t="shared" si="25"/>
        <v>272972.57211409207</v>
      </c>
      <c r="M89" s="880">
        <f t="shared" si="27"/>
        <v>2670773.0663578315</v>
      </c>
      <c r="N89" s="880">
        <f t="shared" si="22"/>
        <v>131187498.13887443</v>
      </c>
      <c r="O89" s="989">
        <v>11017731.443</v>
      </c>
      <c r="P89" s="880">
        <f t="shared" si="23"/>
        <v>11200625.784953799</v>
      </c>
      <c r="Q89" s="948"/>
      <c r="R89" s="944"/>
      <c r="S89" s="948"/>
      <c r="T89" s="948"/>
      <c r="U89" s="944"/>
      <c r="V89" s="702"/>
      <c r="W89" s="948"/>
      <c r="X89" s="944"/>
      <c r="Y89" s="702"/>
    </row>
    <row r="90" spans="1:25" x14ac:dyDescent="0.2">
      <c r="A90" s="938">
        <f t="shared" si="10"/>
        <v>64</v>
      </c>
      <c r="C90" s="922" t="str">
        <f t="shared" si="28"/>
        <v>September</v>
      </c>
      <c r="D90" s="923">
        <f t="shared" si="28"/>
        <v>2012</v>
      </c>
      <c r="E90" s="950">
        <v>15224674.975000001</v>
      </c>
      <c r="F90" s="950">
        <v>3436601.14</v>
      </c>
      <c r="G90" s="942">
        <f t="shared" si="19"/>
        <v>884105.537625</v>
      </c>
      <c r="H90" s="880">
        <f t="shared" si="20"/>
        <v>1013774.34981</v>
      </c>
      <c r="I90" s="942">
        <f t="shared" si="24"/>
        <v>11658405.022815</v>
      </c>
      <c r="J90" s="942">
        <f t="shared" si="21"/>
        <v>349752.15068445</v>
      </c>
      <c r="K90" s="880">
        <f t="shared" si="26"/>
        <v>149303029.51873168</v>
      </c>
      <c r="L90" s="880">
        <f t="shared" si="25"/>
        <v>279216.83673297247</v>
      </c>
      <c r="M90" s="880">
        <f t="shared" si="27"/>
        <v>2949989.9030908039</v>
      </c>
      <c r="N90" s="880">
        <f t="shared" si="22"/>
        <v>146353039.61564088</v>
      </c>
      <c r="O90" s="989">
        <v>11017731.443</v>
      </c>
      <c r="P90" s="880">
        <f t="shared" si="23"/>
        <v>11200625.784953799</v>
      </c>
      <c r="Q90" s="948"/>
      <c r="R90" s="944"/>
      <c r="S90" s="948"/>
      <c r="T90" s="948"/>
      <c r="U90" s="944"/>
      <c r="V90" s="702"/>
      <c r="W90" s="948"/>
      <c r="X90" s="944"/>
      <c r="Y90" s="702"/>
    </row>
    <row r="91" spans="1:25" x14ac:dyDescent="0.2">
      <c r="A91" s="938"/>
      <c r="O91" s="944"/>
    </row>
    <row r="92" spans="1:25" x14ac:dyDescent="0.2">
      <c r="A92" s="938"/>
      <c r="B92" s="882" t="s">
        <v>2898</v>
      </c>
      <c r="G92" s="883"/>
    </row>
    <row r="93" spans="1:25" x14ac:dyDescent="0.2">
      <c r="A93" s="940" t="s">
        <v>372</v>
      </c>
      <c r="B93" s="883"/>
      <c r="F93" s="992"/>
    </row>
    <row r="94" spans="1:25" x14ac:dyDescent="0.2">
      <c r="A94" s="938">
        <f>A90+1</f>
        <v>65</v>
      </c>
      <c r="C94" s="951" t="s">
        <v>2890</v>
      </c>
      <c r="E94" s="952">
        <v>7.4999999999999997E-2</v>
      </c>
    </row>
    <row r="96" spans="1:25" x14ac:dyDescent="0.2">
      <c r="A96" s="938"/>
      <c r="B96" s="882" t="s">
        <v>2900</v>
      </c>
    </row>
    <row r="97" spans="1:9" x14ac:dyDescent="0.2">
      <c r="A97" s="940" t="s">
        <v>372</v>
      </c>
      <c r="F97" s="992"/>
    </row>
    <row r="98" spans="1:9" x14ac:dyDescent="0.2">
      <c r="A98" s="938">
        <f>A94+1</f>
        <v>66</v>
      </c>
      <c r="B98" s="882"/>
      <c r="C98" s="879" t="s">
        <v>2891</v>
      </c>
      <c r="E98" s="952">
        <v>0.08</v>
      </c>
    </row>
    <row r="99" spans="1:9" x14ac:dyDescent="0.2">
      <c r="A99" s="938"/>
      <c r="B99" s="883"/>
      <c r="C99" s="879"/>
    </row>
    <row r="100" spans="1:9" x14ac:dyDescent="0.2">
      <c r="B100" s="882" t="s">
        <v>2901</v>
      </c>
    </row>
    <row r="101" spans="1:9" x14ac:dyDescent="0.2">
      <c r="A101" s="940" t="s">
        <v>372</v>
      </c>
      <c r="B101" s="883"/>
      <c r="F101" s="992"/>
    </row>
    <row r="102" spans="1:9" x14ac:dyDescent="0.2">
      <c r="A102" s="938">
        <f>A98+1</f>
        <v>67</v>
      </c>
      <c r="C102" s="879" t="s">
        <v>2892</v>
      </c>
      <c r="E102" s="952">
        <v>0.03</v>
      </c>
    </row>
    <row r="104" spans="1:9" x14ac:dyDescent="0.2">
      <c r="B104" s="882" t="s">
        <v>2899</v>
      </c>
    </row>
    <row r="105" spans="1:9" s="934" customFormat="1" x14ac:dyDescent="0.2">
      <c r="C105" s="946" t="s">
        <v>2954</v>
      </c>
      <c r="F105" s="953"/>
    </row>
    <row r="106" spans="1:9" s="938" customFormat="1" x14ac:dyDescent="0.2">
      <c r="B106" s="934" t="s">
        <v>406</v>
      </c>
      <c r="C106" s="934" t="s">
        <v>390</v>
      </c>
      <c r="D106" s="934" t="s">
        <v>391</v>
      </c>
      <c r="E106" s="934" t="s">
        <v>392</v>
      </c>
      <c r="F106" s="934"/>
    </row>
    <row r="107" spans="1:9" s="934" customFormat="1" x14ac:dyDescent="0.2">
      <c r="B107" s="941"/>
      <c r="C107" s="939" t="s">
        <v>210</v>
      </c>
      <c r="D107" s="941"/>
      <c r="E107" s="1104" t="s">
        <v>2893</v>
      </c>
      <c r="F107" s="941"/>
    </row>
    <row r="108" spans="1:9" x14ac:dyDescent="0.2">
      <c r="A108" s="938"/>
      <c r="B108" s="939"/>
      <c r="C108" s="939" t="str">
        <f>"Prior Year"</f>
        <v>Prior Year</v>
      </c>
      <c r="D108" s="939" t="s">
        <v>2894</v>
      </c>
      <c r="E108" s="939" t="s">
        <v>1689</v>
      </c>
      <c r="F108" s="939" t="s">
        <v>3166</v>
      </c>
    </row>
    <row r="109" spans="1:9" x14ac:dyDescent="0.2">
      <c r="A109" s="934" t="s">
        <v>372</v>
      </c>
      <c r="B109" s="941" t="s">
        <v>2785</v>
      </c>
      <c r="C109" s="941" t="s">
        <v>2895</v>
      </c>
      <c r="D109" s="941" t="s">
        <v>14</v>
      </c>
      <c r="E109" s="941" t="s">
        <v>2894</v>
      </c>
      <c r="F109" s="131" t="s">
        <v>235</v>
      </c>
    </row>
    <row r="110" spans="1:9" x14ac:dyDescent="0.2">
      <c r="A110" s="938">
        <f>A102+1</f>
        <v>68</v>
      </c>
      <c r="B110" s="939">
        <v>350.1</v>
      </c>
      <c r="C110" s="1105">
        <f>'17-Depreciation'!C24</f>
        <v>76155076</v>
      </c>
      <c r="D110" s="1106">
        <f>'18-DepRates'!G6</f>
        <v>0</v>
      </c>
      <c r="E110" s="1107">
        <f>C110*D110</f>
        <v>0</v>
      </c>
      <c r="F110" s="1108" t="s">
        <v>3167</v>
      </c>
      <c r="H110" s="993"/>
      <c r="I110" s="991"/>
    </row>
    <row r="111" spans="1:9" x14ac:dyDescent="0.2">
      <c r="A111" s="938">
        <f>A110+1</f>
        <v>69</v>
      </c>
      <c r="B111" s="939">
        <v>350.2</v>
      </c>
      <c r="C111" s="1105">
        <f>'17-Depreciation'!D24</f>
        <v>77823202</v>
      </c>
      <c r="D111" s="1106">
        <f>'18-DepRates'!G7</f>
        <v>1.66E-2</v>
      </c>
      <c r="E111" s="1107">
        <f t="shared" ref="E111:E119" si="29">C111*D111</f>
        <v>1291865.1532000001</v>
      </c>
      <c r="F111" s="1108" t="s">
        <v>3168</v>
      </c>
      <c r="H111" s="993"/>
      <c r="I111" s="991"/>
    </row>
    <row r="112" spans="1:9" x14ac:dyDescent="0.2">
      <c r="A112" s="938">
        <f t="shared" ref="A112:A124" si="30">A111+1</f>
        <v>70</v>
      </c>
      <c r="B112" s="939">
        <v>352</v>
      </c>
      <c r="C112" s="1105">
        <f>'17-Depreciation'!E24</f>
        <v>175457663</v>
      </c>
      <c r="D112" s="1106">
        <f>'18-DepRates'!G8</f>
        <v>2.5700000000000001E-2</v>
      </c>
      <c r="E112" s="1107">
        <f t="shared" si="29"/>
        <v>4509261.9391000001</v>
      </c>
      <c r="F112" s="1108" t="s">
        <v>3169</v>
      </c>
      <c r="H112" s="993"/>
      <c r="I112" s="991"/>
    </row>
    <row r="113" spans="1:9" x14ac:dyDescent="0.2">
      <c r="A113" s="938">
        <f t="shared" si="30"/>
        <v>71</v>
      </c>
      <c r="B113" s="939">
        <v>353</v>
      </c>
      <c r="C113" s="1105">
        <f>'17-Depreciation'!F24</f>
        <v>1680213303</v>
      </c>
      <c r="D113" s="1106">
        <f>'18-DepRates'!G9</f>
        <v>2.47E-2</v>
      </c>
      <c r="E113" s="1107">
        <f t="shared" si="29"/>
        <v>41501268.584100001</v>
      </c>
      <c r="F113" s="1108" t="s">
        <v>3170</v>
      </c>
      <c r="H113" s="993"/>
      <c r="I113" s="991"/>
    </row>
    <row r="114" spans="1:9" x14ac:dyDescent="0.2">
      <c r="A114" s="938">
        <f t="shared" si="30"/>
        <v>72</v>
      </c>
      <c r="B114" s="939">
        <v>354</v>
      </c>
      <c r="C114" s="1105">
        <f>'17-Depreciation'!G24</f>
        <v>625307190</v>
      </c>
      <c r="D114" s="1106">
        <f>'18-DepRates'!G10</f>
        <v>2.4400000000000002E-2</v>
      </c>
      <c r="E114" s="1107">
        <f t="shared" si="29"/>
        <v>15257495.436000001</v>
      </c>
      <c r="F114" s="1108" t="s">
        <v>3171</v>
      </c>
      <c r="H114" s="993"/>
      <c r="I114" s="991"/>
    </row>
    <row r="115" spans="1:9" x14ac:dyDescent="0.2">
      <c r="A115" s="938">
        <f t="shared" si="30"/>
        <v>73</v>
      </c>
      <c r="B115" s="939">
        <v>355</v>
      </c>
      <c r="C115" s="1105">
        <f>'17-Depreciation'!H24</f>
        <v>113770199</v>
      </c>
      <c r="D115" s="1106">
        <f>'18-DepRates'!G11</f>
        <v>3.6700000000000003E-2</v>
      </c>
      <c r="E115" s="1107">
        <f t="shared" si="29"/>
        <v>4175366.3033000003</v>
      </c>
      <c r="F115" s="1108" t="s">
        <v>3172</v>
      </c>
      <c r="H115" s="993"/>
      <c r="I115" s="991"/>
    </row>
    <row r="116" spans="1:9" x14ac:dyDescent="0.2">
      <c r="A116" s="938">
        <f t="shared" si="30"/>
        <v>74</v>
      </c>
      <c r="B116" s="939">
        <v>356</v>
      </c>
      <c r="C116" s="1105">
        <f>'17-Depreciation'!I24</f>
        <v>422173397</v>
      </c>
      <c r="D116" s="1106">
        <f>'18-DepRates'!G12</f>
        <v>3.0499999999999999E-2</v>
      </c>
      <c r="E116" s="1107">
        <f t="shared" si="29"/>
        <v>12876288.6085</v>
      </c>
      <c r="F116" s="1108" t="s">
        <v>3173</v>
      </c>
      <c r="H116" s="993"/>
      <c r="I116" s="991"/>
    </row>
    <row r="117" spans="1:9" x14ac:dyDescent="0.2">
      <c r="A117" s="938">
        <f t="shared" si="30"/>
        <v>75</v>
      </c>
      <c r="B117" s="939">
        <v>357</v>
      </c>
      <c r="C117" s="1105">
        <f>'17-Depreciation'!J24</f>
        <v>284096</v>
      </c>
      <c r="D117" s="1106">
        <f>'18-DepRates'!G13</f>
        <v>1.6500000000000001E-2</v>
      </c>
      <c r="E117" s="1107">
        <f t="shared" si="29"/>
        <v>4687.5839999999998</v>
      </c>
      <c r="F117" s="1108" t="s">
        <v>3174</v>
      </c>
      <c r="H117" s="993"/>
      <c r="I117" s="991"/>
    </row>
    <row r="118" spans="1:9" x14ac:dyDescent="0.2">
      <c r="A118" s="938">
        <f t="shared" si="30"/>
        <v>76</v>
      </c>
      <c r="B118" s="939">
        <v>358</v>
      </c>
      <c r="C118" s="1105">
        <f>'17-Depreciation'!K24</f>
        <v>2302928</v>
      </c>
      <c r="D118" s="1106">
        <f>'18-DepRates'!G14</f>
        <v>3.8699999999999998E-2</v>
      </c>
      <c r="E118" s="1107">
        <f t="shared" si="29"/>
        <v>89123.313599999994</v>
      </c>
      <c r="F118" s="1108" t="s">
        <v>3175</v>
      </c>
      <c r="H118" s="993"/>
      <c r="I118" s="991"/>
    </row>
    <row r="119" spans="1:9" x14ac:dyDescent="0.2">
      <c r="A119" s="938">
        <f t="shared" si="30"/>
        <v>77</v>
      </c>
      <c r="B119" s="939">
        <v>359</v>
      </c>
      <c r="C119" s="1105">
        <f>'17-Depreciation'!L24</f>
        <v>28619068</v>
      </c>
      <c r="D119" s="1106">
        <f>'18-DepRates'!G15</f>
        <v>1.5599999999999999E-2</v>
      </c>
      <c r="E119" s="1107">
        <f t="shared" si="29"/>
        <v>446457.4608</v>
      </c>
      <c r="F119" s="1108" t="s">
        <v>3176</v>
      </c>
      <c r="H119" s="993"/>
      <c r="I119" s="991"/>
    </row>
    <row r="120" spans="1:9" x14ac:dyDescent="0.2">
      <c r="A120" s="938">
        <f t="shared" si="30"/>
        <v>78</v>
      </c>
    </row>
    <row r="121" spans="1:9" x14ac:dyDescent="0.2">
      <c r="A121" s="938">
        <f t="shared" si="30"/>
        <v>79</v>
      </c>
      <c r="C121" s="954" t="s">
        <v>2896</v>
      </c>
      <c r="E121" s="994">
        <f>SUM(E110:E119)</f>
        <v>80151814.382600009</v>
      </c>
      <c r="F121" s="931" t="str">
        <f>"Sum of C"&amp;RIGHT(E106)&amp;" Lines "&amp;A110&amp;" to "&amp;A119</f>
        <v>Sum of C4 Lines 68 to 77</v>
      </c>
    </row>
    <row r="122" spans="1:9" x14ac:dyDescent="0.2">
      <c r="A122" s="938">
        <f t="shared" si="30"/>
        <v>80</v>
      </c>
      <c r="C122" s="931" t="str">
        <f>"Sum of Dec Prior Year Plant"</f>
        <v>Sum of Dec Prior Year Plant</v>
      </c>
      <c r="E122" s="995">
        <f>SUM(C110:C119)</f>
        <v>3202106122</v>
      </c>
      <c r="F122" s="931" t="str">
        <f>"Sum of C"&amp;RIGHT(C106)&amp;" Lines "&amp;A110&amp;" to "&amp;A119</f>
        <v>Sum of C2 Lines 68 to 77</v>
      </c>
    </row>
    <row r="123" spans="1:9" x14ac:dyDescent="0.2">
      <c r="A123" s="938">
        <f t="shared" si="30"/>
        <v>81</v>
      </c>
    </row>
    <row r="124" spans="1:9" x14ac:dyDescent="0.2">
      <c r="A124" s="938">
        <f t="shared" si="30"/>
        <v>82</v>
      </c>
      <c r="C124" s="931" t="s">
        <v>2897</v>
      </c>
      <c r="E124" s="955">
        <f>E121/E122</f>
        <v>2.503096753474806E-2</v>
      </c>
      <c r="F124" s="931" t="str">
        <f>"Line "&amp;A121&amp;" / Line "&amp;A122</f>
        <v>Line 79 / Line 80</v>
      </c>
    </row>
    <row r="125" spans="1:9" x14ac:dyDescent="0.2">
      <c r="A125" s="938"/>
    </row>
    <row r="126" spans="1:9" x14ac:dyDescent="0.2">
      <c r="A126" s="938"/>
      <c r="B126" s="930" t="s">
        <v>267</v>
      </c>
      <c r="C126"/>
      <c r="D126"/>
      <c r="E126"/>
      <c r="F126"/>
      <c r="G126"/>
      <c r="H126"/>
      <c r="I126"/>
    </row>
    <row r="127" spans="1:9" x14ac:dyDescent="0.2">
      <c r="A127" s="938"/>
      <c r="B127" s="925" t="s">
        <v>2413</v>
      </c>
      <c r="C127" s="962"/>
      <c r="D127" s="962"/>
      <c r="E127" s="962"/>
      <c r="F127" s="962"/>
      <c r="G127" s="962"/>
      <c r="H127" s="962"/>
      <c r="I127" s="962"/>
    </row>
    <row r="128" spans="1:9" x14ac:dyDescent="0.2">
      <c r="A128" s="938"/>
      <c r="B128" s="925" t="s">
        <v>2955</v>
      </c>
      <c r="C128"/>
      <c r="D128"/>
      <c r="E128"/>
      <c r="F128"/>
      <c r="G128"/>
      <c r="H128"/>
      <c r="I128"/>
    </row>
    <row r="129" spans="1:1" x14ac:dyDescent="0.2">
      <c r="A129" s="938"/>
    </row>
    <row r="130" spans="1:1" x14ac:dyDescent="0.2">
      <c r="A130" s="938"/>
    </row>
    <row r="131" spans="1:1" x14ac:dyDescent="0.2">
      <c r="A131" s="938"/>
    </row>
    <row r="132" spans="1:1" x14ac:dyDescent="0.2">
      <c r="A132" s="938"/>
    </row>
    <row r="133" spans="1:1" x14ac:dyDescent="0.2">
      <c r="A133" s="938"/>
    </row>
    <row r="134" spans="1:1" x14ac:dyDescent="0.2">
      <c r="A134" s="938"/>
    </row>
    <row r="135" spans="1:1" x14ac:dyDescent="0.2">
      <c r="A135" s="938"/>
    </row>
    <row r="136" spans="1:1" x14ac:dyDescent="0.2">
      <c r="A136" s="938"/>
    </row>
    <row r="137" spans="1:1" x14ac:dyDescent="0.2">
      <c r="A137" s="938"/>
    </row>
    <row r="138" spans="1:1" x14ac:dyDescent="0.2">
      <c r="A138" s="938"/>
    </row>
    <row r="139" spans="1:1" x14ac:dyDescent="0.2">
      <c r="A139" s="938"/>
    </row>
    <row r="140" spans="1:1" x14ac:dyDescent="0.2">
      <c r="A140" s="938"/>
    </row>
    <row r="141" spans="1:1" x14ac:dyDescent="0.2">
      <c r="A141" s="938"/>
    </row>
    <row r="142" spans="1:1" x14ac:dyDescent="0.2">
      <c r="A142" s="938"/>
    </row>
    <row r="143" spans="1:1" x14ac:dyDescent="0.2">
      <c r="A143" s="938"/>
    </row>
    <row r="144" spans="1:1" x14ac:dyDescent="0.2">
      <c r="A144" s="938"/>
    </row>
    <row r="145" spans="1:1" x14ac:dyDescent="0.2">
      <c r="A145" s="938"/>
    </row>
    <row r="146" spans="1:1" x14ac:dyDescent="0.2">
      <c r="A146" s="938"/>
    </row>
    <row r="147" spans="1:1" x14ac:dyDescent="0.2">
      <c r="A147" s="938"/>
    </row>
    <row r="148" spans="1:1" x14ac:dyDescent="0.2">
      <c r="A148" s="938"/>
    </row>
    <row r="149" spans="1:1" x14ac:dyDescent="0.2">
      <c r="A149" s="938"/>
    </row>
    <row r="150" spans="1:1" x14ac:dyDescent="0.2">
      <c r="A150" s="938"/>
    </row>
    <row r="151" spans="1:1" x14ac:dyDescent="0.2">
      <c r="A151" s="938"/>
    </row>
    <row r="152" spans="1:1" x14ac:dyDescent="0.2">
      <c r="A152" s="938"/>
    </row>
    <row r="153" spans="1:1" x14ac:dyDescent="0.2">
      <c r="A153" s="938"/>
    </row>
    <row r="154" spans="1:1" x14ac:dyDescent="0.2">
      <c r="A154" s="938"/>
    </row>
    <row r="155" spans="1:1" x14ac:dyDescent="0.2">
      <c r="A155" s="938"/>
    </row>
    <row r="156" spans="1:1" x14ac:dyDescent="0.2">
      <c r="A156" s="938"/>
    </row>
    <row r="157" spans="1:1" x14ac:dyDescent="0.2">
      <c r="A157" s="938"/>
    </row>
    <row r="158" spans="1:1" x14ac:dyDescent="0.2">
      <c r="A158" s="938"/>
    </row>
    <row r="159" spans="1:1" x14ac:dyDescent="0.2">
      <c r="A159" s="938"/>
    </row>
    <row r="160" spans="1:1" x14ac:dyDescent="0.2">
      <c r="A160" s="938"/>
    </row>
    <row r="161" spans="1:1" x14ac:dyDescent="0.2">
      <c r="A161" s="938"/>
    </row>
    <row r="162" spans="1:1" x14ac:dyDescent="0.2">
      <c r="A162" s="938"/>
    </row>
    <row r="163" spans="1:1" x14ac:dyDescent="0.2">
      <c r="A163" s="938"/>
    </row>
    <row r="164" spans="1:1" x14ac:dyDescent="0.2">
      <c r="A164" s="938"/>
    </row>
    <row r="165" spans="1:1" x14ac:dyDescent="0.2">
      <c r="A165" s="938"/>
    </row>
    <row r="166" spans="1:1" x14ac:dyDescent="0.2">
      <c r="A166" s="938"/>
    </row>
    <row r="167" spans="1:1" x14ac:dyDescent="0.2">
      <c r="A167" s="938"/>
    </row>
    <row r="168" spans="1:1" x14ac:dyDescent="0.2">
      <c r="A168" s="938"/>
    </row>
    <row r="169" spans="1:1" x14ac:dyDescent="0.2">
      <c r="A169" s="938"/>
    </row>
    <row r="170" spans="1:1" x14ac:dyDescent="0.2">
      <c r="A170" s="938"/>
    </row>
    <row r="171" spans="1:1" x14ac:dyDescent="0.2">
      <c r="A171" s="938"/>
    </row>
    <row r="172" spans="1:1" x14ac:dyDescent="0.2">
      <c r="A172" s="938"/>
    </row>
    <row r="173" spans="1:1" x14ac:dyDescent="0.2">
      <c r="A173" s="938"/>
    </row>
    <row r="174" spans="1:1" x14ac:dyDescent="0.2">
      <c r="A174" s="938"/>
    </row>
    <row r="175" spans="1:1" x14ac:dyDescent="0.2">
      <c r="A175" s="938"/>
    </row>
    <row r="176" spans="1:1" x14ac:dyDescent="0.2">
      <c r="A176" s="938"/>
    </row>
    <row r="177" spans="1:1" x14ac:dyDescent="0.2">
      <c r="A177" s="938"/>
    </row>
    <row r="178" spans="1:1" x14ac:dyDescent="0.2">
      <c r="A178" s="938"/>
    </row>
    <row r="179" spans="1:1" x14ac:dyDescent="0.2">
      <c r="A179" s="938"/>
    </row>
    <row r="180" spans="1:1" x14ac:dyDescent="0.2">
      <c r="A180" s="938"/>
    </row>
    <row r="181" spans="1:1" x14ac:dyDescent="0.2">
      <c r="A181" s="938"/>
    </row>
    <row r="182" spans="1:1" x14ac:dyDescent="0.2">
      <c r="A182" s="938"/>
    </row>
    <row r="183" spans="1:1" x14ac:dyDescent="0.2">
      <c r="A183" s="938"/>
    </row>
    <row r="184" spans="1:1" x14ac:dyDescent="0.2">
      <c r="A184" s="938"/>
    </row>
    <row r="185" spans="1:1" x14ac:dyDescent="0.2">
      <c r="A185" s="938"/>
    </row>
    <row r="186" spans="1:1" x14ac:dyDescent="0.2">
      <c r="A186" s="938"/>
    </row>
    <row r="187" spans="1:1" x14ac:dyDescent="0.2">
      <c r="A187" s="938"/>
    </row>
    <row r="188" spans="1:1" x14ac:dyDescent="0.2">
      <c r="A188" s="938"/>
    </row>
    <row r="189" spans="1:1" x14ac:dyDescent="0.2">
      <c r="A189" s="938"/>
    </row>
    <row r="190" spans="1:1" x14ac:dyDescent="0.2">
      <c r="A190" s="938"/>
    </row>
    <row r="191" spans="1:1" x14ac:dyDescent="0.2">
      <c r="A191" s="938"/>
    </row>
    <row r="192" spans="1:1" x14ac:dyDescent="0.2">
      <c r="A192" s="938"/>
    </row>
    <row r="193" spans="1:1" x14ac:dyDescent="0.2">
      <c r="A193" s="938"/>
    </row>
    <row r="194" spans="1:1" x14ac:dyDescent="0.2">
      <c r="A194" s="938"/>
    </row>
    <row r="195" spans="1:1" x14ac:dyDescent="0.2">
      <c r="A195" s="938"/>
    </row>
  </sheetData>
  <pageMargins left="0.7" right="0.7" top="0.75" bottom="0.75" header="0.3" footer="0.3"/>
  <pageSetup scale="55" orientation="landscape" cellComments="asDisplayed" r:id="rId1"/>
  <headerFooter>
    <oddHeader>&amp;CSchedule 16
Plant Additions
&amp;"Arial,Bold"Exhibit G-1</oddHeader>
    <oddFooter>&amp;R16-PlantAdditions</oddFooter>
  </headerFooter>
  <rowBreaks count="1" manualBreakCount="1">
    <brk id="63"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zoomScale="75" zoomScaleNormal="75" workbookViewId="0"/>
  </sheetViews>
  <sheetFormatPr defaultRowHeight="12.75" x14ac:dyDescent="0.2"/>
  <cols>
    <col min="1" max="1" width="4.7109375" customWidth="1"/>
    <col min="3" max="13" width="14.7109375" customWidth="1"/>
  </cols>
  <sheetData>
    <row r="1" spans="1:13" x14ac:dyDescent="0.2">
      <c r="A1" s="1" t="s">
        <v>287</v>
      </c>
      <c r="B1" s="244"/>
      <c r="C1" s="244"/>
      <c r="D1" s="244"/>
      <c r="E1" s="244"/>
      <c r="F1" s="244"/>
      <c r="G1" s="244"/>
      <c r="H1" s="244"/>
      <c r="I1" s="755" t="s">
        <v>510</v>
      </c>
      <c r="J1" s="196"/>
      <c r="K1" s="244"/>
      <c r="L1" s="244"/>
      <c r="M1" s="244"/>
    </row>
    <row r="2" spans="1:13" x14ac:dyDescent="0.2">
      <c r="A2" s="244"/>
      <c r="B2" s="244"/>
      <c r="C2" s="244"/>
      <c r="D2" s="244"/>
      <c r="E2" s="244"/>
      <c r="F2" s="244"/>
      <c r="G2" s="244"/>
      <c r="H2" s="244"/>
      <c r="K2" s="244"/>
      <c r="L2" s="244"/>
      <c r="M2" s="244"/>
    </row>
    <row r="3" spans="1:13" x14ac:dyDescent="0.2">
      <c r="A3" s="244"/>
      <c r="B3" s="1" t="s">
        <v>1078</v>
      </c>
      <c r="C3" s="244"/>
      <c r="D3" s="244"/>
      <c r="E3" s="244"/>
      <c r="F3" s="244"/>
      <c r="G3" s="244"/>
      <c r="H3" s="254"/>
      <c r="I3" s="1055" t="s">
        <v>2524</v>
      </c>
      <c r="J3" s="469">
        <v>2010</v>
      </c>
      <c r="K3" s="244"/>
      <c r="L3" s="244"/>
      <c r="M3" s="244"/>
    </row>
    <row r="4" spans="1:13" x14ac:dyDescent="0.2">
      <c r="A4" s="244"/>
      <c r="B4" s="244"/>
      <c r="C4" s="244"/>
      <c r="D4" s="244"/>
      <c r="E4" s="244"/>
      <c r="F4" s="244"/>
      <c r="G4" s="244"/>
      <c r="H4" s="254"/>
      <c r="I4" s="254"/>
      <c r="J4" s="244"/>
      <c r="K4" s="244"/>
      <c r="L4" s="244"/>
      <c r="M4" s="244"/>
    </row>
    <row r="5" spans="1:13" x14ac:dyDescent="0.2">
      <c r="A5" s="244"/>
      <c r="B5" s="649" t="s">
        <v>1081</v>
      </c>
      <c r="C5" s="244"/>
      <c r="D5" s="244"/>
      <c r="E5" s="244"/>
      <c r="F5" s="244"/>
      <c r="G5" s="244"/>
      <c r="H5" s="651" t="s">
        <v>2624</v>
      </c>
      <c r="I5" s="254"/>
      <c r="J5" s="244"/>
      <c r="K5" s="244"/>
      <c r="L5" s="244"/>
      <c r="M5" s="244"/>
    </row>
    <row r="6" spans="1:13" x14ac:dyDescent="0.2">
      <c r="A6" s="244"/>
      <c r="B6" s="244"/>
      <c r="C6" s="244"/>
      <c r="D6" s="244"/>
      <c r="E6" s="244"/>
      <c r="F6" s="244"/>
      <c r="G6" s="244"/>
      <c r="H6" s="244"/>
      <c r="I6" s="244"/>
      <c r="J6" s="244"/>
      <c r="K6" s="244"/>
      <c r="L6" s="244"/>
      <c r="M6" s="244"/>
    </row>
    <row r="7" spans="1:13" x14ac:dyDescent="0.2">
      <c r="A7" s="244"/>
      <c r="B7" s="88" t="s">
        <v>406</v>
      </c>
      <c r="C7" s="88" t="s">
        <v>390</v>
      </c>
      <c r="D7" s="88" t="s">
        <v>391</v>
      </c>
      <c r="E7" s="88" t="s">
        <v>392</v>
      </c>
      <c r="F7" s="88" t="s">
        <v>393</v>
      </c>
      <c r="G7" s="88" t="s">
        <v>394</v>
      </c>
      <c r="H7" s="88" t="s">
        <v>395</v>
      </c>
      <c r="I7" s="88" t="s">
        <v>610</v>
      </c>
      <c r="J7" s="88" t="s">
        <v>1059</v>
      </c>
      <c r="K7" s="88" t="s">
        <v>1076</v>
      </c>
      <c r="L7" s="88" t="s">
        <v>1079</v>
      </c>
      <c r="M7" s="88" t="s">
        <v>1097</v>
      </c>
    </row>
    <row r="8" spans="1:13" x14ac:dyDescent="0.2">
      <c r="A8" s="244"/>
      <c r="B8" s="266"/>
      <c r="C8" s="244"/>
      <c r="D8" s="244"/>
      <c r="E8" s="244"/>
      <c r="F8" s="244"/>
      <c r="G8" s="244"/>
      <c r="H8" s="244"/>
      <c r="I8" s="244"/>
      <c r="J8" s="244"/>
      <c r="K8" s="244"/>
      <c r="L8" s="244"/>
      <c r="M8" s="244"/>
    </row>
    <row r="9" spans="1:13" x14ac:dyDescent="0.2">
      <c r="A9" s="244"/>
      <c r="B9" s="117"/>
      <c r="C9" s="756" t="s">
        <v>13</v>
      </c>
      <c r="D9" s="244"/>
      <c r="E9" s="244"/>
      <c r="F9" s="244"/>
      <c r="G9" s="244"/>
      <c r="H9" s="244"/>
      <c r="I9" s="244"/>
      <c r="J9" s="244"/>
      <c r="K9" s="244"/>
      <c r="L9" s="244"/>
      <c r="M9" s="244"/>
    </row>
    <row r="10" spans="1:13" x14ac:dyDescent="0.2">
      <c r="A10" s="244"/>
      <c r="B10" s="117"/>
      <c r="C10" s="756" t="s">
        <v>1077</v>
      </c>
      <c r="D10" s="244"/>
      <c r="E10" s="244"/>
      <c r="F10" s="244"/>
      <c r="G10" s="244"/>
      <c r="H10" s="244"/>
      <c r="I10" s="244"/>
      <c r="J10" s="244"/>
      <c r="K10" s="244"/>
      <c r="L10" s="244"/>
      <c r="M10" s="244"/>
    </row>
    <row r="11" spans="1:13" x14ac:dyDescent="0.2">
      <c r="A11" s="53" t="s">
        <v>372</v>
      </c>
      <c r="B11" s="131" t="s">
        <v>2580</v>
      </c>
      <c r="C11" s="88">
        <v>350.1</v>
      </c>
      <c r="D11" s="88">
        <v>350.2</v>
      </c>
      <c r="E11" s="88">
        <v>352</v>
      </c>
      <c r="F11" s="88">
        <v>353</v>
      </c>
      <c r="G11" s="88">
        <v>354</v>
      </c>
      <c r="H11" s="88">
        <v>355</v>
      </c>
      <c r="I11" s="88">
        <v>356</v>
      </c>
      <c r="J11" s="88">
        <v>357</v>
      </c>
      <c r="K11" s="88">
        <v>358</v>
      </c>
      <c r="L11" s="88">
        <v>359</v>
      </c>
      <c r="M11" s="3" t="s">
        <v>226</v>
      </c>
    </row>
    <row r="12" spans="1:13" x14ac:dyDescent="0.2">
      <c r="A12" s="839">
        <v>1</v>
      </c>
      <c r="B12" s="1036" t="s">
        <v>2581</v>
      </c>
      <c r="C12" s="246">
        <f>'6-PlantInService'!C11</f>
        <v>79059603.74731046</v>
      </c>
      <c r="D12" s="246">
        <f>'6-PlantInService'!D11</f>
        <v>80780545.616018757</v>
      </c>
      <c r="E12" s="246">
        <f>'6-PlantInService'!E11</f>
        <v>155688007.49363178</v>
      </c>
      <c r="F12" s="246">
        <f>'6-PlantInService'!F11</f>
        <v>1577974055.0093179</v>
      </c>
      <c r="G12" s="246">
        <f>'6-PlantInService'!G11</f>
        <v>606815940</v>
      </c>
      <c r="H12" s="246">
        <f>'6-PlantInService'!H11</f>
        <v>97176839</v>
      </c>
      <c r="I12" s="246">
        <f>'6-PlantInService'!I11</f>
        <v>405471016</v>
      </c>
      <c r="J12" s="246">
        <f>'6-PlantInService'!J11</f>
        <v>281034</v>
      </c>
      <c r="K12" s="246">
        <f>'6-PlantInService'!K11</f>
        <v>2305716</v>
      </c>
      <c r="L12" s="246">
        <f>'6-PlantInService'!L11</f>
        <v>27705032</v>
      </c>
      <c r="M12" s="246">
        <f>'6-PlantInService'!M11</f>
        <v>3033257788.8662786</v>
      </c>
    </row>
    <row r="13" spans="1:13" x14ac:dyDescent="0.2">
      <c r="A13" s="839">
        <f>A12+1</f>
        <v>2</v>
      </c>
      <c r="B13" s="1037" t="s">
        <v>2582</v>
      </c>
      <c r="C13" s="246">
        <f>'6-PlantInService'!C12</f>
        <v>79061049.370702162</v>
      </c>
      <c r="D13" s="246">
        <f>'6-PlantInService'!D12</f>
        <v>80812142.075636387</v>
      </c>
      <c r="E13" s="246">
        <f>'6-PlantInService'!E12</f>
        <v>156679809.86205167</v>
      </c>
      <c r="F13" s="246">
        <f>'6-PlantInService'!F12</f>
        <v>1579148595.373064</v>
      </c>
      <c r="G13" s="246">
        <f>'6-PlantInService'!G12</f>
        <v>617039954.30159843</v>
      </c>
      <c r="H13" s="246">
        <f>'6-PlantInService'!H12</f>
        <v>98925054.547617957</v>
      </c>
      <c r="I13" s="246">
        <f>'6-PlantInService'!I12</f>
        <v>409087479.04539222</v>
      </c>
      <c r="J13" s="246">
        <f>'6-PlantInService'!J12</f>
        <v>281594.37812070403</v>
      </c>
      <c r="K13" s="246">
        <f>'6-PlantInService'!K12</f>
        <v>2306363.4753104006</v>
      </c>
      <c r="L13" s="246">
        <f>'6-PlantInService'!L12</f>
        <v>28032650.706029277</v>
      </c>
      <c r="M13" s="246">
        <f>'6-PlantInService'!M12</f>
        <v>3051374693.1355233</v>
      </c>
    </row>
    <row r="14" spans="1:13" x14ac:dyDescent="0.2">
      <c r="A14" s="839">
        <f t="shared" ref="A14:A77" si="0">A13+1</f>
        <v>3</v>
      </c>
      <c r="B14" s="1036" t="s">
        <v>2583</v>
      </c>
      <c r="C14" s="246">
        <f>'6-PlantInService'!C13</f>
        <v>79050700.429181442</v>
      </c>
      <c r="D14" s="246">
        <f>'6-PlantInService'!D13</f>
        <v>80536888.22524257</v>
      </c>
      <c r="E14" s="246">
        <f>'6-PlantInService'!E13</f>
        <v>158036524.62832522</v>
      </c>
      <c r="F14" s="246">
        <f>'6-PlantInService'!F13</f>
        <v>1582379030.5621791</v>
      </c>
      <c r="G14" s="246">
        <f>'6-PlantInService'!G13</f>
        <v>616477256.24932384</v>
      </c>
      <c r="H14" s="246">
        <f>'6-PlantInService'!H13</f>
        <v>99531640.144623235</v>
      </c>
      <c r="I14" s="246">
        <f>'6-PlantInService'!I13</f>
        <v>409967456.92227983</v>
      </c>
      <c r="J14" s="246">
        <f>'6-PlantInService'!J13</f>
        <v>281594.50604355586</v>
      </c>
      <c r="K14" s="246">
        <f>'6-PlantInService'!K13</f>
        <v>2306502.5183222839</v>
      </c>
      <c r="L14" s="246">
        <f>'6-PlantInService'!L13</f>
        <v>28032651.910161883</v>
      </c>
      <c r="M14" s="246">
        <f>'6-PlantInService'!M13</f>
        <v>3056600246.0956831</v>
      </c>
    </row>
    <row r="15" spans="1:13" x14ac:dyDescent="0.2">
      <c r="A15" s="839">
        <f t="shared" si="0"/>
        <v>4</v>
      </c>
      <c r="B15" s="1036" t="s">
        <v>2584</v>
      </c>
      <c r="C15" s="246">
        <f>'6-PlantInService'!C14</f>
        <v>79053845.309883058</v>
      </c>
      <c r="D15" s="246">
        <f>'6-PlantInService'!D14</f>
        <v>80370943.794423178</v>
      </c>
      <c r="E15" s="246">
        <f>'6-PlantInService'!E14</f>
        <v>158713823.08362693</v>
      </c>
      <c r="F15" s="246">
        <f>'6-PlantInService'!F14</f>
        <v>1584998795.9697356</v>
      </c>
      <c r="G15" s="246">
        <f>'6-PlantInService'!G14</f>
        <v>617489738.85438538</v>
      </c>
      <c r="H15" s="246">
        <f>'6-PlantInService'!H14</f>
        <v>101072258.03910415</v>
      </c>
      <c r="I15" s="246">
        <f>'6-PlantInService'!I14</f>
        <v>410919859.17664337</v>
      </c>
      <c r="J15" s="246">
        <f>'6-PlantInService'!J14</f>
        <v>281591.35141775658</v>
      </c>
      <c r="K15" s="246">
        <f>'6-PlantInService'!K14</f>
        <v>2306504.9694691473</v>
      </c>
      <c r="L15" s="246">
        <f>'6-PlantInService'!L14</f>
        <v>28158412.01686969</v>
      </c>
      <c r="M15" s="246">
        <f>'6-PlantInService'!M14</f>
        <v>3063365772.565558</v>
      </c>
    </row>
    <row r="16" spans="1:13" x14ac:dyDescent="0.2">
      <c r="A16" s="839">
        <f t="shared" si="0"/>
        <v>5</v>
      </c>
      <c r="B16" s="1037" t="s">
        <v>2585</v>
      </c>
      <c r="C16" s="246">
        <f>'6-PlantInService'!C15</f>
        <v>79057069.095943868</v>
      </c>
      <c r="D16" s="246">
        <f>'6-PlantInService'!D15</f>
        <v>80248070.552409172</v>
      </c>
      <c r="E16" s="246">
        <f>'6-PlantInService'!E15</f>
        <v>160050690.79743281</v>
      </c>
      <c r="F16" s="246">
        <f>'6-PlantInService'!F15</f>
        <v>1586846684.875149</v>
      </c>
      <c r="G16" s="246">
        <f>'6-PlantInService'!G15</f>
        <v>617714621.05960214</v>
      </c>
      <c r="H16" s="246">
        <f>'6-PlantInService'!H15</f>
        <v>101652743.26904297</v>
      </c>
      <c r="I16" s="246">
        <f>'6-PlantInService'!I15</f>
        <v>411619189.79204738</v>
      </c>
      <c r="J16" s="246">
        <f>'6-PlantInService'!J15</f>
        <v>281592.52323935227</v>
      </c>
      <c r="K16" s="246">
        <f>'6-PlantInService'!K15</f>
        <v>2306330.0464106207</v>
      </c>
      <c r="L16" s="246">
        <f>'6-PlantInService'!L15</f>
        <v>28198679.093631461</v>
      </c>
      <c r="M16" s="246">
        <f>'6-PlantInService'!M15</f>
        <v>3067975671.1049085</v>
      </c>
    </row>
    <row r="17" spans="1:13" x14ac:dyDescent="0.2">
      <c r="A17" s="839">
        <f t="shared" si="0"/>
        <v>6</v>
      </c>
      <c r="B17" s="1036" t="s">
        <v>2586</v>
      </c>
      <c r="C17" s="246">
        <f>'6-PlantInService'!C16</f>
        <v>79057647.581324041</v>
      </c>
      <c r="D17" s="246">
        <f>'6-PlantInService'!D16</f>
        <v>80260655.191574872</v>
      </c>
      <c r="E17" s="246">
        <f>'6-PlantInService'!E16</f>
        <v>160012314.73267153</v>
      </c>
      <c r="F17" s="246">
        <f>'6-PlantInService'!F16</f>
        <v>1598448412.7219615</v>
      </c>
      <c r="G17" s="246">
        <f>'6-PlantInService'!G16</f>
        <v>618015817.87558293</v>
      </c>
      <c r="H17" s="246">
        <f>'6-PlantInService'!H16</f>
        <v>101511990.88064729</v>
      </c>
      <c r="I17" s="246">
        <f>'6-PlantInService'!I16</f>
        <v>410736002.11732966</v>
      </c>
      <c r="J17" s="246">
        <f>'6-PlantInService'!J16</f>
        <v>281592.52685981034</v>
      </c>
      <c r="K17" s="246">
        <f>'6-PlantInService'!K16</f>
        <v>2308754.4152494562</v>
      </c>
      <c r="L17" s="246">
        <f>'6-PlantInService'!L16</f>
        <v>28224887.544919059</v>
      </c>
      <c r="M17" s="246">
        <f>'6-PlantInService'!M16</f>
        <v>3078858075.58812</v>
      </c>
    </row>
    <row r="18" spans="1:13" x14ac:dyDescent="0.2">
      <c r="A18" s="839">
        <f t="shared" si="0"/>
        <v>7</v>
      </c>
      <c r="B18" s="1036" t="s">
        <v>2587</v>
      </c>
      <c r="C18" s="246">
        <f>'6-PlantInService'!C17</f>
        <v>79057689.194189265</v>
      </c>
      <c r="D18" s="246">
        <f>'6-PlantInService'!D17</f>
        <v>79813704.067958668</v>
      </c>
      <c r="E18" s="246">
        <f>'6-PlantInService'!E17</f>
        <v>160582930.4309099</v>
      </c>
      <c r="F18" s="246">
        <f>'6-PlantInService'!F17</f>
        <v>1614295504.5157509</v>
      </c>
      <c r="G18" s="246">
        <f>'6-PlantInService'!G17</f>
        <v>618044609.87346351</v>
      </c>
      <c r="H18" s="246">
        <f>'6-PlantInService'!H17</f>
        <v>102049318.21149142</v>
      </c>
      <c r="I18" s="246">
        <f>'6-PlantInService'!I17</f>
        <v>411071121.85290915</v>
      </c>
      <c r="J18" s="246">
        <f>'6-PlantInService'!J17</f>
        <v>281592.73563955911</v>
      </c>
      <c r="K18" s="246">
        <f>'6-PlantInService'!K17</f>
        <v>2308749.4626126862</v>
      </c>
      <c r="L18" s="246">
        <f>'6-PlantInService'!L17</f>
        <v>28238842.344579797</v>
      </c>
      <c r="M18" s="246">
        <f>'6-PlantInService'!M17</f>
        <v>3095744062.6895046</v>
      </c>
    </row>
    <row r="19" spans="1:13" x14ac:dyDescent="0.2">
      <c r="A19" s="839">
        <f t="shared" si="0"/>
        <v>8</v>
      </c>
      <c r="B19" s="1037" t="s">
        <v>2588</v>
      </c>
      <c r="C19" s="246">
        <f>'6-PlantInService'!C18</f>
        <v>75816432.780947223</v>
      </c>
      <c r="D19" s="246">
        <f>'6-PlantInService'!D18</f>
        <v>79028758.618102506</v>
      </c>
      <c r="E19" s="246">
        <f>'6-PlantInService'!E18</f>
        <v>161526474.74920157</v>
      </c>
      <c r="F19" s="246">
        <f>'6-PlantInService'!F18</f>
        <v>1619373667.0981226</v>
      </c>
      <c r="G19" s="246">
        <f>'6-PlantInService'!G18</f>
        <v>618129139.21670818</v>
      </c>
      <c r="H19" s="246">
        <f>'6-PlantInService'!H18</f>
        <v>103830188.75758122</v>
      </c>
      <c r="I19" s="246">
        <f>'6-PlantInService'!I18</f>
        <v>414325961.72571939</v>
      </c>
      <c r="J19" s="246">
        <f>'6-PlantInService'!J18</f>
        <v>281592.90338744974</v>
      </c>
      <c r="K19" s="246">
        <f>'6-PlantInService'!K18</f>
        <v>2307165.4019602733</v>
      </c>
      <c r="L19" s="246">
        <f>'6-PlantInService'!L18</f>
        <v>28254398.906368542</v>
      </c>
      <c r="M19" s="246">
        <f>'6-PlantInService'!M18</f>
        <v>3102873780.1580997</v>
      </c>
    </row>
    <row r="20" spans="1:13" x14ac:dyDescent="0.2">
      <c r="A20" s="839">
        <f t="shared" si="0"/>
        <v>9</v>
      </c>
      <c r="B20" s="1036" t="s">
        <v>2589</v>
      </c>
      <c r="C20" s="246">
        <f>'6-PlantInService'!C19</f>
        <v>76192904.532969743</v>
      </c>
      <c r="D20" s="246">
        <f>'6-PlantInService'!D19</f>
        <v>78824638.079824194</v>
      </c>
      <c r="E20" s="246">
        <f>'6-PlantInService'!E19</f>
        <v>163668406.65058562</v>
      </c>
      <c r="F20" s="246">
        <f>'6-PlantInService'!F19</f>
        <v>1621390268.0730956</v>
      </c>
      <c r="G20" s="246">
        <f>'6-PlantInService'!G19</f>
        <v>618794016.72765553</v>
      </c>
      <c r="H20" s="246">
        <f>'6-PlantInService'!H19</f>
        <v>103523234.67586793</v>
      </c>
      <c r="I20" s="246">
        <f>'6-PlantInService'!I19</f>
        <v>413590034.80598193</v>
      </c>
      <c r="J20" s="246">
        <f>'6-PlantInService'!J19</f>
        <v>282030.16059052962</v>
      </c>
      <c r="K20" s="246">
        <f>'6-PlantInService'!K19</f>
        <v>2305276.5488587548</v>
      </c>
      <c r="L20" s="246">
        <f>'6-PlantInService'!L19</f>
        <v>28279108.451287601</v>
      </c>
      <c r="M20" s="246">
        <f>'6-PlantInService'!M19</f>
        <v>3106849918.706718</v>
      </c>
    </row>
    <row r="21" spans="1:13" x14ac:dyDescent="0.2">
      <c r="A21" s="839">
        <f t="shared" si="0"/>
        <v>10</v>
      </c>
      <c r="B21" s="1036" t="s">
        <v>2590</v>
      </c>
      <c r="C21" s="246">
        <f>'6-PlantInService'!C20</f>
        <v>76144389.286186323</v>
      </c>
      <c r="D21" s="246">
        <f>'6-PlantInService'!D20</f>
        <v>77226394.299553558</v>
      </c>
      <c r="E21" s="246">
        <f>'6-PlantInService'!E20</f>
        <v>164323535.77741078</v>
      </c>
      <c r="F21" s="246">
        <f>'6-PlantInService'!F20</f>
        <v>1626864507.9543972</v>
      </c>
      <c r="G21" s="246">
        <f>'6-PlantInService'!G20</f>
        <v>623402444.4589082</v>
      </c>
      <c r="H21" s="246">
        <f>'6-PlantInService'!H20</f>
        <v>104616698.62415808</v>
      </c>
      <c r="I21" s="246">
        <f>'6-PlantInService'!I20</f>
        <v>413599535.0429076</v>
      </c>
      <c r="J21" s="246">
        <f>'6-PlantInService'!J20</f>
        <v>282799.974969731</v>
      </c>
      <c r="K21" s="246">
        <f>'6-PlantInService'!K20</f>
        <v>2306304.9576750873</v>
      </c>
      <c r="L21" s="246">
        <f>'6-PlantInService'!L20</f>
        <v>13521409.75080901</v>
      </c>
      <c r="M21" s="246">
        <f>'6-PlantInService'!M20</f>
        <v>3102288020.1269755</v>
      </c>
    </row>
    <row r="22" spans="1:13" x14ac:dyDescent="0.2">
      <c r="A22" s="839">
        <f t="shared" si="0"/>
        <v>11</v>
      </c>
      <c r="B22" s="1037" t="s">
        <v>2591</v>
      </c>
      <c r="C22" s="246">
        <f>'6-PlantInService'!C21</f>
        <v>76145470.156361446</v>
      </c>
      <c r="D22" s="246">
        <f>'6-PlantInService'!D21</f>
        <v>76394870.301226214</v>
      </c>
      <c r="E22" s="246">
        <f>'6-PlantInService'!E21</f>
        <v>167145766.64069074</v>
      </c>
      <c r="F22" s="246">
        <f>'6-PlantInService'!F21</f>
        <v>1631296284.64414</v>
      </c>
      <c r="G22" s="246">
        <f>'6-PlantInService'!G21</f>
        <v>625357678.79684067</v>
      </c>
      <c r="H22" s="246">
        <f>'6-PlantInService'!H21</f>
        <v>106485300.44247778</v>
      </c>
      <c r="I22" s="246">
        <f>'6-PlantInService'!I21</f>
        <v>415299183.50556475</v>
      </c>
      <c r="J22" s="246">
        <f>'6-PlantInService'!J21</f>
        <v>283722.54733632662</v>
      </c>
      <c r="K22" s="246">
        <f>'6-PlantInService'!K21</f>
        <v>2305504.6867519869</v>
      </c>
      <c r="L22" s="246">
        <f>'6-PlantInService'!L21</f>
        <v>28435472.808943741</v>
      </c>
      <c r="M22" s="246">
        <f>'6-PlantInService'!M21</f>
        <v>3129149254.530333</v>
      </c>
    </row>
    <row r="23" spans="1:13" x14ac:dyDescent="0.2">
      <c r="A23" s="839">
        <f t="shared" si="0"/>
        <v>12</v>
      </c>
      <c r="B23" s="1037" t="s">
        <v>2592</v>
      </c>
      <c r="C23" s="246">
        <f>'6-PlantInService'!C22</f>
        <v>76154959.217543766</v>
      </c>
      <c r="D23" s="246">
        <f>'6-PlantInService'!D22</f>
        <v>76088656.61937876</v>
      </c>
      <c r="E23" s="246">
        <f>'6-PlantInService'!E22</f>
        <v>167625890.81706083</v>
      </c>
      <c r="F23" s="246">
        <f>'6-PlantInService'!F22</f>
        <v>1642651694.7998681</v>
      </c>
      <c r="G23" s="246">
        <f>'6-PlantInService'!G22</f>
        <v>627478806.53800893</v>
      </c>
      <c r="H23" s="246">
        <f>'6-PlantInService'!H22</f>
        <v>109440988.83480842</v>
      </c>
      <c r="I23" s="246">
        <f>'6-PlantInService'!I22</f>
        <v>417992815.01163709</v>
      </c>
      <c r="J23" s="246">
        <f>'6-PlantInService'!J22</f>
        <v>283769.10280666297</v>
      </c>
      <c r="K23" s="246">
        <f>'6-PlantInService'!K22</f>
        <v>2303584.228287606</v>
      </c>
      <c r="L23" s="246">
        <f>'6-PlantInService'!L22</f>
        <v>28603486.153523535</v>
      </c>
      <c r="M23" s="246">
        <f>'6-PlantInService'!M22</f>
        <v>3148624651.3229237</v>
      </c>
    </row>
    <row r="24" spans="1:13" x14ac:dyDescent="0.2">
      <c r="A24" s="839">
        <f t="shared" si="0"/>
        <v>13</v>
      </c>
      <c r="B24" s="1036" t="s">
        <v>2593</v>
      </c>
      <c r="C24" s="246">
        <f>'6-PlantInService'!C23</f>
        <v>76155076</v>
      </c>
      <c r="D24" s="246">
        <f>'6-PlantInService'!D23</f>
        <v>77823202</v>
      </c>
      <c r="E24" s="246">
        <f>'6-PlantInService'!E23</f>
        <v>175457663</v>
      </c>
      <c r="F24" s="246">
        <f>'6-PlantInService'!F23</f>
        <v>1680213303</v>
      </c>
      <c r="G24" s="246">
        <f>'6-PlantInService'!G23</f>
        <v>625307190</v>
      </c>
      <c r="H24" s="246">
        <f>'6-PlantInService'!H23</f>
        <v>113770199</v>
      </c>
      <c r="I24" s="246">
        <f>'6-PlantInService'!I23</f>
        <v>422173397</v>
      </c>
      <c r="J24" s="246">
        <f>'6-PlantInService'!J23</f>
        <v>284096</v>
      </c>
      <c r="K24" s="246">
        <f>'6-PlantInService'!K23</f>
        <v>2302928</v>
      </c>
      <c r="L24" s="246">
        <f>'6-PlantInService'!L23</f>
        <v>28619068</v>
      </c>
      <c r="M24" s="246">
        <f>'6-PlantInService'!M23</f>
        <v>3202106122</v>
      </c>
    </row>
    <row r="25" spans="1:13" x14ac:dyDescent="0.2">
      <c r="A25" s="839">
        <f t="shared" si="0"/>
        <v>14</v>
      </c>
      <c r="B25" s="244"/>
      <c r="C25" s="244"/>
      <c r="D25" s="244"/>
      <c r="E25" s="244"/>
      <c r="F25" s="244"/>
      <c r="G25" s="244"/>
      <c r="H25" s="244"/>
      <c r="I25" s="244"/>
      <c r="J25" s="244"/>
      <c r="K25" s="244"/>
      <c r="L25" s="244"/>
      <c r="M25" s="244"/>
    </row>
    <row r="26" spans="1:13" x14ac:dyDescent="0.2">
      <c r="A26" s="839">
        <f t="shared" si="0"/>
        <v>15</v>
      </c>
      <c r="B26" s="925" t="s">
        <v>3123</v>
      </c>
      <c r="C26" s="254"/>
      <c r="D26" s="254"/>
      <c r="E26" s="254"/>
      <c r="F26" s="254"/>
      <c r="G26" s="254"/>
      <c r="H26" s="254"/>
      <c r="I26" s="244"/>
      <c r="J26" s="244"/>
      <c r="K26" s="244"/>
      <c r="L26" s="244"/>
      <c r="M26" s="244"/>
    </row>
    <row r="27" spans="1:13" x14ac:dyDescent="0.2">
      <c r="A27" s="839"/>
      <c r="B27" s="117"/>
      <c r="C27" s="254"/>
      <c r="D27" s="254"/>
      <c r="E27" s="254"/>
      <c r="F27" s="254"/>
      <c r="G27" s="244"/>
      <c r="H27" s="244"/>
      <c r="I27" s="244"/>
      <c r="J27" s="244"/>
      <c r="K27" s="244"/>
      <c r="L27" s="244"/>
      <c r="M27" s="244"/>
    </row>
    <row r="28" spans="1:13" x14ac:dyDescent="0.2">
      <c r="A28" s="839"/>
      <c r="B28" s="117"/>
      <c r="C28" s="254"/>
      <c r="D28" s="254"/>
      <c r="E28" s="254"/>
      <c r="F28" s="254"/>
      <c r="G28" s="244"/>
      <c r="H28" s="244"/>
      <c r="I28" s="244"/>
      <c r="J28" s="244"/>
      <c r="K28" s="244"/>
      <c r="L28" s="244"/>
      <c r="M28" s="244"/>
    </row>
    <row r="29" spans="1:13" x14ac:dyDescent="0.2">
      <c r="A29" s="839">
        <f>A26+1</f>
        <v>16</v>
      </c>
      <c r="B29" s="131" t="s">
        <v>2580</v>
      </c>
      <c r="C29" s="385">
        <v>350.1</v>
      </c>
      <c r="D29" s="385">
        <v>350.2</v>
      </c>
      <c r="E29" s="385">
        <v>352</v>
      </c>
      <c r="F29" s="385">
        <v>353</v>
      </c>
      <c r="G29" s="88">
        <v>354</v>
      </c>
      <c r="H29" s="88">
        <v>355</v>
      </c>
      <c r="I29" s="88">
        <v>356</v>
      </c>
      <c r="J29" s="88">
        <v>357</v>
      </c>
      <c r="K29" s="88">
        <v>358</v>
      </c>
      <c r="L29" s="88">
        <v>359</v>
      </c>
      <c r="M29" s="3"/>
    </row>
    <row r="30" spans="1:13" x14ac:dyDescent="0.2">
      <c r="A30" s="839" t="s">
        <v>3124</v>
      </c>
      <c r="B30" s="1036" t="s">
        <v>2581</v>
      </c>
      <c r="C30" s="1038">
        <v>0</v>
      </c>
      <c r="D30" s="1038">
        <v>1.66E-2</v>
      </c>
      <c r="E30" s="1038">
        <v>2.5700000000000001E-2</v>
      </c>
      <c r="F30" s="1038">
        <v>2.47E-2</v>
      </c>
      <c r="G30" s="1038">
        <v>2.4400000000000002E-2</v>
      </c>
      <c r="H30" s="1038">
        <v>3.6700000000000003E-2</v>
      </c>
      <c r="I30" s="1038">
        <v>3.0499999999999999E-2</v>
      </c>
      <c r="J30" s="1038">
        <v>1.6500000000000001E-2</v>
      </c>
      <c r="K30" s="1038">
        <v>3.8699999999999998E-2</v>
      </c>
      <c r="L30" s="1038">
        <v>1.5599999999999999E-2</v>
      </c>
      <c r="M30" s="244"/>
    </row>
    <row r="31" spans="1:13" x14ac:dyDescent="0.2">
      <c r="A31" s="839" t="s">
        <v>3125</v>
      </c>
      <c r="B31" s="1037" t="s">
        <v>2582</v>
      </c>
      <c r="C31" s="1038">
        <v>0</v>
      </c>
      <c r="D31" s="1038">
        <v>1.66E-2</v>
      </c>
      <c r="E31" s="1038">
        <v>2.5700000000000001E-2</v>
      </c>
      <c r="F31" s="1038">
        <v>2.47E-2</v>
      </c>
      <c r="G31" s="1038">
        <v>2.4400000000000002E-2</v>
      </c>
      <c r="H31" s="1038">
        <v>3.6700000000000003E-2</v>
      </c>
      <c r="I31" s="1038">
        <v>3.0499999999999999E-2</v>
      </c>
      <c r="J31" s="1038">
        <v>1.6500000000000001E-2</v>
      </c>
      <c r="K31" s="1038">
        <v>3.8699999999999998E-2</v>
      </c>
      <c r="L31" s="1038">
        <v>1.5599999999999999E-2</v>
      </c>
      <c r="M31" s="244"/>
    </row>
    <row r="32" spans="1:13" x14ac:dyDescent="0.2">
      <c r="A32" s="839" t="s">
        <v>3126</v>
      </c>
      <c r="B32" s="1036" t="s">
        <v>2583</v>
      </c>
      <c r="C32" s="1038">
        <v>0</v>
      </c>
      <c r="D32" s="1038">
        <v>1.66E-2</v>
      </c>
      <c r="E32" s="1038">
        <v>2.5700000000000001E-2</v>
      </c>
      <c r="F32" s="1038">
        <v>2.47E-2</v>
      </c>
      <c r="G32" s="1038">
        <v>2.4400000000000002E-2</v>
      </c>
      <c r="H32" s="1038">
        <v>3.6700000000000003E-2</v>
      </c>
      <c r="I32" s="1038">
        <v>3.0499999999999999E-2</v>
      </c>
      <c r="J32" s="1038">
        <v>1.6500000000000001E-2</v>
      </c>
      <c r="K32" s="1038">
        <v>3.8699999999999998E-2</v>
      </c>
      <c r="L32" s="1038">
        <v>1.5599999999999999E-2</v>
      </c>
      <c r="M32" s="244"/>
    </row>
    <row r="33" spans="1:13" x14ac:dyDescent="0.2">
      <c r="A33" s="839" t="s">
        <v>3127</v>
      </c>
      <c r="B33" s="1036" t="s">
        <v>2584</v>
      </c>
      <c r="C33" s="1038">
        <v>0</v>
      </c>
      <c r="D33" s="1038">
        <v>1.66E-2</v>
      </c>
      <c r="E33" s="1038">
        <v>2.5700000000000001E-2</v>
      </c>
      <c r="F33" s="1038">
        <v>2.47E-2</v>
      </c>
      <c r="G33" s="1038">
        <v>2.4400000000000002E-2</v>
      </c>
      <c r="H33" s="1038">
        <v>3.6700000000000003E-2</v>
      </c>
      <c r="I33" s="1038">
        <v>3.0499999999999999E-2</v>
      </c>
      <c r="J33" s="1038">
        <v>1.6500000000000001E-2</v>
      </c>
      <c r="K33" s="1038">
        <v>3.8699999999999998E-2</v>
      </c>
      <c r="L33" s="1038">
        <v>1.5599999999999999E-2</v>
      </c>
      <c r="M33" s="244"/>
    </row>
    <row r="34" spans="1:13" x14ac:dyDescent="0.2">
      <c r="A34" s="839" t="s">
        <v>3128</v>
      </c>
      <c r="B34" s="1037" t="s">
        <v>2585</v>
      </c>
      <c r="C34" s="1038">
        <v>0</v>
      </c>
      <c r="D34" s="1038">
        <v>1.66E-2</v>
      </c>
      <c r="E34" s="1038">
        <v>2.5700000000000001E-2</v>
      </c>
      <c r="F34" s="1038">
        <v>2.47E-2</v>
      </c>
      <c r="G34" s="1038">
        <v>2.4400000000000002E-2</v>
      </c>
      <c r="H34" s="1038">
        <v>3.6700000000000003E-2</v>
      </c>
      <c r="I34" s="1038">
        <v>3.0499999999999999E-2</v>
      </c>
      <c r="J34" s="1038">
        <v>1.6500000000000001E-2</v>
      </c>
      <c r="K34" s="1038">
        <v>3.8699999999999998E-2</v>
      </c>
      <c r="L34" s="1038">
        <v>1.5599999999999999E-2</v>
      </c>
      <c r="M34" s="244"/>
    </row>
    <row r="35" spans="1:13" x14ac:dyDescent="0.2">
      <c r="A35" s="839" t="s">
        <v>3129</v>
      </c>
      <c r="B35" s="1036" t="s">
        <v>2586</v>
      </c>
      <c r="C35" s="1038">
        <v>0</v>
      </c>
      <c r="D35" s="1038">
        <v>1.66E-2</v>
      </c>
      <c r="E35" s="1038">
        <v>2.5700000000000001E-2</v>
      </c>
      <c r="F35" s="1038">
        <v>2.47E-2</v>
      </c>
      <c r="G35" s="1038">
        <v>2.4400000000000002E-2</v>
      </c>
      <c r="H35" s="1038">
        <v>3.6700000000000003E-2</v>
      </c>
      <c r="I35" s="1038">
        <v>3.0499999999999999E-2</v>
      </c>
      <c r="J35" s="1038">
        <v>1.6500000000000001E-2</v>
      </c>
      <c r="K35" s="1038">
        <v>3.8699999999999998E-2</v>
      </c>
      <c r="L35" s="1038">
        <v>1.5599999999999999E-2</v>
      </c>
      <c r="M35" s="244"/>
    </row>
    <row r="36" spans="1:13" x14ac:dyDescent="0.2">
      <c r="A36" s="839" t="s">
        <v>3130</v>
      </c>
      <c r="B36" s="1036" t="s">
        <v>2587</v>
      </c>
      <c r="C36" s="1038">
        <v>0</v>
      </c>
      <c r="D36" s="1038">
        <v>1.66E-2</v>
      </c>
      <c r="E36" s="1038">
        <v>2.5700000000000001E-2</v>
      </c>
      <c r="F36" s="1038">
        <v>2.47E-2</v>
      </c>
      <c r="G36" s="1038">
        <v>2.4400000000000002E-2</v>
      </c>
      <c r="H36" s="1038">
        <v>3.6700000000000003E-2</v>
      </c>
      <c r="I36" s="1038">
        <v>3.0499999999999999E-2</v>
      </c>
      <c r="J36" s="1038">
        <v>1.6500000000000001E-2</v>
      </c>
      <c r="K36" s="1038">
        <v>3.8699999999999998E-2</v>
      </c>
      <c r="L36" s="1038">
        <v>1.5599999999999999E-2</v>
      </c>
      <c r="M36" s="244"/>
    </row>
    <row r="37" spans="1:13" x14ac:dyDescent="0.2">
      <c r="A37" s="839" t="s">
        <v>3131</v>
      </c>
      <c r="B37" s="1037" t="s">
        <v>2588</v>
      </c>
      <c r="C37" s="1038">
        <v>0</v>
      </c>
      <c r="D37" s="1038">
        <v>1.66E-2</v>
      </c>
      <c r="E37" s="1038">
        <v>2.5700000000000001E-2</v>
      </c>
      <c r="F37" s="1038">
        <v>2.47E-2</v>
      </c>
      <c r="G37" s="1038">
        <v>2.4400000000000002E-2</v>
      </c>
      <c r="H37" s="1038">
        <v>3.6700000000000003E-2</v>
      </c>
      <c r="I37" s="1038">
        <v>3.0499999999999999E-2</v>
      </c>
      <c r="J37" s="1038">
        <v>1.6500000000000001E-2</v>
      </c>
      <c r="K37" s="1038">
        <v>3.8699999999999998E-2</v>
      </c>
      <c r="L37" s="1038">
        <v>1.5599999999999999E-2</v>
      </c>
      <c r="M37" s="244"/>
    </row>
    <row r="38" spans="1:13" x14ac:dyDescent="0.2">
      <c r="A38" s="839" t="s">
        <v>3132</v>
      </c>
      <c r="B38" s="1036" t="s">
        <v>2589</v>
      </c>
      <c r="C38" s="1038">
        <v>0</v>
      </c>
      <c r="D38" s="1038">
        <v>1.66E-2</v>
      </c>
      <c r="E38" s="1038">
        <v>2.5700000000000001E-2</v>
      </c>
      <c r="F38" s="1038">
        <v>2.47E-2</v>
      </c>
      <c r="G38" s="1038">
        <v>2.4400000000000002E-2</v>
      </c>
      <c r="H38" s="1038">
        <v>3.6700000000000003E-2</v>
      </c>
      <c r="I38" s="1038">
        <v>3.0499999999999999E-2</v>
      </c>
      <c r="J38" s="1038">
        <v>1.6500000000000001E-2</v>
      </c>
      <c r="K38" s="1038">
        <v>3.8699999999999998E-2</v>
      </c>
      <c r="L38" s="1038">
        <v>1.5599999999999999E-2</v>
      </c>
      <c r="M38" s="244"/>
    </row>
    <row r="39" spans="1:13" x14ac:dyDescent="0.2">
      <c r="A39" s="839" t="s">
        <v>3133</v>
      </c>
      <c r="B39" s="1036" t="s">
        <v>2590</v>
      </c>
      <c r="C39" s="1038">
        <v>0</v>
      </c>
      <c r="D39" s="1038">
        <v>1.66E-2</v>
      </c>
      <c r="E39" s="1038">
        <v>2.5700000000000001E-2</v>
      </c>
      <c r="F39" s="1038">
        <v>2.47E-2</v>
      </c>
      <c r="G39" s="1038">
        <v>2.4400000000000002E-2</v>
      </c>
      <c r="H39" s="1038">
        <v>3.6700000000000003E-2</v>
      </c>
      <c r="I39" s="1038">
        <v>3.0499999999999999E-2</v>
      </c>
      <c r="J39" s="1038">
        <v>1.6500000000000001E-2</v>
      </c>
      <c r="K39" s="1038">
        <v>3.8699999999999998E-2</v>
      </c>
      <c r="L39" s="1038">
        <v>1.5599999999999999E-2</v>
      </c>
      <c r="M39" s="244"/>
    </row>
    <row r="40" spans="1:13" x14ac:dyDescent="0.2">
      <c r="A40" s="839" t="s">
        <v>3134</v>
      </c>
      <c r="B40" s="1037" t="s">
        <v>2591</v>
      </c>
      <c r="C40" s="1038">
        <v>0</v>
      </c>
      <c r="D40" s="1038">
        <v>1.66E-2</v>
      </c>
      <c r="E40" s="1038">
        <v>2.5700000000000001E-2</v>
      </c>
      <c r="F40" s="1038">
        <v>2.47E-2</v>
      </c>
      <c r="G40" s="1038">
        <v>2.4400000000000002E-2</v>
      </c>
      <c r="H40" s="1038">
        <v>3.6700000000000003E-2</v>
      </c>
      <c r="I40" s="1038">
        <v>3.0499999999999999E-2</v>
      </c>
      <c r="J40" s="1038">
        <v>1.6500000000000001E-2</v>
      </c>
      <c r="K40" s="1038">
        <v>3.8699999999999998E-2</v>
      </c>
      <c r="L40" s="1038">
        <v>1.5599999999999999E-2</v>
      </c>
      <c r="M40" s="244"/>
    </row>
    <row r="41" spans="1:13" x14ac:dyDescent="0.2">
      <c r="A41" s="839" t="s">
        <v>3135</v>
      </c>
      <c r="B41" s="1037" t="s">
        <v>2592</v>
      </c>
      <c r="C41" s="1038">
        <v>0</v>
      </c>
      <c r="D41" s="1038">
        <v>1.66E-2</v>
      </c>
      <c r="E41" s="1038">
        <v>2.5700000000000001E-2</v>
      </c>
      <c r="F41" s="1038">
        <v>2.47E-2</v>
      </c>
      <c r="G41" s="1038">
        <v>2.4400000000000002E-2</v>
      </c>
      <c r="H41" s="1038">
        <v>3.6700000000000003E-2</v>
      </c>
      <c r="I41" s="1038">
        <v>3.0499999999999999E-2</v>
      </c>
      <c r="J41" s="1038">
        <v>1.6500000000000001E-2</v>
      </c>
      <c r="K41" s="1038">
        <v>3.8699999999999998E-2</v>
      </c>
      <c r="L41" s="1038">
        <v>1.5599999999999999E-2</v>
      </c>
      <c r="M41" s="244"/>
    </row>
    <row r="42" spans="1:13" x14ac:dyDescent="0.2">
      <c r="A42" s="839" t="s">
        <v>3136</v>
      </c>
      <c r="B42" s="1036" t="s">
        <v>2593</v>
      </c>
      <c r="C42" s="1038">
        <v>0</v>
      </c>
      <c r="D42" s="1038">
        <v>1.66E-2</v>
      </c>
      <c r="E42" s="1038">
        <v>2.5700000000000001E-2</v>
      </c>
      <c r="F42" s="1038">
        <v>2.47E-2</v>
      </c>
      <c r="G42" s="1038">
        <v>2.4400000000000002E-2</v>
      </c>
      <c r="H42" s="1038">
        <v>3.6700000000000003E-2</v>
      </c>
      <c r="I42" s="1038">
        <v>3.0499999999999999E-2</v>
      </c>
      <c r="J42" s="1038">
        <v>1.6500000000000001E-2</v>
      </c>
      <c r="K42" s="1038">
        <v>3.8699999999999998E-2</v>
      </c>
      <c r="L42" s="1038">
        <v>1.5599999999999999E-2</v>
      </c>
      <c r="M42" s="244"/>
    </row>
    <row r="43" spans="1:13" x14ac:dyDescent="0.2">
      <c r="A43" s="839">
        <v>18</v>
      </c>
      <c r="C43" s="393"/>
      <c r="D43" s="393"/>
      <c r="E43" s="393"/>
      <c r="F43" s="393"/>
      <c r="G43" s="393"/>
      <c r="H43" s="393"/>
      <c r="I43" s="393"/>
      <c r="J43" s="393"/>
      <c r="K43" s="393"/>
      <c r="L43" s="393"/>
      <c r="M43" s="244"/>
    </row>
    <row r="44" spans="1:13" x14ac:dyDescent="0.2">
      <c r="A44" s="839">
        <f t="shared" si="0"/>
        <v>19</v>
      </c>
      <c r="B44" s="649" t="s">
        <v>1080</v>
      </c>
      <c r="C44" s="393"/>
      <c r="D44" s="393"/>
      <c r="E44" s="393"/>
      <c r="F44" s="393"/>
      <c r="G44" s="754" t="s">
        <v>2484</v>
      </c>
      <c r="H44" s="255"/>
      <c r="I44" s="255"/>
      <c r="J44" s="393"/>
      <c r="K44" s="393"/>
      <c r="L44" s="393"/>
      <c r="M44" s="244"/>
    </row>
    <row r="45" spans="1:13" x14ac:dyDescent="0.2">
      <c r="A45" s="839">
        <f t="shared" si="0"/>
        <v>20</v>
      </c>
      <c r="B45" s="244"/>
      <c r="C45" s="244"/>
      <c r="D45" s="244"/>
      <c r="E45" s="244"/>
      <c r="F45" s="244"/>
      <c r="G45" s="244"/>
      <c r="H45" s="244"/>
      <c r="I45" s="244"/>
      <c r="J45" s="244"/>
      <c r="K45" s="244"/>
      <c r="L45" s="244"/>
      <c r="M45" s="244"/>
    </row>
    <row r="46" spans="1:13" x14ac:dyDescent="0.2">
      <c r="A46" s="839">
        <f t="shared" si="0"/>
        <v>21</v>
      </c>
      <c r="B46" s="117"/>
      <c r="C46" s="756" t="s">
        <v>13</v>
      </c>
      <c r="D46" s="244"/>
      <c r="E46" s="244"/>
      <c r="F46" s="244"/>
      <c r="G46" s="244"/>
      <c r="H46" s="244"/>
      <c r="I46" s="244"/>
      <c r="J46" s="244"/>
      <c r="K46" s="244"/>
      <c r="L46" s="244"/>
      <c r="M46" s="244"/>
    </row>
    <row r="47" spans="1:13" x14ac:dyDescent="0.2">
      <c r="A47" s="839">
        <f t="shared" si="0"/>
        <v>22</v>
      </c>
      <c r="B47" s="117"/>
      <c r="C47" s="756" t="s">
        <v>1077</v>
      </c>
      <c r="D47" s="244"/>
      <c r="E47" s="244"/>
      <c r="F47" s="244"/>
      <c r="G47" s="244"/>
      <c r="H47" s="244"/>
      <c r="I47" s="244"/>
      <c r="J47" s="244"/>
      <c r="K47" s="244"/>
      <c r="L47" s="244"/>
      <c r="M47" s="839" t="s">
        <v>222</v>
      </c>
    </row>
    <row r="48" spans="1:13" x14ac:dyDescent="0.2">
      <c r="A48" s="839">
        <f t="shared" si="0"/>
        <v>23</v>
      </c>
      <c r="B48" s="131" t="s">
        <v>2580</v>
      </c>
      <c r="C48" s="88">
        <v>350.1</v>
      </c>
      <c r="D48" s="88">
        <v>350.2</v>
      </c>
      <c r="E48" s="88">
        <v>352</v>
      </c>
      <c r="F48" s="88">
        <v>353</v>
      </c>
      <c r="G48" s="88">
        <v>354</v>
      </c>
      <c r="H48" s="88">
        <v>355</v>
      </c>
      <c r="I48" s="88">
        <v>356</v>
      </c>
      <c r="J48" s="88">
        <v>357</v>
      </c>
      <c r="K48" s="88">
        <v>358</v>
      </c>
      <c r="L48" s="88">
        <v>359</v>
      </c>
      <c r="M48" s="3" t="s">
        <v>226</v>
      </c>
    </row>
    <row r="49" spans="1:13" x14ac:dyDescent="0.2">
      <c r="A49" s="839">
        <f t="shared" si="0"/>
        <v>24</v>
      </c>
      <c r="B49" s="1037" t="s">
        <v>2582</v>
      </c>
      <c r="C49" s="248">
        <f t="shared" ref="C49:C60" si="1">C12*$C$30/12</f>
        <v>0</v>
      </c>
      <c r="D49" s="248">
        <f t="shared" ref="D49:D60" si="2">D12*$D30/12</f>
        <v>111746.42143549262</v>
      </c>
      <c r="E49" s="248">
        <f t="shared" ref="E49:E60" si="3">E12*$E30/12</f>
        <v>333431.81604886142</v>
      </c>
      <c r="F49" s="248">
        <f t="shared" ref="F49:F60" si="4">F12*$F30/12</f>
        <v>3247996.5965608456</v>
      </c>
      <c r="G49" s="248">
        <f t="shared" ref="G49:G60" si="5">G12*$G30/12</f>
        <v>1233859.078</v>
      </c>
      <c r="H49" s="248">
        <f t="shared" ref="H49:H60" si="6">H12*$H30/12</f>
        <v>297199.1659416667</v>
      </c>
      <c r="I49" s="248">
        <f t="shared" ref="I49:I60" si="7">I12*$I30/12</f>
        <v>1030572.1656666667</v>
      </c>
      <c r="J49" s="248">
        <f t="shared" ref="J49:J60" si="8">J12*$J30/12</f>
        <v>386.42175000000003</v>
      </c>
      <c r="K49" s="248">
        <f t="shared" ref="K49:K60" si="9">K12*$K30/12</f>
        <v>7435.9340999999995</v>
      </c>
      <c r="L49" s="248">
        <f t="shared" ref="L49:L60" si="10">L12*$L30/12</f>
        <v>36016.541599999997</v>
      </c>
      <c r="M49" s="246">
        <f>SUM(C49:L49)</f>
        <v>6298644.1411035331</v>
      </c>
    </row>
    <row r="50" spans="1:13" x14ac:dyDescent="0.2">
      <c r="A50" s="839">
        <f t="shared" si="0"/>
        <v>25</v>
      </c>
      <c r="B50" s="1036" t="s">
        <v>2583</v>
      </c>
      <c r="C50" s="248">
        <f t="shared" si="1"/>
        <v>0</v>
      </c>
      <c r="D50" s="248">
        <f t="shared" si="2"/>
        <v>111790.129871297</v>
      </c>
      <c r="E50" s="248">
        <f t="shared" si="3"/>
        <v>335555.92612122733</v>
      </c>
      <c r="F50" s="248">
        <f t="shared" si="4"/>
        <v>3250414.1921428903</v>
      </c>
      <c r="G50" s="248">
        <f t="shared" si="5"/>
        <v>1254647.9070799169</v>
      </c>
      <c r="H50" s="248">
        <f t="shared" si="6"/>
        <v>302545.79182479827</v>
      </c>
      <c r="I50" s="248">
        <f t="shared" si="7"/>
        <v>1039764.0092403718</v>
      </c>
      <c r="J50" s="248">
        <f t="shared" si="8"/>
        <v>387.1922699159681</v>
      </c>
      <c r="K50" s="248">
        <f t="shared" si="9"/>
        <v>7438.0222078760416</v>
      </c>
      <c r="L50" s="248">
        <f t="shared" si="10"/>
        <v>36442.445917838057</v>
      </c>
      <c r="M50" s="246">
        <f t="shared" ref="M50:M60" si="11">SUM(C50:L50)</f>
        <v>6338985.6166761313</v>
      </c>
    </row>
    <row r="51" spans="1:13" x14ac:dyDescent="0.2">
      <c r="A51" s="839">
        <f t="shared" si="0"/>
        <v>26</v>
      </c>
      <c r="B51" s="1036" t="s">
        <v>2584</v>
      </c>
      <c r="C51" s="248">
        <f t="shared" si="1"/>
        <v>0</v>
      </c>
      <c r="D51" s="248">
        <f t="shared" si="2"/>
        <v>111409.36204491889</v>
      </c>
      <c r="E51" s="248">
        <f t="shared" si="3"/>
        <v>338461.55691232986</v>
      </c>
      <c r="F51" s="248">
        <f t="shared" si="4"/>
        <v>3257063.5045738183</v>
      </c>
      <c r="G51" s="248">
        <f t="shared" si="5"/>
        <v>1253503.7543736252</v>
      </c>
      <c r="H51" s="248">
        <f t="shared" si="6"/>
        <v>304400.93277563941</v>
      </c>
      <c r="I51" s="248">
        <f t="shared" si="7"/>
        <v>1042000.6196774612</v>
      </c>
      <c r="J51" s="248">
        <f t="shared" si="8"/>
        <v>387.19244580988931</v>
      </c>
      <c r="K51" s="248">
        <f t="shared" si="9"/>
        <v>7438.4706215893648</v>
      </c>
      <c r="L51" s="248">
        <f t="shared" si="10"/>
        <v>36442.447483210446</v>
      </c>
      <c r="M51" s="246">
        <f t="shared" si="11"/>
        <v>6351107.8409084026</v>
      </c>
    </row>
    <row r="52" spans="1:13" x14ac:dyDescent="0.2">
      <c r="A52" s="839">
        <f t="shared" si="0"/>
        <v>27</v>
      </c>
      <c r="B52" s="1037" t="s">
        <v>2585</v>
      </c>
      <c r="C52" s="248">
        <f t="shared" si="1"/>
        <v>0</v>
      </c>
      <c r="D52" s="248">
        <f t="shared" si="2"/>
        <v>111179.80558228539</v>
      </c>
      <c r="E52" s="248">
        <f t="shared" si="3"/>
        <v>339912.10443743435</v>
      </c>
      <c r="F52" s="248">
        <f t="shared" si="4"/>
        <v>3262455.855037706</v>
      </c>
      <c r="G52" s="248">
        <f t="shared" si="5"/>
        <v>1255562.469003917</v>
      </c>
      <c r="H52" s="248">
        <f t="shared" si="6"/>
        <v>309112.65583626024</v>
      </c>
      <c r="I52" s="248">
        <f t="shared" si="7"/>
        <v>1044421.3087406353</v>
      </c>
      <c r="J52" s="248">
        <f t="shared" si="8"/>
        <v>387.18810819941535</v>
      </c>
      <c r="K52" s="248">
        <f t="shared" si="9"/>
        <v>7438.4785265379987</v>
      </c>
      <c r="L52" s="248">
        <f t="shared" si="10"/>
        <v>36605.935621930599</v>
      </c>
      <c r="M52" s="246">
        <f t="shared" si="11"/>
        <v>6367075.8008949058</v>
      </c>
    </row>
    <row r="53" spans="1:13" x14ac:dyDescent="0.2">
      <c r="A53" s="839">
        <f t="shared" si="0"/>
        <v>28</v>
      </c>
      <c r="B53" s="1036" t="s">
        <v>2586</v>
      </c>
      <c r="C53" s="248">
        <f t="shared" si="1"/>
        <v>0</v>
      </c>
      <c r="D53" s="248">
        <f t="shared" si="2"/>
        <v>111009.8309308327</v>
      </c>
      <c r="E53" s="248">
        <f t="shared" si="3"/>
        <v>342775.22945783526</v>
      </c>
      <c r="F53" s="248">
        <f t="shared" si="4"/>
        <v>3266259.4263680149</v>
      </c>
      <c r="G53" s="248">
        <f t="shared" si="5"/>
        <v>1256019.7294878578</v>
      </c>
      <c r="H53" s="248">
        <f t="shared" si="6"/>
        <v>310887.97316448978</v>
      </c>
      <c r="I53" s="248">
        <f t="shared" si="7"/>
        <v>1046198.7740547871</v>
      </c>
      <c r="J53" s="248">
        <f t="shared" si="8"/>
        <v>387.18971945410937</v>
      </c>
      <c r="K53" s="248">
        <f t="shared" si="9"/>
        <v>7437.9143996742505</v>
      </c>
      <c r="L53" s="248">
        <f t="shared" si="10"/>
        <v>36658.282821720895</v>
      </c>
      <c r="M53" s="246">
        <f t="shared" si="11"/>
        <v>6377634.3504046667</v>
      </c>
    </row>
    <row r="54" spans="1:13" x14ac:dyDescent="0.2">
      <c r="A54" s="839">
        <f t="shared" si="0"/>
        <v>29</v>
      </c>
      <c r="B54" s="1036" t="s">
        <v>2587</v>
      </c>
      <c r="C54" s="248">
        <f t="shared" si="1"/>
        <v>0</v>
      </c>
      <c r="D54" s="248">
        <f t="shared" si="2"/>
        <v>111027.23968167858</v>
      </c>
      <c r="E54" s="248">
        <f t="shared" si="3"/>
        <v>342693.04071913817</v>
      </c>
      <c r="F54" s="248">
        <f t="shared" si="4"/>
        <v>3290139.6495193709</v>
      </c>
      <c r="G54" s="248">
        <f t="shared" si="5"/>
        <v>1256632.1630136853</v>
      </c>
      <c r="H54" s="248">
        <f t="shared" si="6"/>
        <v>310457.50544331298</v>
      </c>
      <c r="I54" s="248">
        <f t="shared" si="7"/>
        <v>1043954.0053815461</v>
      </c>
      <c r="J54" s="248">
        <f t="shared" si="8"/>
        <v>387.18972443223925</v>
      </c>
      <c r="K54" s="248">
        <f t="shared" si="9"/>
        <v>7445.7329891794952</v>
      </c>
      <c r="L54" s="248">
        <f t="shared" si="10"/>
        <v>36692.353808394771</v>
      </c>
      <c r="M54" s="246">
        <f t="shared" si="11"/>
        <v>6399428.8802807387</v>
      </c>
    </row>
    <row r="55" spans="1:13" x14ac:dyDescent="0.2">
      <c r="A55" s="839">
        <f t="shared" si="0"/>
        <v>30</v>
      </c>
      <c r="B55" s="1037" t="s">
        <v>2588</v>
      </c>
      <c r="C55" s="248">
        <f t="shared" si="1"/>
        <v>0</v>
      </c>
      <c r="D55" s="248">
        <f t="shared" si="2"/>
        <v>110408.95729400949</v>
      </c>
      <c r="E55" s="248">
        <f t="shared" si="3"/>
        <v>343915.10933953203</v>
      </c>
      <c r="F55" s="248">
        <f t="shared" si="4"/>
        <v>3322758.2467949204</v>
      </c>
      <c r="G55" s="248">
        <f t="shared" si="5"/>
        <v>1256690.7067427093</v>
      </c>
      <c r="H55" s="248">
        <f t="shared" si="6"/>
        <v>312100.83153014461</v>
      </c>
      <c r="I55" s="248">
        <f t="shared" si="7"/>
        <v>1044805.7680428107</v>
      </c>
      <c r="J55" s="248">
        <f t="shared" si="8"/>
        <v>387.19001150439379</v>
      </c>
      <c r="K55" s="248">
        <f t="shared" si="9"/>
        <v>7445.7170169259125</v>
      </c>
      <c r="L55" s="248">
        <f t="shared" si="10"/>
        <v>36710.495047953737</v>
      </c>
      <c r="M55" s="246">
        <f t="shared" si="11"/>
        <v>6435223.0218205098</v>
      </c>
    </row>
    <row r="56" spans="1:13" x14ac:dyDescent="0.2">
      <c r="A56" s="839">
        <f t="shared" si="0"/>
        <v>31</v>
      </c>
      <c r="B56" s="1036" t="s">
        <v>2589</v>
      </c>
      <c r="C56" s="248">
        <f t="shared" si="1"/>
        <v>0</v>
      </c>
      <c r="D56" s="248">
        <f t="shared" si="2"/>
        <v>109323.11608837514</v>
      </c>
      <c r="E56" s="248">
        <f t="shared" si="3"/>
        <v>345935.86675454007</v>
      </c>
      <c r="F56" s="248">
        <f t="shared" si="4"/>
        <v>3333210.7981103025</v>
      </c>
      <c r="G56" s="248">
        <f t="shared" si="5"/>
        <v>1256862.5830739734</v>
      </c>
      <c r="H56" s="248">
        <f t="shared" si="6"/>
        <v>317547.32728360262</v>
      </c>
      <c r="I56" s="248">
        <f t="shared" si="7"/>
        <v>1053078.4860528701</v>
      </c>
      <c r="J56" s="248">
        <f t="shared" si="8"/>
        <v>387.1902421577434</v>
      </c>
      <c r="K56" s="248">
        <f t="shared" si="9"/>
        <v>7440.608421321881</v>
      </c>
      <c r="L56" s="248">
        <f t="shared" si="10"/>
        <v>36730.718578279106</v>
      </c>
      <c r="M56" s="246">
        <f t="shared" si="11"/>
        <v>6460516.6946054213</v>
      </c>
    </row>
    <row r="57" spans="1:13" x14ac:dyDescent="0.2">
      <c r="A57" s="839">
        <f t="shared" si="0"/>
        <v>32</v>
      </c>
      <c r="B57" s="1036" t="s">
        <v>2590</v>
      </c>
      <c r="C57" s="248">
        <f t="shared" si="1"/>
        <v>0</v>
      </c>
      <c r="D57" s="248">
        <f t="shared" si="2"/>
        <v>109040.7493437568</v>
      </c>
      <c r="E57" s="248">
        <f t="shared" si="3"/>
        <v>350523.17091000424</v>
      </c>
      <c r="F57" s="248">
        <f t="shared" si="4"/>
        <v>3337361.6351171215</v>
      </c>
      <c r="G57" s="248">
        <f t="shared" si="5"/>
        <v>1258214.5006795663</v>
      </c>
      <c r="H57" s="248">
        <f t="shared" si="6"/>
        <v>316608.55938369612</v>
      </c>
      <c r="I57" s="248">
        <f t="shared" si="7"/>
        <v>1051208.0051318707</v>
      </c>
      <c r="J57" s="248">
        <f t="shared" si="8"/>
        <v>387.79147081197829</v>
      </c>
      <c r="K57" s="248">
        <f t="shared" si="9"/>
        <v>7434.516870069484</v>
      </c>
      <c r="L57" s="248">
        <f t="shared" si="10"/>
        <v>36762.84098667388</v>
      </c>
      <c r="M57" s="246">
        <f t="shared" si="11"/>
        <v>6467541.7698935699</v>
      </c>
    </row>
    <row r="58" spans="1:13" x14ac:dyDescent="0.2">
      <c r="A58" s="839">
        <f t="shared" si="0"/>
        <v>33</v>
      </c>
      <c r="B58" s="1037" t="s">
        <v>2591</v>
      </c>
      <c r="C58" s="248">
        <f t="shared" si="1"/>
        <v>0</v>
      </c>
      <c r="D58" s="248">
        <f t="shared" si="2"/>
        <v>106829.84544771576</v>
      </c>
      <c r="E58" s="248">
        <f t="shared" si="3"/>
        <v>351926.23912328808</v>
      </c>
      <c r="F58" s="248">
        <f t="shared" si="4"/>
        <v>3348629.4455394675</v>
      </c>
      <c r="G58" s="248">
        <f t="shared" si="5"/>
        <v>1267584.97039978</v>
      </c>
      <c r="H58" s="248">
        <f t="shared" si="6"/>
        <v>319952.73662555014</v>
      </c>
      <c r="I58" s="248">
        <f t="shared" si="7"/>
        <v>1051232.1515673902</v>
      </c>
      <c r="J58" s="248">
        <f t="shared" si="8"/>
        <v>388.8499655833802</v>
      </c>
      <c r="K58" s="248">
        <f t="shared" si="9"/>
        <v>7437.8334885021568</v>
      </c>
      <c r="L58" s="248">
        <f t="shared" si="10"/>
        <v>17577.832676051712</v>
      </c>
      <c r="M58" s="246">
        <f t="shared" si="11"/>
        <v>6471559.9048333298</v>
      </c>
    </row>
    <row r="59" spans="1:13" x14ac:dyDescent="0.2">
      <c r="A59" s="839">
        <f t="shared" si="0"/>
        <v>34</v>
      </c>
      <c r="B59" s="1037" t="s">
        <v>2592</v>
      </c>
      <c r="C59" s="248">
        <f t="shared" si="1"/>
        <v>0</v>
      </c>
      <c r="D59" s="248">
        <f t="shared" si="2"/>
        <v>105679.57058336293</v>
      </c>
      <c r="E59" s="248">
        <f t="shared" si="3"/>
        <v>357970.51688881265</v>
      </c>
      <c r="F59" s="248">
        <f t="shared" si="4"/>
        <v>3357751.5192258549</v>
      </c>
      <c r="G59" s="248">
        <f t="shared" si="5"/>
        <v>1271560.6135535762</v>
      </c>
      <c r="H59" s="248">
        <f t="shared" si="6"/>
        <v>325667.54385324457</v>
      </c>
      <c r="I59" s="248">
        <f t="shared" si="7"/>
        <v>1055552.0914099771</v>
      </c>
      <c r="J59" s="248">
        <f t="shared" si="8"/>
        <v>390.11850258744909</v>
      </c>
      <c r="K59" s="248">
        <f t="shared" si="9"/>
        <v>7435.2526147751569</v>
      </c>
      <c r="L59" s="248">
        <f t="shared" si="10"/>
        <v>36966.114651626864</v>
      </c>
      <c r="M59" s="246">
        <f t="shared" si="11"/>
        <v>6518973.3412838168</v>
      </c>
    </row>
    <row r="60" spans="1:13" x14ac:dyDescent="0.2">
      <c r="A60" s="839">
        <f t="shared" si="0"/>
        <v>35</v>
      </c>
      <c r="B60" s="1036" t="s">
        <v>2593</v>
      </c>
      <c r="C60" s="248">
        <f t="shared" si="1"/>
        <v>0</v>
      </c>
      <c r="D60" s="248">
        <f t="shared" si="2"/>
        <v>105255.97499014063</v>
      </c>
      <c r="E60" s="248">
        <f t="shared" si="3"/>
        <v>358998.7828332053</v>
      </c>
      <c r="F60" s="248">
        <f t="shared" si="4"/>
        <v>3381124.7384630614</v>
      </c>
      <c r="G60" s="248">
        <f t="shared" si="5"/>
        <v>1275873.5732939516</v>
      </c>
      <c r="H60" s="248">
        <f t="shared" si="6"/>
        <v>334707.02418645582</v>
      </c>
      <c r="I60" s="248">
        <f t="shared" si="7"/>
        <v>1062398.4048212443</v>
      </c>
      <c r="J60" s="248">
        <f t="shared" si="8"/>
        <v>390.18251635916158</v>
      </c>
      <c r="K60" s="248">
        <f t="shared" si="9"/>
        <v>7429.0591362275291</v>
      </c>
      <c r="L60" s="248">
        <f t="shared" si="10"/>
        <v>37184.531999580591</v>
      </c>
      <c r="M60" s="95">
        <f t="shared" si="11"/>
        <v>6563362.2722402252</v>
      </c>
    </row>
    <row r="61" spans="1:13" x14ac:dyDescent="0.2">
      <c r="A61" s="839">
        <f t="shared" si="0"/>
        <v>36</v>
      </c>
      <c r="B61" s="245" t="s">
        <v>227</v>
      </c>
      <c r="C61" s="246">
        <f>SUM(C49:C60)</f>
        <v>0</v>
      </c>
      <c r="D61" s="246">
        <f t="shared" ref="D61:L61" si="12">SUM(D49:D60)</f>
        <v>1314701.0032938658</v>
      </c>
      <c r="E61" s="246">
        <f t="shared" si="12"/>
        <v>4142099.3595462088</v>
      </c>
      <c r="F61" s="246">
        <f t="shared" si="12"/>
        <v>39655165.607453376</v>
      </c>
      <c r="G61" s="246">
        <f t="shared" si="12"/>
        <v>15097012.048702559</v>
      </c>
      <c r="H61" s="246">
        <f t="shared" si="12"/>
        <v>3761188.0478488612</v>
      </c>
      <c r="I61" s="246">
        <f t="shared" si="12"/>
        <v>12565185.789787633</v>
      </c>
      <c r="J61" s="246">
        <f t="shared" si="12"/>
        <v>4653.6967268157277</v>
      </c>
      <c r="K61" s="246">
        <f t="shared" si="12"/>
        <v>89257.540392679279</v>
      </c>
      <c r="L61" s="246">
        <f t="shared" si="12"/>
        <v>420790.54119326069</v>
      </c>
      <c r="M61" s="7"/>
    </row>
    <row r="62" spans="1:13" x14ac:dyDescent="0.2">
      <c r="A62" s="839">
        <f t="shared" si="0"/>
        <v>37</v>
      </c>
      <c r="B62" s="244"/>
      <c r="C62" s="244"/>
      <c r="D62" s="244"/>
      <c r="E62" s="244"/>
      <c r="F62" s="244"/>
      <c r="G62" s="244"/>
      <c r="H62" s="244"/>
      <c r="I62" s="244"/>
      <c r="J62" s="244"/>
      <c r="K62" s="244"/>
      <c r="L62" s="647" t="s">
        <v>1082</v>
      </c>
      <c r="M62" s="246">
        <f>SUM(M49:M60)</f>
        <v>77050053.634945244</v>
      </c>
    </row>
    <row r="63" spans="1:13" x14ac:dyDescent="0.2">
      <c r="A63" s="839">
        <f t="shared" si="0"/>
        <v>38</v>
      </c>
      <c r="B63" s="244"/>
      <c r="C63" s="244"/>
      <c r="D63" s="244"/>
      <c r="E63" s="244"/>
      <c r="F63" s="244"/>
      <c r="G63" s="244"/>
      <c r="H63" s="244"/>
      <c r="I63" s="244"/>
      <c r="J63" s="244"/>
      <c r="K63" s="244"/>
      <c r="L63" s="1039" t="s">
        <v>1083</v>
      </c>
      <c r="M63" s="244"/>
    </row>
    <row r="64" spans="1:13" x14ac:dyDescent="0.2">
      <c r="A64" s="839">
        <f t="shared" si="0"/>
        <v>39</v>
      </c>
      <c r="B64" s="1" t="s">
        <v>1122</v>
      </c>
      <c r="C64" s="244"/>
      <c r="D64" s="244"/>
      <c r="E64" s="244"/>
      <c r="F64" s="244"/>
      <c r="G64" s="244"/>
      <c r="H64" s="244"/>
      <c r="I64" s="244"/>
      <c r="J64" s="244"/>
      <c r="K64" s="244"/>
      <c r="L64" s="244"/>
      <c r="M64" s="244"/>
    </row>
    <row r="65" spans="1:13" x14ac:dyDescent="0.2">
      <c r="A65" s="839">
        <f t="shared" si="0"/>
        <v>40</v>
      </c>
      <c r="B65" s="244"/>
      <c r="C65" s="244"/>
      <c r="D65" s="244"/>
      <c r="E65" s="244"/>
      <c r="F65" s="244"/>
      <c r="G65" s="244"/>
      <c r="H65" s="244"/>
      <c r="I65" s="244"/>
      <c r="J65" s="244"/>
      <c r="K65" s="244"/>
      <c r="L65" s="244"/>
      <c r="M65" s="244"/>
    </row>
    <row r="66" spans="1:13" x14ac:dyDescent="0.2">
      <c r="A66" s="839">
        <f t="shared" si="0"/>
        <v>41</v>
      </c>
      <c r="B66" s="244"/>
      <c r="C66" s="244"/>
      <c r="D66" s="88">
        <v>360</v>
      </c>
      <c r="E66" s="88">
        <v>361</v>
      </c>
      <c r="F66" s="88">
        <v>362</v>
      </c>
      <c r="G66" s="244"/>
      <c r="H66" s="53" t="s">
        <v>209</v>
      </c>
      <c r="I66" s="3"/>
      <c r="J66" s="244"/>
      <c r="K66" s="244"/>
      <c r="L66" s="244"/>
      <c r="M66" s="244"/>
    </row>
    <row r="67" spans="1:13" x14ac:dyDescent="0.2">
      <c r="A67" s="839">
        <f t="shared" si="0"/>
        <v>42</v>
      </c>
      <c r="B67" s="649" t="s">
        <v>1123</v>
      </c>
      <c r="C67" s="244"/>
      <c r="D67" s="248">
        <f>'6-PlantInService'!C34</f>
        <v>38555.853482467224</v>
      </c>
      <c r="E67" s="248">
        <f>'6-PlantInService'!D34</f>
        <v>989342.70434627484</v>
      </c>
      <c r="F67" s="248">
        <f>'6-PlantInService'!E34</f>
        <v>17226762.909975063</v>
      </c>
      <c r="G67" s="254"/>
      <c r="H67" s="651" t="str">
        <f>"6-PlantInService Line "&amp;'[2]6-PlantInService'!A35&amp;"."</f>
        <v>6-PlantInService Line 15.</v>
      </c>
      <c r="I67" s="653"/>
      <c r="J67" s="244"/>
      <c r="K67" s="244"/>
      <c r="L67" s="244"/>
      <c r="M67" s="244"/>
    </row>
    <row r="68" spans="1:13" x14ac:dyDescent="0.2">
      <c r="A68" s="839">
        <f t="shared" si="0"/>
        <v>43</v>
      </c>
      <c r="B68" s="649" t="s">
        <v>1124</v>
      </c>
      <c r="C68" s="244"/>
      <c r="D68" s="617">
        <f>'6-PlantInService'!C35</f>
        <v>25780.258666172798</v>
      </c>
      <c r="E68" s="617">
        <f>'6-PlantInService'!D35</f>
        <v>1107531.0406130964</v>
      </c>
      <c r="F68" s="617">
        <f>'6-PlantInService'!E35</f>
        <v>16087945.866893532</v>
      </c>
      <c r="G68" s="254"/>
      <c r="H68" s="651" t="str">
        <f>"6-PlantInService Line "&amp;'[2]6-PlantInService'!A36&amp;"."</f>
        <v>6-PlantInService Line 16.</v>
      </c>
      <c r="I68" s="244"/>
      <c r="J68" s="244"/>
      <c r="K68" s="244"/>
      <c r="M68" s="244"/>
    </row>
    <row r="69" spans="1:13" x14ac:dyDescent="0.2">
      <c r="A69" s="839">
        <f t="shared" si="0"/>
        <v>44</v>
      </c>
      <c r="B69" s="649" t="s">
        <v>1125</v>
      </c>
      <c r="C69" s="244"/>
      <c r="D69" s="248">
        <f>AVERAGE(D67:D68)</f>
        <v>32168.056074320011</v>
      </c>
      <c r="E69" s="248">
        <f>AVERAGE(E67:E68)</f>
        <v>1048436.8724796856</v>
      </c>
      <c r="F69" s="248">
        <f>AVERAGE(F67:F68)</f>
        <v>16657354.388434298</v>
      </c>
      <c r="G69" s="254"/>
      <c r="H69" s="1109"/>
      <c r="I69" s="653"/>
      <c r="J69" s="244"/>
      <c r="K69" s="244"/>
      <c r="M69" s="244"/>
    </row>
    <row r="70" spans="1:13" x14ac:dyDescent="0.2">
      <c r="A70" s="839">
        <f t="shared" si="0"/>
        <v>45</v>
      </c>
      <c r="D70" s="14"/>
      <c r="E70" s="14"/>
      <c r="F70" s="14"/>
      <c r="G70" s="14"/>
      <c r="H70" s="14"/>
      <c r="J70" s="244"/>
      <c r="K70" s="244"/>
      <c r="M70" s="244"/>
    </row>
    <row r="71" spans="1:13" x14ac:dyDescent="0.2">
      <c r="A71" s="839">
        <f t="shared" si="0"/>
        <v>46</v>
      </c>
      <c r="B71" s="925" t="s">
        <v>2625</v>
      </c>
      <c r="C71" s="244"/>
      <c r="D71" s="254"/>
      <c r="E71" s="254"/>
      <c r="F71" s="14"/>
      <c r="G71" s="14"/>
      <c r="H71" s="14"/>
      <c r="J71" s="254"/>
      <c r="K71" s="254"/>
      <c r="L71" s="248"/>
      <c r="M71" s="244"/>
    </row>
    <row r="72" spans="1:13" x14ac:dyDescent="0.2">
      <c r="A72" s="839">
        <f t="shared" si="0"/>
        <v>47</v>
      </c>
      <c r="B72" s="244"/>
      <c r="D72" s="385">
        <v>360</v>
      </c>
      <c r="E72" s="385">
        <v>361</v>
      </c>
      <c r="F72" s="385">
        <v>362</v>
      </c>
      <c r="G72" s="14"/>
      <c r="H72" s="14"/>
      <c r="J72" s="254"/>
      <c r="K72" s="254"/>
      <c r="L72" s="248"/>
      <c r="M72" s="244"/>
    </row>
    <row r="73" spans="1:13" x14ac:dyDescent="0.2">
      <c r="A73" s="839">
        <f t="shared" si="0"/>
        <v>48</v>
      </c>
      <c r="D73" s="255">
        <f>'18-DepRates'!$G20</f>
        <v>1.67E-2</v>
      </c>
      <c r="E73" s="255">
        <f>'18-DepRates'!$G21</f>
        <v>3.2000000000000001E-2</v>
      </c>
      <c r="F73" s="255">
        <f>'18-DepRates'!$G22</f>
        <v>3.1300000000000001E-2</v>
      </c>
      <c r="G73" s="14"/>
      <c r="H73" s="14"/>
      <c r="J73" s="254"/>
      <c r="K73" s="254"/>
      <c r="L73" s="248"/>
      <c r="M73" s="244"/>
    </row>
    <row r="74" spans="1:13" x14ac:dyDescent="0.2">
      <c r="A74" s="839">
        <f t="shared" si="0"/>
        <v>49</v>
      </c>
      <c r="D74" s="14"/>
      <c r="E74" s="14"/>
      <c r="F74" s="14"/>
      <c r="G74" s="14"/>
      <c r="H74" s="14"/>
      <c r="J74" s="254"/>
      <c r="K74" s="254"/>
      <c r="L74" s="118"/>
      <c r="M74" s="244"/>
    </row>
    <row r="75" spans="1:13" x14ac:dyDescent="0.2">
      <c r="A75" s="839">
        <f t="shared" si="0"/>
        <v>50</v>
      </c>
      <c r="B75" t="s">
        <v>409</v>
      </c>
      <c r="D75" s="14"/>
      <c r="E75" s="14"/>
      <c r="F75" s="651" t="s">
        <v>2485</v>
      </c>
      <c r="G75" s="14"/>
      <c r="H75" s="14"/>
      <c r="J75" s="254"/>
      <c r="K75" s="254"/>
      <c r="L75" s="255"/>
      <c r="M75" s="244"/>
    </row>
    <row r="76" spans="1:13" x14ac:dyDescent="0.2">
      <c r="A76" s="839">
        <f t="shared" si="0"/>
        <v>51</v>
      </c>
      <c r="J76" s="254"/>
      <c r="K76" s="254"/>
      <c r="L76" s="255"/>
      <c r="M76" s="244"/>
    </row>
    <row r="77" spans="1:13" x14ac:dyDescent="0.2">
      <c r="A77" s="839">
        <f t="shared" si="0"/>
        <v>52</v>
      </c>
      <c r="D77" s="88">
        <v>360</v>
      </c>
      <c r="E77" s="88">
        <v>361</v>
      </c>
      <c r="F77" s="88">
        <v>362</v>
      </c>
      <c r="G77" s="395" t="s">
        <v>226</v>
      </c>
      <c r="J77" s="254"/>
      <c r="K77" s="254"/>
      <c r="L77" s="255"/>
      <c r="M77" s="244"/>
    </row>
    <row r="78" spans="1:13" x14ac:dyDescent="0.2">
      <c r="A78" s="839">
        <f t="shared" ref="A78:A91" si="13">A77+1</f>
        <v>53</v>
      </c>
      <c r="D78" s="74">
        <f xml:space="preserve"> D69*D73</f>
        <v>537.20653644114418</v>
      </c>
      <c r="E78" s="74">
        <f xml:space="preserve"> E69*E73</f>
        <v>33549.979919349942</v>
      </c>
      <c r="F78" s="74">
        <f xml:space="preserve"> F69*F73</f>
        <v>521375.19235799357</v>
      </c>
      <c r="G78" s="7">
        <f>SUM(D78:F78)</f>
        <v>555462.37881378469</v>
      </c>
      <c r="H78" s="16" t="s">
        <v>1126</v>
      </c>
      <c r="J78" s="254"/>
      <c r="K78" s="254"/>
      <c r="L78" s="248"/>
      <c r="M78" s="244"/>
    </row>
    <row r="79" spans="1:13" x14ac:dyDescent="0.2">
      <c r="A79" s="839">
        <f t="shared" si="13"/>
        <v>54</v>
      </c>
      <c r="H79" s="16" t="s">
        <v>1127</v>
      </c>
      <c r="J79" s="254"/>
      <c r="K79" s="254"/>
      <c r="L79" s="254"/>
      <c r="M79" s="244"/>
    </row>
    <row r="80" spans="1:13" x14ac:dyDescent="0.2">
      <c r="A80" s="839">
        <f t="shared" si="13"/>
        <v>55</v>
      </c>
      <c r="J80" s="254"/>
      <c r="K80" s="254"/>
      <c r="L80" s="254"/>
      <c r="M80" s="244"/>
    </row>
    <row r="81" spans="1:13" x14ac:dyDescent="0.2">
      <c r="A81" s="839">
        <f t="shared" si="13"/>
        <v>56</v>
      </c>
      <c r="B81" s="1" t="s">
        <v>1128</v>
      </c>
      <c r="J81" s="254"/>
      <c r="K81" s="254"/>
      <c r="L81" s="254"/>
      <c r="M81" s="244"/>
    </row>
    <row r="82" spans="1:13" x14ac:dyDescent="0.2">
      <c r="A82" s="839">
        <f t="shared" si="13"/>
        <v>57</v>
      </c>
      <c r="B82" s="244"/>
      <c r="C82" s="244"/>
      <c r="D82" s="244"/>
      <c r="E82" s="244"/>
      <c r="F82" s="244"/>
      <c r="G82" s="244"/>
      <c r="H82" s="244"/>
      <c r="I82" s="244"/>
      <c r="J82" s="244"/>
      <c r="K82" s="244"/>
      <c r="L82" s="244"/>
      <c r="M82" s="244"/>
    </row>
    <row r="83" spans="1:13" x14ac:dyDescent="0.2">
      <c r="A83" s="839">
        <f t="shared" si="13"/>
        <v>58</v>
      </c>
      <c r="B83" s="799" t="s">
        <v>1084</v>
      </c>
      <c r="C83" s="244"/>
      <c r="D83" s="244"/>
      <c r="E83" s="244"/>
      <c r="F83" s="244"/>
      <c r="G83" s="244"/>
      <c r="H83" s="396">
        <v>141735445</v>
      </c>
      <c r="I83" s="653" t="s">
        <v>1086</v>
      </c>
      <c r="J83" s="244"/>
      <c r="K83" s="244"/>
      <c r="L83" s="244"/>
      <c r="M83" s="244"/>
    </row>
    <row r="84" spans="1:13" x14ac:dyDescent="0.2">
      <c r="A84" s="839">
        <f t="shared" si="13"/>
        <v>59</v>
      </c>
      <c r="B84" s="649" t="s">
        <v>1085</v>
      </c>
      <c r="C84" s="244"/>
      <c r="D84" s="244"/>
      <c r="E84" s="244"/>
      <c r="F84" s="244"/>
      <c r="G84" s="244"/>
      <c r="H84" s="106">
        <v>134973437</v>
      </c>
      <c r="I84" s="653" t="s">
        <v>1087</v>
      </c>
      <c r="J84" s="244"/>
      <c r="K84" s="244"/>
      <c r="L84" s="244"/>
      <c r="M84" s="244"/>
    </row>
    <row r="85" spans="1:13" x14ac:dyDescent="0.2">
      <c r="A85" s="839">
        <f t="shared" si="13"/>
        <v>60</v>
      </c>
      <c r="B85" s="799" t="s">
        <v>1088</v>
      </c>
      <c r="C85" s="244"/>
      <c r="D85" s="244"/>
      <c r="E85" s="244"/>
      <c r="F85" s="244"/>
      <c r="G85" s="244"/>
      <c r="H85" s="397">
        <f>SUM(H83:H84)</f>
        <v>276708882</v>
      </c>
      <c r="I85" s="653" t="str">
        <f>"Line "&amp;A83&amp;" + Line "&amp;A84&amp;""</f>
        <v>Line 58 + Line 59</v>
      </c>
      <c r="J85" s="244"/>
      <c r="K85" s="244"/>
      <c r="L85" s="244"/>
      <c r="M85" s="244"/>
    </row>
    <row r="86" spans="1:13" x14ac:dyDescent="0.2">
      <c r="A86" s="839">
        <f t="shared" si="13"/>
        <v>61</v>
      </c>
      <c r="B86" s="799" t="s">
        <v>107</v>
      </c>
      <c r="C86" s="244"/>
      <c r="D86" s="244"/>
      <c r="E86" s="244"/>
      <c r="F86" s="244"/>
      <c r="G86" s="244"/>
      <c r="H86" s="265">
        <f>'27-Allocators'!G15</f>
        <v>4.0090597826729017E-2</v>
      </c>
      <c r="I86" s="120" t="str">
        <f>"27-Allocators, Line "&amp;'27-Allocators'!A15&amp;""</f>
        <v>27-Allocators, Line 9</v>
      </c>
      <c r="J86" s="244"/>
      <c r="K86" s="244"/>
      <c r="L86" s="244"/>
      <c r="M86" s="244"/>
    </row>
    <row r="87" spans="1:13" x14ac:dyDescent="0.2">
      <c r="A87" s="839">
        <f t="shared" si="13"/>
        <v>62</v>
      </c>
      <c r="B87" s="799" t="s">
        <v>1089</v>
      </c>
      <c r="C87" s="244"/>
      <c r="D87" s="244"/>
      <c r="E87" s="244"/>
      <c r="F87" s="244"/>
      <c r="G87" s="244"/>
      <c r="H87" s="246">
        <f>H85*H86</f>
        <v>11093424.503345815</v>
      </c>
      <c r="I87" s="653" t="str">
        <f>"Line "&amp;A85&amp;" * Line "&amp;A86&amp;""</f>
        <v>Line 60 * Line 61</v>
      </c>
      <c r="J87" s="244"/>
      <c r="K87" s="244"/>
      <c r="L87" s="244"/>
      <c r="M87" s="244"/>
    </row>
    <row r="88" spans="1:13" x14ac:dyDescent="0.2">
      <c r="A88" s="839">
        <f t="shared" si="13"/>
        <v>63</v>
      </c>
      <c r="B88" s="799"/>
      <c r="C88" s="649"/>
      <c r="D88" s="244"/>
      <c r="E88" s="244"/>
      <c r="F88" s="244"/>
      <c r="G88" s="244"/>
      <c r="H88" s="244"/>
      <c r="I88" s="244"/>
      <c r="J88" s="244"/>
      <c r="K88" s="244"/>
      <c r="L88" s="244"/>
      <c r="M88" s="244"/>
    </row>
    <row r="89" spans="1:13" x14ac:dyDescent="0.2">
      <c r="A89" s="839">
        <f t="shared" si="13"/>
        <v>64</v>
      </c>
      <c r="B89" s="87" t="s">
        <v>2426</v>
      </c>
      <c r="C89" s="244"/>
      <c r="D89" s="244"/>
      <c r="E89" s="244"/>
      <c r="F89" s="244"/>
      <c r="G89" s="244"/>
      <c r="H89" s="244"/>
      <c r="I89" s="244"/>
      <c r="J89" s="244"/>
      <c r="K89" s="244"/>
      <c r="L89" s="244"/>
      <c r="M89" s="244"/>
    </row>
    <row r="90" spans="1:13" x14ac:dyDescent="0.2">
      <c r="A90" s="839">
        <f t="shared" si="13"/>
        <v>65</v>
      </c>
      <c r="B90" s="799"/>
      <c r="C90" s="649"/>
      <c r="D90" s="244"/>
      <c r="E90" s="244"/>
      <c r="F90" s="244"/>
      <c r="G90" s="244"/>
      <c r="H90" s="244"/>
      <c r="I90" s="244"/>
      <c r="J90" s="244"/>
      <c r="K90" s="244"/>
      <c r="L90" s="244"/>
      <c r="M90" s="244"/>
    </row>
    <row r="91" spans="1:13" x14ac:dyDescent="0.2">
      <c r="A91" s="839">
        <f t="shared" si="13"/>
        <v>66</v>
      </c>
      <c r="B91" s="799" t="s">
        <v>2425</v>
      </c>
      <c r="C91" s="244"/>
      <c r="D91" s="244"/>
      <c r="E91" s="244"/>
      <c r="F91" s="3" t="s">
        <v>205</v>
      </c>
      <c r="G91" s="3" t="s">
        <v>209</v>
      </c>
      <c r="H91" s="244"/>
      <c r="I91" s="244"/>
    </row>
    <row r="92" spans="1:13" x14ac:dyDescent="0.2">
      <c r="A92" s="839">
        <f>A91+1</f>
        <v>67</v>
      </c>
      <c r="B92" s="653" t="s">
        <v>1075</v>
      </c>
      <c r="C92" s="244"/>
      <c r="D92" s="244"/>
      <c r="E92" s="244"/>
      <c r="F92" s="262">
        <f>M62</f>
        <v>77050053.634945244</v>
      </c>
      <c r="G92" s="653" t="str">
        <f>"Line "&amp;A62&amp;", Col 12"</f>
        <v>Line 37, Col 12</v>
      </c>
      <c r="H92" s="244"/>
      <c r="I92" s="244"/>
    </row>
    <row r="93" spans="1:13" x14ac:dyDescent="0.2">
      <c r="A93" s="839">
        <f>A92+1</f>
        <v>68</v>
      </c>
      <c r="B93" s="653" t="s">
        <v>1091</v>
      </c>
      <c r="C93" s="244"/>
      <c r="D93" s="244"/>
      <c r="E93" s="244"/>
      <c r="F93" s="246">
        <f>G78</f>
        <v>555462.37881378469</v>
      </c>
      <c r="G93" s="653" t="str">
        <f>"Line "&amp;A78&amp;""</f>
        <v>Line 53</v>
      </c>
      <c r="H93" s="244"/>
      <c r="I93" s="244"/>
    </row>
    <row r="94" spans="1:13" x14ac:dyDescent="0.2">
      <c r="A94" s="839">
        <f>A93+1</f>
        <v>69</v>
      </c>
      <c r="B94" s="653" t="s">
        <v>1090</v>
      </c>
      <c r="C94" s="244"/>
      <c r="D94" s="244"/>
      <c r="E94" s="244"/>
      <c r="F94" s="95">
        <f>H87</f>
        <v>11093424.503345815</v>
      </c>
      <c r="G94" s="653" t="str">
        <f>"Line "&amp;A87&amp;""</f>
        <v>Line 62</v>
      </c>
      <c r="H94" s="244"/>
      <c r="I94" s="244"/>
    </row>
    <row r="95" spans="1:13" x14ac:dyDescent="0.2">
      <c r="A95" s="839">
        <f>A94+1</f>
        <v>70</v>
      </c>
      <c r="B95" s="244"/>
      <c r="C95" s="244"/>
      <c r="D95" s="244"/>
      <c r="E95" s="245" t="s">
        <v>1129</v>
      </c>
      <c r="F95" s="262">
        <f>SUM(F92:F94)</f>
        <v>88698940.517104849</v>
      </c>
      <c r="G95" s="653" t="str">
        <f>"Line "&amp;A92&amp;" + Line "&amp;A93&amp;" + Line "&amp;A94&amp;""</f>
        <v>Line 67 + Line 68 + Line 69</v>
      </c>
      <c r="H95" s="244"/>
      <c r="I95" s="244"/>
    </row>
    <row r="96" spans="1:13" x14ac:dyDescent="0.2">
      <c r="A96" s="244"/>
      <c r="B96" s="1" t="s">
        <v>267</v>
      </c>
      <c r="C96" s="244"/>
      <c r="D96" s="244"/>
      <c r="E96" s="244"/>
      <c r="F96" s="244"/>
      <c r="G96" s="244"/>
      <c r="H96" s="244"/>
      <c r="I96" s="244"/>
    </row>
    <row r="97" spans="1:11" x14ac:dyDescent="0.2">
      <c r="A97" s="244"/>
      <c r="B97" s="649" t="s">
        <v>1784</v>
      </c>
      <c r="C97" s="244"/>
      <c r="D97" s="244"/>
      <c r="E97" s="244"/>
      <c r="F97" s="244"/>
      <c r="G97" s="244"/>
      <c r="H97" s="244"/>
      <c r="I97" s="244"/>
    </row>
    <row r="98" spans="1:11" x14ac:dyDescent="0.2">
      <c r="A98" s="244"/>
      <c r="B98" s="651" t="str">
        <f>"same account, times the Monthly Depreciation Rate for that account.  Monthly rate = annual rates on Line "&amp;A30&amp;" etc. divided by 12."</f>
        <v>same account, times the Monthly Depreciation Rate for that account.  Monthly rate = annual rates on Line 17a etc. divided by 12.</v>
      </c>
      <c r="C98" s="254"/>
      <c r="D98" s="254"/>
      <c r="E98" s="254"/>
      <c r="F98" s="254"/>
      <c r="G98" s="254"/>
      <c r="H98" s="254"/>
      <c r="I98" s="254"/>
      <c r="J98" s="14"/>
      <c r="K98" s="14"/>
    </row>
    <row r="99" spans="1:11" x14ac:dyDescent="0.2">
      <c r="A99" s="244"/>
      <c r="B99" s="651" t="str">
        <f>"2) Depreciation Expense for each account is equal to the Average BOY/EOY value on Line "&amp;A69&amp;" times the"</f>
        <v>2) Depreciation Expense for each account is equal to the Average BOY/EOY value on Line 44 times the</v>
      </c>
      <c r="C99" s="254"/>
      <c r="D99" s="254"/>
      <c r="E99" s="254"/>
      <c r="F99" s="254"/>
      <c r="G99" s="254"/>
      <c r="H99" s="254"/>
      <c r="I99" s="254"/>
      <c r="J99" s="14"/>
      <c r="K99" s="14"/>
    </row>
    <row r="100" spans="1:11" x14ac:dyDescent="0.2">
      <c r="B100" s="651" t="str">
        <f>"Depreciation Rate on Line "&amp;A73&amp;"."</f>
        <v>Depreciation Rate on Line 48.</v>
      </c>
      <c r="C100" s="14"/>
      <c r="D100" s="14"/>
      <c r="E100" s="14"/>
      <c r="F100" s="14"/>
      <c r="G100" s="14"/>
      <c r="H100" s="14"/>
      <c r="I100" s="14"/>
      <c r="J100" s="14"/>
      <c r="K100" s="14"/>
    </row>
    <row r="101" spans="1:11" x14ac:dyDescent="0.2">
      <c r="B101" s="45" t="s">
        <v>433</v>
      </c>
      <c r="C101" s="14"/>
      <c r="D101" s="14"/>
      <c r="E101" s="14"/>
      <c r="F101" s="14"/>
      <c r="G101" s="14"/>
      <c r="H101" s="14"/>
      <c r="I101" s="14"/>
      <c r="J101" s="14"/>
      <c r="K101" s="14"/>
    </row>
    <row r="102" spans="1:11" x14ac:dyDescent="0.2">
      <c r="B102" s="651" t="s">
        <v>3137</v>
      </c>
      <c r="C102" s="14"/>
      <c r="D102" s="14"/>
      <c r="E102" s="14"/>
      <c r="F102" s="14"/>
      <c r="G102" s="14"/>
      <c r="H102" s="14"/>
      <c r="I102" s="14"/>
      <c r="J102" s="14"/>
      <c r="K102" s="14"/>
    </row>
    <row r="103" spans="1:11" x14ac:dyDescent="0.2">
      <c r="B103" s="651" t="s">
        <v>3138</v>
      </c>
      <c r="C103" s="14"/>
      <c r="D103" s="14"/>
      <c r="E103" s="14"/>
      <c r="F103" s="14"/>
      <c r="G103" s="14"/>
      <c r="H103" s="14"/>
      <c r="I103" s="14"/>
      <c r="J103" s="14"/>
      <c r="K103" s="14"/>
    </row>
    <row r="104" spans="1:11" x14ac:dyDescent="0.2">
      <c r="B104" s="14" t="s">
        <v>3139</v>
      </c>
      <c r="C104" s="14"/>
      <c r="D104" s="14"/>
      <c r="E104" s="14"/>
      <c r="F104" s="14"/>
      <c r="G104" s="14"/>
      <c r="H104" s="14"/>
      <c r="I104" s="14"/>
      <c r="J104" s="14"/>
      <c r="K104" s="14"/>
    </row>
    <row r="105" spans="1:11" x14ac:dyDescent="0.2">
      <c r="B105" s="14" t="s">
        <v>3140</v>
      </c>
      <c r="C105" s="14"/>
      <c r="D105" s="14"/>
      <c r="E105" s="14"/>
      <c r="F105" s="14"/>
      <c r="G105" s="14"/>
      <c r="H105" s="14"/>
      <c r="I105" s="14"/>
      <c r="J105" s="14"/>
      <c r="K105" s="14"/>
    </row>
    <row r="106" spans="1:11" x14ac:dyDescent="0.2">
      <c r="B106" s="651" t="s">
        <v>2600</v>
      </c>
      <c r="C106" s="14"/>
      <c r="D106" s="14"/>
      <c r="E106" s="14"/>
      <c r="F106" s="14"/>
      <c r="G106" s="14"/>
      <c r="H106" s="14"/>
      <c r="I106" s="14"/>
      <c r="J106" s="14"/>
      <c r="K106" s="14"/>
    </row>
    <row r="107" spans="1:11" x14ac:dyDescent="0.2">
      <c r="B107" s="651"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4"/>
      <c r="D107" s="14"/>
      <c r="E107" s="14"/>
      <c r="F107" s="14"/>
      <c r="G107" s="14"/>
      <c r="H107" s="14"/>
      <c r="I107" s="14"/>
      <c r="J107" s="14"/>
      <c r="K107" s="14"/>
    </row>
  </sheetData>
  <pageMargins left="0.7" right="0.7" top="0.75" bottom="0.75" header="0.3" footer="0.3"/>
  <pageSetup scale="63" orientation="landscape" cellComments="asDisplayed" r:id="rId1"/>
  <headerFooter>
    <oddHeader>&amp;CSchedule 17
Depreciation Expense
&amp;"Arial,Bold"Exhibit G-1</oddHeader>
    <oddFooter>&amp;R17-Depreciation</oddFooter>
  </headerFooter>
  <rowBreaks count="1" manualBreakCount="1">
    <brk id="63" max="1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85" zoomScaleNormal="85" workbookViewId="0"/>
  </sheetViews>
  <sheetFormatPr defaultRowHeight="12.75" x14ac:dyDescent="0.2"/>
  <cols>
    <col min="1" max="1" width="4.7109375" customWidth="1"/>
    <col min="4" max="4" width="38.7109375" customWidth="1"/>
  </cols>
  <sheetData>
    <row r="1" spans="1:7" ht="15" x14ac:dyDescent="0.25">
      <c r="A1" s="398" t="s">
        <v>1130</v>
      </c>
    </row>
    <row r="3" spans="1:7" ht="15" x14ac:dyDescent="0.25">
      <c r="B3" s="398" t="s">
        <v>363</v>
      </c>
      <c r="E3" s="257" t="s">
        <v>427</v>
      </c>
      <c r="F3" s="257"/>
      <c r="G3" s="257"/>
    </row>
    <row r="4" spans="1:7" ht="15" x14ac:dyDescent="0.25">
      <c r="C4" s="257" t="s">
        <v>13</v>
      </c>
      <c r="E4" s="257" t="s">
        <v>1131</v>
      </c>
      <c r="F4" s="4" t="s">
        <v>1132</v>
      </c>
      <c r="G4" s="4"/>
    </row>
    <row r="5" spans="1:7" ht="15" x14ac:dyDescent="0.25">
      <c r="A5" s="53" t="s">
        <v>372</v>
      </c>
      <c r="C5" s="259" t="s">
        <v>113</v>
      </c>
      <c r="D5" s="259" t="s">
        <v>114</v>
      </c>
      <c r="E5" s="259" t="s">
        <v>1133</v>
      </c>
      <c r="F5" s="259" t="s">
        <v>1134</v>
      </c>
      <c r="G5" s="259" t="s">
        <v>226</v>
      </c>
    </row>
    <row r="6" spans="1:7" ht="15" customHeight="1" x14ac:dyDescent="0.25">
      <c r="A6" s="2">
        <v>1</v>
      </c>
      <c r="C6" s="267">
        <v>350.1</v>
      </c>
      <c r="D6" s="399" t="s">
        <v>1135</v>
      </c>
      <c r="E6" s="81">
        <v>0</v>
      </c>
      <c r="F6" s="81">
        <v>0</v>
      </c>
      <c r="G6" s="81">
        <v>0</v>
      </c>
    </row>
    <row r="7" spans="1:7" ht="15" customHeight="1" x14ac:dyDescent="0.25">
      <c r="A7" s="2">
        <f>A6+1</f>
        <v>2</v>
      </c>
      <c r="C7" s="267">
        <v>350.2</v>
      </c>
      <c r="D7" s="399" t="s">
        <v>1136</v>
      </c>
      <c r="E7" s="81">
        <v>1.66E-2</v>
      </c>
      <c r="F7" s="81">
        <v>0</v>
      </c>
      <c r="G7" s="81">
        <v>1.66E-2</v>
      </c>
    </row>
    <row r="8" spans="1:7" x14ac:dyDescent="0.2">
      <c r="A8" s="2">
        <f t="shared" ref="A8:A16" si="0">A7+1</f>
        <v>3</v>
      </c>
      <c r="C8" s="267">
        <v>352</v>
      </c>
      <c r="D8" s="16" t="s">
        <v>1137</v>
      </c>
      <c r="E8" s="81">
        <v>1.7999999999999999E-2</v>
      </c>
      <c r="F8" s="81">
        <v>7.7000000000000002E-3</v>
      </c>
      <c r="G8" s="81">
        <v>2.5700000000000001E-2</v>
      </c>
    </row>
    <row r="9" spans="1:7" x14ac:dyDescent="0.2">
      <c r="A9" s="2">
        <f t="shared" si="0"/>
        <v>4</v>
      </c>
      <c r="C9" s="267">
        <v>353</v>
      </c>
      <c r="D9" s="16" t="s">
        <v>1138</v>
      </c>
      <c r="E9" s="81">
        <v>2.1999999999999999E-2</v>
      </c>
      <c r="F9" s="81">
        <v>2.7000000000000001E-3</v>
      </c>
      <c r="G9" s="81">
        <v>2.47E-2</v>
      </c>
    </row>
    <row r="10" spans="1:7" x14ac:dyDescent="0.2">
      <c r="A10" s="2">
        <f t="shared" si="0"/>
        <v>5</v>
      </c>
      <c r="C10" s="267">
        <v>354</v>
      </c>
      <c r="D10" s="16" t="s">
        <v>1473</v>
      </c>
      <c r="E10" s="81">
        <v>1.35E-2</v>
      </c>
      <c r="F10" s="81">
        <v>1.09E-2</v>
      </c>
      <c r="G10" s="81">
        <v>2.4400000000000002E-2</v>
      </c>
    </row>
    <row r="11" spans="1:7" x14ac:dyDescent="0.2">
      <c r="A11" s="2">
        <f t="shared" si="0"/>
        <v>6</v>
      </c>
      <c r="C11" s="267">
        <v>355</v>
      </c>
      <c r="D11" s="16" t="s">
        <v>1139</v>
      </c>
      <c r="E11" s="81">
        <v>0.02</v>
      </c>
      <c r="F11" s="81">
        <v>1.67E-2</v>
      </c>
      <c r="G11" s="81">
        <v>3.6700000000000003E-2</v>
      </c>
    </row>
    <row r="12" spans="1:7" x14ac:dyDescent="0.2">
      <c r="A12" s="2">
        <f t="shared" si="0"/>
        <v>7</v>
      </c>
      <c r="C12" s="267">
        <v>356</v>
      </c>
      <c r="D12" s="16" t="s">
        <v>1140</v>
      </c>
      <c r="E12" s="81">
        <v>0.02</v>
      </c>
      <c r="F12" s="81">
        <v>1.0500000000000001E-2</v>
      </c>
      <c r="G12" s="81">
        <v>3.0499999999999999E-2</v>
      </c>
    </row>
    <row r="13" spans="1:7" x14ac:dyDescent="0.2">
      <c r="A13" s="2">
        <f t="shared" si="0"/>
        <v>8</v>
      </c>
      <c r="C13" s="267">
        <v>357</v>
      </c>
      <c r="D13" s="16" t="s">
        <v>1141</v>
      </c>
      <c r="E13" s="81">
        <v>1.6500000000000001E-2</v>
      </c>
      <c r="F13" s="81">
        <v>0</v>
      </c>
      <c r="G13" s="81">
        <v>1.6500000000000001E-2</v>
      </c>
    </row>
    <row r="14" spans="1:7" x14ac:dyDescent="0.2">
      <c r="A14" s="2">
        <f t="shared" si="0"/>
        <v>9</v>
      </c>
      <c r="C14" s="267">
        <v>358</v>
      </c>
      <c r="D14" s="16" t="s">
        <v>1142</v>
      </c>
      <c r="E14" s="81">
        <v>3.2599999999999997E-2</v>
      </c>
      <c r="F14" s="81">
        <v>6.1000000000000004E-3</v>
      </c>
      <c r="G14" s="81">
        <v>3.8699999999999998E-2</v>
      </c>
    </row>
    <row r="15" spans="1:7" x14ac:dyDescent="0.2">
      <c r="A15" s="2">
        <f t="shared" si="0"/>
        <v>10</v>
      </c>
      <c r="C15" s="267">
        <v>359</v>
      </c>
      <c r="D15" s="16" t="s">
        <v>1143</v>
      </c>
      <c r="E15" s="81">
        <v>1.5599999999999999E-2</v>
      </c>
      <c r="F15" s="81">
        <v>0</v>
      </c>
      <c r="G15" s="81">
        <v>1.5599999999999999E-2</v>
      </c>
    </row>
    <row r="16" spans="1:7" x14ac:dyDescent="0.2">
      <c r="A16" s="2">
        <f t="shared" si="0"/>
        <v>11</v>
      </c>
    </row>
    <row r="17" spans="1:7" ht="15" x14ac:dyDescent="0.25">
      <c r="B17" s="398" t="s">
        <v>364</v>
      </c>
      <c r="E17" s="257" t="s">
        <v>427</v>
      </c>
      <c r="F17" s="257"/>
      <c r="G17" s="257"/>
    </row>
    <row r="18" spans="1:7" ht="15" x14ac:dyDescent="0.25">
      <c r="C18" s="257" t="s">
        <v>13</v>
      </c>
      <c r="E18" s="257" t="s">
        <v>1131</v>
      </c>
      <c r="F18" s="4" t="s">
        <v>1132</v>
      </c>
      <c r="G18" s="4"/>
    </row>
    <row r="19" spans="1:7" ht="15" x14ac:dyDescent="0.25">
      <c r="C19" s="259" t="s">
        <v>113</v>
      </c>
      <c r="D19" s="259" t="s">
        <v>114</v>
      </c>
      <c r="E19" s="259" t="s">
        <v>1133</v>
      </c>
      <c r="F19" s="259" t="s">
        <v>1134</v>
      </c>
      <c r="G19" s="259" t="s">
        <v>226</v>
      </c>
    </row>
    <row r="20" spans="1:7" ht="15" x14ac:dyDescent="0.25">
      <c r="A20" s="2">
        <f>A16+1</f>
        <v>12</v>
      </c>
      <c r="C20">
        <v>360</v>
      </c>
      <c r="D20" s="16" t="s">
        <v>1144</v>
      </c>
      <c r="E20" s="400">
        <v>1.67E-2</v>
      </c>
      <c r="F20" s="400">
        <v>0</v>
      </c>
      <c r="G20" s="400">
        <v>1.67E-2</v>
      </c>
    </row>
    <row r="21" spans="1:7" ht="15" x14ac:dyDescent="0.25">
      <c r="A21" s="2">
        <f>A20+1</f>
        <v>13</v>
      </c>
      <c r="C21">
        <v>361</v>
      </c>
      <c r="D21" s="16" t="s">
        <v>1137</v>
      </c>
      <c r="E21" s="400">
        <v>2.4299999999999999E-2</v>
      </c>
      <c r="F21" s="400">
        <v>7.7000000000000002E-3</v>
      </c>
      <c r="G21" s="400">
        <v>3.2000000000000001E-2</v>
      </c>
    </row>
    <row r="22" spans="1:7" ht="15" x14ac:dyDescent="0.25">
      <c r="A22" s="2">
        <f>A21+1</f>
        <v>14</v>
      </c>
      <c r="C22">
        <v>362</v>
      </c>
      <c r="D22" s="16" t="s">
        <v>1138</v>
      </c>
      <c r="E22" s="400">
        <v>2.29E-2</v>
      </c>
      <c r="F22" s="400">
        <v>8.3999999999999995E-3</v>
      </c>
      <c r="G22" s="400">
        <v>3.1300000000000001E-2</v>
      </c>
    </row>
    <row r="24" spans="1:7" ht="15" x14ac:dyDescent="0.25">
      <c r="B24" s="398" t="s">
        <v>1145</v>
      </c>
      <c r="E24" s="257" t="s">
        <v>427</v>
      </c>
    </row>
    <row r="25" spans="1:7" ht="15" x14ac:dyDescent="0.25">
      <c r="C25" s="257" t="s">
        <v>13</v>
      </c>
      <c r="E25" s="257" t="s">
        <v>1131</v>
      </c>
      <c r="F25" s="4" t="s">
        <v>1132</v>
      </c>
      <c r="G25" s="4"/>
    </row>
    <row r="26" spans="1:7" ht="15" x14ac:dyDescent="0.25">
      <c r="C26" s="259" t="s">
        <v>113</v>
      </c>
      <c r="D26" s="259" t="s">
        <v>114</v>
      </c>
      <c r="E26" s="259" t="s">
        <v>1133</v>
      </c>
      <c r="F26" s="259" t="s">
        <v>1134</v>
      </c>
      <c r="G26" s="259" t="s">
        <v>226</v>
      </c>
    </row>
    <row r="27" spans="1:7" ht="15" x14ac:dyDescent="0.25">
      <c r="A27" s="2">
        <f>A22+1</f>
        <v>15</v>
      </c>
      <c r="C27" s="401">
        <v>389</v>
      </c>
      <c r="D27" s="399" t="s">
        <v>1144</v>
      </c>
      <c r="E27" s="400">
        <v>1.67E-2</v>
      </c>
      <c r="F27" s="400">
        <v>0</v>
      </c>
      <c r="G27" s="400">
        <v>1.67E-2</v>
      </c>
    </row>
    <row r="28" spans="1:7" ht="15" x14ac:dyDescent="0.25">
      <c r="A28" s="2">
        <f t="shared" ref="A28:A51" si="1">A27+1</f>
        <v>16</v>
      </c>
      <c r="C28" s="401">
        <v>390</v>
      </c>
      <c r="D28" s="399" t="s">
        <v>1137</v>
      </c>
      <c r="E28" s="400">
        <v>1.6899999999999998E-2</v>
      </c>
      <c r="F28" s="400">
        <v>1.1000000000000001E-3</v>
      </c>
      <c r="G28" s="400">
        <v>1.7999999999999999E-2</v>
      </c>
    </row>
    <row r="29" spans="1:7" ht="15" x14ac:dyDescent="0.25">
      <c r="A29" s="2">
        <f t="shared" si="1"/>
        <v>17</v>
      </c>
      <c r="C29" s="401">
        <v>391.1</v>
      </c>
      <c r="D29" s="400" t="s">
        <v>1146</v>
      </c>
      <c r="E29" s="43">
        <f>G29-F29</f>
        <v>0.05</v>
      </c>
      <c r="F29" s="400">
        <v>0</v>
      </c>
      <c r="G29" s="400">
        <v>0.05</v>
      </c>
    </row>
    <row r="30" spans="1:7" ht="15" x14ac:dyDescent="0.25">
      <c r="A30" s="2">
        <f t="shared" si="1"/>
        <v>18</v>
      </c>
      <c r="C30" s="401">
        <v>391.5</v>
      </c>
      <c r="D30" s="400" t="s">
        <v>2282</v>
      </c>
      <c r="E30" s="43">
        <f t="shared" ref="E30:E51" si="2">G30-F30</f>
        <v>0.2</v>
      </c>
      <c r="F30" s="400">
        <v>0</v>
      </c>
      <c r="G30" s="400">
        <v>0.2</v>
      </c>
    </row>
    <row r="31" spans="1:7" ht="15" x14ac:dyDescent="0.25">
      <c r="A31" s="2">
        <f t="shared" si="1"/>
        <v>19</v>
      </c>
      <c r="C31" s="401">
        <v>391.6</v>
      </c>
      <c r="D31" s="400" t="s">
        <v>2283</v>
      </c>
      <c r="E31" s="43">
        <f t="shared" si="2"/>
        <v>0.2</v>
      </c>
      <c r="F31" s="400">
        <v>0</v>
      </c>
      <c r="G31" s="400">
        <v>0.2</v>
      </c>
    </row>
    <row r="32" spans="1:7" ht="15" x14ac:dyDescent="0.25">
      <c r="A32" s="2">
        <f t="shared" si="1"/>
        <v>20</v>
      </c>
      <c r="C32" s="401">
        <v>391.2</v>
      </c>
      <c r="D32" s="400" t="s">
        <v>2284</v>
      </c>
      <c r="E32" s="43">
        <f t="shared" si="2"/>
        <v>0.2</v>
      </c>
      <c r="F32" s="400">
        <v>0</v>
      </c>
      <c r="G32" s="400">
        <v>0.2</v>
      </c>
    </row>
    <row r="33" spans="1:11" ht="15" x14ac:dyDescent="0.25">
      <c r="A33" s="2">
        <f t="shared" si="1"/>
        <v>21</v>
      </c>
      <c r="C33" s="401">
        <v>391.3</v>
      </c>
      <c r="D33" s="400" t="s">
        <v>2285</v>
      </c>
      <c r="E33" s="43">
        <f t="shared" si="2"/>
        <v>0.2</v>
      </c>
      <c r="F33" s="400">
        <v>0</v>
      </c>
      <c r="G33" s="400">
        <v>0.2</v>
      </c>
    </row>
    <row r="34" spans="1:11" ht="15" x14ac:dyDescent="0.25">
      <c r="A34" s="2">
        <f t="shared" si="1"/>
        <v>22</v>
      </c>
      <c r="C34" s="402">
        <v>391.7</v>
      </c>
      <c r="D34" s="400" t="s">
        <v>2286</v>
      </c>
      <c r="E34" s="43">
        <f t="shared" si="2"/>
        <v>0.2</v>
      </c>
      <c r="F34" s="400">
        <v>0</v>
      </c>
      <c r="G34" s="400">
        <v>0.2</v>
      </c>
    </row>
    <row r="35" spans="1:11" ht="15" x14ac:dyDescent="0.25">
      <c r="A35" s="798">
        <f t="shared" si="1"/>
        <v>23</v>
      </c>
      <c r="C35" s="402">
        <v>391.4</v>
      </c>
      <c r="D35" s="400" t="s">
        <v>2287</v>
      </c>
      <c r="E35" s="43">
        <f t="shared" si="2"/>
        <v>0.1429</v>
      </c>
      <c r="F35" s="400">
        <v>0</v>
      </c>
      <c r="G35" s="400">
        <v>0.1429</v>
      </c>
    </row>
    <row r="36" spans="1:11" ht="15" x14ac:dyDescent="0.25">
      <c r="A36" s="798">
        <f t="shared" si="1"/>
        <v>24</v>
      </c>
      <c r="C36" s="401">
        <v>391.4</v>
      </c>
      <c r="D36" s="400" t="s">
        <v>2288</v>
      </c>
      <c r="E36" s="43">
        <f t="shared" si="2"/>
        <v>0.1</v>
      </c>
      <c r="F36" s="400">
        <v>0</v>
      </c>
      <c r="G36" s="400">
        <v>0.1</v>
      </c>
    </row>
    <row r="37" spans="1:11" ht="15" x14ac:dyDescent="0.25">
      <c r="A37" s="798">
        <f t="shared" si="1"/>
        <v>25</v>
      </c>
      <c r="C37" s="402">
        <v>391.4</v>
      </c>
      <c r="D37" s="400" t="s">
        <v>2289</v>
      </c>
      <c r="E37" s="43">
        <f t="shared" si="2"/>
        <v>6.6699999999999995E-2</v>
      </c>
      <c r="F37" s="400">
        <v>0</v>
      </c>
      <c r="G37" s="400">
        <v>6.6699999999999995E-2</v>
      </c>
    </row>
    <row r="38" spans="1:11" ht="15" x14ac:dyDescent="0.25">
      <c r="A38" s="798">
        <f t="shared" si="1"/>
        <v>26</v>
      </c>
      <c r="C38" s="402">
        <v>391.4</v>
      </c>
      <c r="D38" s="400" t="s">
        <v>2290</v>
      </c>
      <c r="E38" s="43">
        <f t="shared" si="2"/>
        <v>0.05</v>
      </c>
      <c r="F38" s="400">
        <v>0</v>
      </c>
      <c r="G38" s="400">
        <v>0.05</v>
      </c>
    </row>
    <row r="39" spans="1:11" ht="15" x14ac:dyDescent="0.25">
      <c r="A39" s="798">
        <f t="shared" si="1"/>
        <v>27</v>
      </c>
      <c r="C39" s="402">
        <v>391.4</v>
      </c>
      <c r="D39" s="400" t="s">
        <v>2291</v>
      </c>
      <c r="E39" s="43">
        <f t="shared" si="2"/>
        <v>0.04</v>
      </c>
      <c r="F39" s="400">
        <v>0</v>
      </c>
      <c r="G39" s="400">
        <v>0.04</v>
      </c>
      <c r="I39" s="400"/>
      <c r="J39" s="400"/>
      <c r="K39" s="400"/>
    </row>
    <row r="40" spans="1:11" ht="15" x14ac:dyDescent="0.25">
      <c r="A40" s="798">
        <f t="shared" si="1"/>
        <v>28</v>
      </c>
      <c r="C40" s="402">
        <v>393</v>
      </c>
      <c r="D40" t="s">
        <v>2292</v>
      </c>
      <c r="E40" s="43">
        <f t="shared" si="2"/>
        <v>0.05</v>
      </c>
      <c r="F40" s="400">
        <v>0</v>
      </c>
      <c r="G40" s="400">
        <v>0.05</v>
      </c>
      <c r="I40" s="400"/>
      <c r="J40" s="400"/>
      <c r="K40" s="400"/>
    </row>
    <row r="41" spans="1:11" ht="15" x14ac:dyDescent="0.25">
      <c r="A41" s="798">
        <f t="shared" si="1"/>
        <v>29</v>
      </c>
      <c r="C41" s="402">
        <v>395</v>
      </c>
      <c r="D41" t="s">
        <v>2293</v>
      </c>
      <c r="E41" s="43">
        <f t="shared" si="2"/>
        <v>6.6699999999999995E-2</v>
      </c>
      <c r="F41" s="400">
        <v>0</v>
      </c>
      <c r="G41" s="400">
        <v>6.6699999999999995E-2</v>
      </c>
      <c r="I41" s="400"/>
      <c r="J41" s="400"/>
      <c r="K41" s="400"/>
    </row>
    <row r="42" spans="1:11" ht="15" x14ac:dyDescent="0.25">
      <c r="A42" s="798">
        <f t="shared" si="1"/>
        <v>30</v>
      </c>
      <c r="C42" s="402">
        <v>398</v>
      </c>
      <c r="D42" t="s">
        <v>2294</v>
      </c>
      <c r="E42" s="43">
        <f t="shared" si="2"/>
        <v>0.05</v>
      </c>
      <c r="F42" s="400">
        <v>0</v>
      </c>
      <c r="G42" s="400">
        <v>0.05</v>
      </c>
      <c r="I42" s="400"/>
      <c r="J42" s="400"/>
      <c r="K42" s="400"/>
    </row>
    <row r="43" spans="1:11" ht="15" x14ac:dyDescent="0.25">
      <c r="A43" s="798">
        <f t="shared" si="1"/>
        <v>31</v>
      </c>
      <c r="C43" s="402">
        <v>397</v>
      </c>
      <c r="D43" t="s">
        <v>2295</v>
      </c>
      <c r="E43" s="43">
        <f t="shared" si="2"/>
        <v>0.1429</v>
      </c>
      <c r="F43" s="400">
        <v>0</v>
      </c>
      <c r="G43" s="400">
        <v>0.1429</v>
      </c>
      <c r="I43" s="400"/>
      <c r="J43" s="400"/>
      <c r="K43" s="400"/>
    </row>
    <row r="44" spans="1:11" ht="15" x14ac:dyDescent="0.25">
      <c r="A44" s="798">
        <f t="shared" si="1"/>
        <v>32</v>
      </c>
      <c r="C44" s="402">
        <v>397</v>
      </c>
      <c r="D44" t="s">
        <v>2296</v>
      </c>
      <c r="E44" s="43">
        <f t="shared" si="2"/>
        <v>0.1</v>
      </c>
      <c r="F44" s="400">
        <v>0</v>
      </c>
      <c r="G44" s="400">
        <v>0.1</v>
      </c>
      <c r="I44" s="400"/>
      <c r="J44" s="400"/>
      <c r="K44" s="400"/>
    </row>
    <row r="45" spans="1:11" ht="15" x14ac:dyDescent="0.25">
      <c r="A45" s="798">
        <f t="shared" si="1"/>
        <v>33</v>
      </c>
      <c r="C45" s="402">
        <v>397</v>
      </c>
      <c r="D45" t="s">
        <v>2297</v>
      </c>
      <c r="E45" s="43">
        <f t="shared" si="2"/>
        <v>6.6699999999999995E-2</v>
      </c>
      <c r="F45" s="400">
        <v>0</v>
      </c>
      <c r="G45" s="400">
        <v>6.6699999999999995E-2</v>
      </c>
      <c r="I45" s="400"/>
      <c r="J45" s="400"/>
      <c r="K45" s="400"/>
    </row>
    <row r="46" spans="1:11" ht="15" x14ac:dyDescent="0.25">
      <c r="A46" s="798">
        <f t="shared" si="1"/>
        <v>34</v>
      </c>
      <c r="C46" s="402">
        <v>397</v>
      </c>
      <c r="D46" t="s">
        <v>2298</v>
      </c>
      <c r="E46" s="1110">
        <v>6.0600000000000001E-2</v>
      </c>
      <c r="F46" s="400">
        <v>0</v>
      </c>
      <c r="G46" s="400">
        <v>6.0600000000000001E-2</v>
      </c>
    </row>
    <row r="47" spans="1:11" ht="15" x14ac:dyDescent="0.25">
      <c r="A47" s="798">
        <f t="shared" si="1"/>
        <v>35</v>
      </c>
      <c r="C47" s="402">
        <v>397</v>
      </c>
      <c r="D47" t="s">
        <v>2299</v>
      </c>
      <c r="E47" s="1110">
        <v>3.7499999999999999E-2</v>
      </c>
      <c r="F47" s="400">
        <v>0</v>
      </c>
      <c r="G47" s="400">
        <v>3.7499999999999999E-2</v>
      </c>
    </row>
    <row r="48" spans="1:11" ht="15" x14ac:dyDescent="0.25">
      <c r="A48" s="798">
        <f t="shared" si="1"/>
        <v>36</v>
      </c>
      <c r="C48" s="402">
        <v>392</v>
      </c>
      <c r="D48" t="s">
        <v>2300</v>
      </c>
      <c r="E48" s="43">
        <f t="shared" si="2"/>
        <v>0.1429</v>
      </c>
      <c r="F48" s="400">
        <v>0</v>
      </c>
      <c r="G48" s="400">
        <v>0.1429</v>
      </c>
    </row>
    <row r="49" spans="1:7" ht="15" x14ac:dyDescent="0.25">
      <c r="A49" s="798">
        <f t="shared" si="1"/>
        <v>37</v>
      </c>
      <c r="C49" s="402">
        <v>394.4</v>
      </c>
      <c r="D49" t="s">
        <v>2301</v>
      </c>
      <c r="E49" s="43">
        <f t="shared" si="2"/>
        <v>0.1</v>
      </c>
      <c r="F49" s="400">
        <v>0</v>
      </c>
      <c r="G49" s="400">
        <v>0.1</v>
      </c>
    </row>
    <row r="50" spans="1:7" ht="15" x14ac:dyDescent="0.25">
      <c r="A50" s="798">
        <f t="shared" si="1"/>
        <v>38</v>
      </c>
      <c r="C50" s="402">
        <v>394.5</v>
      </c>
      <c r="D50" t="s">
        <v>2302</v>
      </c>
      <c r="E50" s="43">
        <f t="shared" si="2"/>
        <v>0.1</v>
      </c>
      <c r="F50" s="400">
        <v>0</v>
      </c>
      <c r="G50" s="400">
        <v>0.1</v>
      </c>
    </row>
    <row r="51" spans="1:7" ht="15" x14ac:dyDescent="0.25">
      <c r="A51" s="798">
        <f t="shared" si="1"/>
        <v>39</v>
      </c>
      <c r="C51" s="402">
        <v>396</v>
      </c>
      <c r="D51" t="s">
        <v>2303</v>
      </c>
      <c r="E51" s="43">
        <f t="shared" si="2"/>
        <v>6.6699999999999995E-2</v>
      </c>
      <c r="F51" s="400">
        <v>0</v>
      </c>
      <c r="G51" s="400">
        <v>6.6699999999999995E-2</v>
      </c>
    </row>
    <row r="53" spans="1:7" ht="15" x14ac:dyDescent="0.25">
      <c r="B53" s="398" t="s">
        <v>1147</v>
      </c>
      <c r="E53" s="257" t="s">
        <v>427</v>
      </c>
    </row>
    <row r="54" spans="1:7" ht="15" x14ac:dyDescent="0.25">
      <c r="C54" s="257" t="s">
        <v>13</v>
      </c>
      <c r="E54" s="257" t="s">
        <v>1131</v>
      </c>
      <c r="F54" s="4" t="s">
        <v>1132</v>
      </c>
      <c r="G54" s="4"/>
    </row>
    <row r="55" spans="1:7" ht="15" x14ac:dyDescent="0.25">
      <c r="C55" s="259" t="s">
        <v>113</v>
      </c>
      <c r="D55" s="259" t="s">
        <v>114</v>
      </c>
      <c r="E55" s="259" t="s">
        <v>1133</v>
      </c>
      <c r="F55" s="259" t="s">
        <v>1134</v>
      </c>
      <c r="G55" s="259" t="s">
        <v>226</v>
      </c>
    </row>
    <row r="56" spans="1:7" ht="15" x14ac:dyDescent="0.25">
      <c r="A56" s="2">
        <f>A51+1</f>
        <v>40</v>
      </c>
      <c r="C56" s="402">
        <v>302</v>
      </c>
      <c r="D56" s="399" t="s">
        <v>1148</v>
      </c>
      <c r="E56" s="400">
        <v>2.64E-2</v>
      </c>
      <c r="F56" s="400">
        <v>0</v>
      </c>
      <c r="G56" s="400">
        <v>2.64E-2</v>
      </c>
    </row>
    <row r="57" spans="1:7" ht="15" x14ac:dyDescent="0.25">
      <c r="A57" s="2">
        <f t="shared" ref="A57:A62" si="3">A56+1</f>
        <v>41</v>
      </c>
      <c r="C57" s="402">
        <v>303</v>
      </c>
      <c r="D57" s="399" t="s">
        <v>1149</v>
      </c>
      <c r="E57" s="400">
        <v>2.5000000000000001E-2</v>
      </c>
      <c r="F57" s="400">
        <v>0</v>
      </c>
      <c r="G57" s="400">
        <v>2.5000000000000001E-2</v>
      </c>
    </row>
    <row r="58" spans="1:7" ht="15" x14ac:dyDescent="0.25">
      <c r="A58" s="2">
        <f t="shared" si="3"/>
        <v>42</v>
      </c>
      <c r="C58" s="402">
        <v>301</v>
      </c>
      <c r="D58" s="399" t="s">
        <v>1150</v>
      </c>
      <c r="E58" s="400">
        <v>0.05</v>
      </c>
      <c r="F58" s="400">
        <v>0</v>
      </c>
      <c r="G58" s="400">
        <v>0.05</v>
      </c>
    </row>
    <row r="59" spans="1:7" ht="15" x14ac:dyDescent="0.25">
      <c r="A59" s="2">
        <f t="shared" si="3"/>
        <v>43</v>
      </c>
      <c r="C59" s="402">
        <v>303</v>
      </c>
      <c r="D59" s="399" t="s">
        <v>1151</v>
      </c>
      <c r="E59" s="400">
        <v>0.21410000000000001</v>
      </c>
      <c r="F59" s="400">
        <v>0</v>
      </c>
      <c r="G59" s="400">
        <v>0.21410000000000001</v>
      </c>
    </row>
    <row r="60" spans="1:7" ht="15" x14ac:dyDescent="0.25">
      <c r="A60" s="2">
        <f t="shared" si="3"/>
        <v>44</v>
      </c>
      <c r="C60" s="402">
        <v>303</v>
      </c>
      <c r="D60" s="399" t="s">
        <v>1152</v>
      </c>
      <c r="E60" s="400">
        <v>0.14710000000000001</v>
      </c>
      <c r="F60" s="400">
        <v>0</v>
      </c>
      <c r="G60" s="400">
        <v>0.14710000000000001</v>
      </c>
    </row>
    <row r="61" spans="1:7" ht="15" x14ac:dyDescent="0.25">
      <c r="A61" s="2">
        <f t="shared" si="3"/>
        <v>45</v>
      </c>
      <c r="C61" s="402">
        <v>303</v>
      </c>
      <c r="D61" s="399" t="s">
        <v>1153</v>
      </c>
      <c r="E61" s="400">
        <v>0.1</v>
      </c>
      <c r="F61" s="400">
        <v>0</v>
      </c>
      <c r="G61" s="400">
        <v>0.1</v>
      </c>
    </row>
    <row r="62" spans="1:7" ht="15" x14ac:dyDescent="0.25">
      <c r="A62" s="2">
        <f t="shared" si="3"/>
        <v>46</v>
      </c>
      <c r="C62" s="402">
        <v>303</v>
      </c>
      <c r="D62" s="399" t="s">
        <v>1154</v>
      </c>
      <c r="E62" s="400">
        <v>6.6699999999999995E-2</v>
      </c>
      <c r="F62" s="400">
        <v>0</v>
      </c>
      <c r="G62" s="400">
        <v>6.6699999999999995E-2</v>
      </c>
    </row>
    <row r="63" spans="1:7" x14ac:dyDescent="0.2">
      <c r="B63" s="651" t="s">
        <v>2531</v>
      </c>
      <c r="C63" s="14"/>
      <c r="D63" s="14"/>
      <c r="E63" s="14"/>
      <c r="F63" s="14"/>
      <c r="G63" s="14"/>
    </row>
    <row r="64" spans="1:7" x14ac:dyDescent="0.2">
      <c r="B64" s="651" t="s">
        <v>2530</v>
      </c>
      <c r="C64" s="14"/>
      <c r="D64" s="14"/>
      <c r="E64" s="14"/>
      <c r="F64" s="14"/>
      <c r="G64" s="14"/>
    </row>
  </sheetData>
  <pageMargins left="0.7" right="0.7" top="0.75" bottom="0.75" header="0.3" footer="0.3"/>
  <pageSetup scale="75" orientation="portrait" cellComments="asDisplayed" r:id="rId1"/>
  <headerFooter>
    <oddHeader>&amp;CSchedule 18
Depreciation Rates
&amp;"Arial,Bold"Exhibit G-1</oddHeader>
    <oddFooter>&amp;R18-DepRates</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6"/>
  <sheetViews>
    <sheetView zoomScale="75" zoomScaleNormal="75" workbookViewId="0"/>
  </sheetViews>
  <sheetFormatPr defaultRowHeight="12.75" x14ac:dyDescent="0.2"/>
  <cols>
    <col min="1" max="1" width="5.7109375" style="492" customWidth="1"/>
    <col min="2" max="2" width="50.7109375" style="492" customWidth="1"/>
    <col min="3" max="5" width="14.7109375" style="571" customWidth="1"/>
    <col min="6" max="6" width="12.7109375" style="584" customWidth="1"/>
    <col min="7" max="7" width="12.7109375" style="517" customWidth="1"/>
    <col min="8" max="9" width="14.7109375" style="518" customWidth="1"/>
    <col min="10" max="12" width="14.7109375" style="492" customWidth="1"/>
  </cols>
  <sheetData>
    <row r="1" spans="1:12" ht="12.75" customHeight="1" x14ac:dyDescent="0.3">
      <c r="A1" s="491" t="s">
        <v>1572</v>
      </c>
      <c r="C1" s="493"/>
      <c r="D1" s="494"/>
      <c r="E1" s="494"/>
      <c r="F1" s="495"/>
      <c r="G1" s="496"/>
      <c r="H1" s="496"/>
      <c r="I1" s="496"/>
      <c r="J1" s="496"/>
      <c r="K1"/>
      <c r="L1"/>
    </row>
    <row r="2" spans="1:12" ht="12.75" customHeight="1" x14ac:dyDescent="0.3">
      <c r="A2" s="497"/>
      <c r="C2" s="493"/>
      <c r="D2" s="494"/>
      <c r="E2" s="494"/>
      <c r="F2" s="498"/>
      <c r="G2" s="159" t="s">
        <v>344</v>
      </c>
      <c r="H2" s="101"/>
      <c r="I2" s="494"/>
      <c r="J2" s="496"/>
      <c r="K2" s="496"/>
      <c r="L2" s="496"/>
    </row>
    <row r="3" spans="1:12" ht="12.75" customHeight="1" x14ac:dyDescent="0.2">
      <c r="A3" s="499"/>
      <c r="B3" s="500" t="s">
        <v>1573</v>
      </c>
      <c r="C3" s="502"/>
      <c r="D3" s="502"/>
      <c r="E3" s="502"/>
      <c r="F3" s="503"/>
      <c r="G3" s="501"/>
      <c r="H3" s="501"/>
      <c r="I3" s="501"/>
      <c r="J3" s="501"/>
      <c r="K3" s="501"/>
      <c r="L3" s="504"/>
    </row>
    <row r="4" spans="1:12" ht="12.75" customHeight="1" x14ac:dyDescent="0.3">
      <c r="A4" s="505"/>
      <c r="B4" s="497"/>
      <c r="C4" s="506"/>
      <c r="D4" s="506"/>
      <c r="E4" s="506"/>
      <c r="F4" s="507"/>
      <c r="G4" s="26"/>
      <c r="H4" s="26"/>
      <c r="I4" s="26"/>
      <c r="J4" s="26"/>
      <c r="K4" s="26"/>
      <c r="L4" s="496"/>
    </row>
    <row r="5" spans="1:12" ht="12.75" customHeight="1" x14ac:dyDescent="0.2">
      <c r="A5" s="501"/>
      <c r="B5" s="508" t="s">
        <v>406</v>
      </c>
      <c r="C5" s="508" t="s">
        <v>390</v>
      </c>
      <c r="D5" s="508" t="s">
        <v>391</v>
      </c>
      <c r="E5" s="508" t="s">
        <v>392</v>
      </c>
      <c r="F5" s="509" t="s">
        <v>393</v>
      </c>
      <c r="G5" s="508" t="s">
        <v>394</v>
      </c>
      <c r="H5" s="508" t="s">
        <v>395</v>
      </c>
      <c r="I5" s="508" t="s">
        <v>610</v>
      </c>
      <c r="J5" s="508" t="s">
        <v>1059</v>
      </c>
      <c r="K5" s="508" t="s">
        <v>1076</v>
      </c>
      <c r="L5" s="508" t="s">
        <v>1079</v>
      </c>
    </row>
    <row r="6" spans="1:12" ht="12.75" customHeight="1" x14ac:dyDescent="0.2">
      <c r="A6" s="505"/>
      <c r="B6" s="497"/>
      <c r="C6" s="510" t="s">
        <v>1574</v>
      </c>
      <c r="D6" s="506"/>
      <c r="E6" s="506"/>
      <c r="F6" s="511" t="s">
        <v>408</v>
      </c>
      <c r="G6" s="510" t="s">
        <v>1575</v>
      </c>
      <c r="H6" s="512"/>
      <c r="I6" s="512"/>
      <c r="J6" s="510" t="s">
        <v>1576</v>
      </c>
      <c r="K6" s="510" t="s">
        <v>1577</v>
      </c>
      <c r="L6" s="513" t="s">
        <v>1578</v>
      </c>
    </row>
    <row r="7" spans="1:12" ht="12.75" customHeight="1" x14ac:dyDescent="0.2">
      <c r="C7" s="514"/>
      <c r="D7" s="515"/>
      <c r="E7" s="515"/>
      <c r="F7" s="516"/>
      <c r="J7" s="519"/>
    </row>
    <row r="8" spans="1:12" x14ac:dyDescent="0.2">
      <c r="A8" s="520"/>
      <c r="B8" s="1210" t="s">
        <v>1579</v>
      </c>
      <c r="C8" s="1212" t="s">
        <v>1580</v>
      </c>
      <c r="D8" s="1212"/>
      <c r="E8" s="1212"/>
      <c r="F8" s="522"/>
      <c r="G8" s="1213" t="s">
        <v>1581</v>
      </c>
      <c r="H8" s="1213"/>
      <c r="I8" s="1214"/>
      <c r="J8" s="1216" t="s">
        <v>1582</v>
      </c>
      <c r="K8" s="1213"/>
      <c r="L8" s="1214"/>
    </row>
    <row r="9" spans="1:12" x14ac:dyDescent="0.2">
      <c r="A9" s="53"/>
      <c r="B9" s="1211"/>
      <c r="C9" s="521" t="s">
        <v>226</v>
      </c>
      <c r="D9" s="521" t="s">
        <v>1583</v>
      </c>
      <c r="E9" s="523" t="s">
        <v>1584</v>
      </c>
      <c r="F9" s="524" t="s">
        <v>1511</v>
      </c>
      <c r="G9" s="523" t="s">
        <v>226</v>
      </c>
      <c r="H9" s="523" t="s">
        <v>1583</v>
      </c>
      <c r="I9" s="523" t="s">
        <v>1584</v>
      </c>
      <c r="J9" s="521" t="s">
        <v>226</v>
      </c>
      <c r="K9" s="523" t="s">
        <v>1583</v>
      </c>
      <c r="L9" s="523" t="s">
        <v>1584</v>
      </c>
    </row>
    <row r="10" spans="1:12" x14ac:dyDescent="0.2">
      <c r="A10" s="53" t="s">
        <v>372</v>
      </c>
      <c r="B10" s="525" t="s">
        <v>1585</v>
      </c>
      <c r="C10" s="274"/>
      <c r="D10" s="274"/>
      <c r="E10" s="526"/>
      <c r="F10" s="527"/>
      <c r="G10" s="526"/>
      <c r="H10" s="526"/>
      <c r="I10" s="526"/>
      <c r="J10" s="274"/>
      <c r="K10" s="526"/>
      <c r="L10" s="526"/>
    </row>
    <row r="11" spans="1:12" x14ac:dyDescent="0.2">
      <c r="A11" s="2">
        <v>1</v>
      </c>
      <c r="B11" s="54" t="s">
        <v>1586</v>
      </c>
      <c r="C11" s="593">
        <f>SUM(D11:E11)</f>
        <v>13896910.409999996</v>
      </c>
      <c r="D11" s="708">
        <v>6049886.1600000001</v>
      </c>
      <c r="E11" s="708">
        <v>7847024.2499999972</v>
      </c>
      <c r="F11" s="1113" t="s">
        <v>634</v>
      </c>
      <c r="G11" s="594">
        <f t="shared" ref="G11:G61" si="0">SUM(H11:I11)</f>
        <v>-14850</v>
      </c>
      <c r="H11" s="708">
        <v>-14600</v>
      </c>
      <c r="I11" s="708">
        <v>-250</v>
      </c>
      <c r="J11" s="531">
        <f>SUM(K11:L11)</f>
        <v>13882060.409999996</v>
      </c>
      <c r="K11" s="531">
        <f>D11+H11</f>
        <v>6035286.1600000001</v>
      </c>
      <c r="L11" s="531">
        <f>E11+I11</f>
        <v>7846774.2499999972</v>
      </c>
    </row>
    <row r="12" spans="1:12" x14ac:dyDescent="0.2">
      <c r="A12" s="2">
        <f>A11+1</f>
        <v>2</v>
      </c>
      <c r="B12" s="54" t="s">
        <v>1587</v>
      </c>
      <c r="C12" s="593">
        <f t="shared" ref="C12:C59" si="1">SUM(D12:E12)</f>
        <v>223342.38</v>
      </c>
      <c r="D12" s="708">
        <v>0</v>
      </c>
      <c r="E12" s="708">
        <v>223342.38</v>
      </c>
      <c r="F12" s="1113"/>
      <c r="G12" s="594">
        <f t="shared" si="0"/>
        <v>0</v>
      </c>
      <c r="H12" s="708"/>
      <c r="I12" s="708"/>
      <c r="J12" s="531">
        <f t="shared" ref="J12:J61" si="2">SUM(K12:L12)</f>
        <v>223342.38</v>
      </c>
      <c r="K12" s="531">
        <f t="shared" ref="K12:L27" si="3">D12+H12</f>
        <v>0</v>
      </c>
      <c r="L12" s="531">
        <f t="shared" si="3"/>
        <v>223342.38</v>
      </c>
    </row>
    <row r="13" spans="1:12" x14ac:dyDescent="0.2">
      <c r="A13" s="2">
        <f t="shared" ref="A13:A63" si="4">A12+1</f>
        <v>3</v>
      </c>
      <c r="B13" s="533" t="s">
        <v>1588</v>
      </c>
      <c r="C13" s="593">
        <f t="shared" si="1"/>
        <v>225032.2</v>
      </c>
      <c r="D13" s="708">
        <v>0</v>
      </c>
      <c r="E13" s="708">
        <v>225032.2</v>
      </c>
      <c r="F13" s="1113"/>
      <c r="G13" s="594">
        <f t="shared" si="0"/>
        <v>0</v>
      </c>
      <c r="H13" s="708"/>
      <c r="I13" s="708"/>
      <c r="J13" s="531">
        <f t="shared" si="2"/>
        <v>225032.2</v>
      </c>
      <c r="K13" s="531">
        <f t="shared" si="3"/>
        <v>0</v>
      </c>
      <c r="L13" s="531">
        <f t="shared" si="3"/>
        <v>225032.2</v>
      </c>
    </row>
    <row r="14" spans="1:12" x14ac:dyDescent="0.2">
      <c r="A14" s="2">
        <f t="shared" si="4"/>
        <v>4</v>
      </c>
      <c r="B14" s="533" t="s">
        <v>1589</v>
      </c>
      <c r="C14" s="593">
        <f t="shared" si="1"/>
        <v>415117.91000000003</v>
      </c>
      <c r="D14" s="708">
        <v>308474.47000000003</v>
      </c>
      <c r="E14" s="708">
        <v>106643.44</v>
      </c>
      <c r="F14" s="1113"/>
      <c r="G14" s="594">
        <f t="shared" si="0"/>
        <v>0</v>
      </c>
      <c r="H14" s="708"/>
      <c r="I14" s="708"/>
      <c r="J14" s="531">
        <f t="shared" si="2"/>
        <v>415117.91000000003</v>
      </c>
      <c r="K14" s="531">
        <f t="shared" si="3"/>
        <v>308474.47000000003</v>
      </c>
      <c r="L14" s="531">
        <f t="shared" si="3"/>
        <v>106643.44</v>
      </c>
    </row>
    <row r="15" spans="1:12" x14ac:dyDescent="0.2">
      <c r="A15" s="2">
        <f t="shared" si="4"/>
        <v>5</v>
      </c>
      <c r="B15" s="533" t="s">
        <v>1590</v>
      </c>
      <c r="C15" s="593">
        <f t="shared" si="1"/>
        <v>5151512.59</v>
      </c>
      <c r="D15" s="708">
        <v>4220827.43</v>
      </c>
      <c r="E15" s="708">
        <v>930685.15999999992</v>
      </c>
      <c r="F15" s="1113" t="s">
        <v>634</v>
      </c>
      <c r="G15" s="594">
        <f t="shared" si="0"/>
        <v>-313</v>
      </c>
      <c r="H15" s="708"/>
      <c r="I15" s="708">
        <v>-313</v>
      </c>
      <c r="J15" s="531">
        <f t="shared" si="2"/>
        <v>5151199.59</v>
      </c>
      <c r="K15" s="531">
        <f t="shared" si="3"/>
        <v>4220827.43</v>
      </c>
      <c r="L15" s="531">
        <f t="shared" si="3"/>
        <v>930372.15999999992</v>
      </c>
    </row>
    <row r="16" spans="1:12" x14ac:dyDescent="0.2">
      <c r="A16" s="2">
        <f t="shared" si="4"/>
        <v>6</v>
      </c>
      <c r="B16" s="533" t="s">
        <v>1591</v>
      </c>
      <c r="C16" s="593">
        <f t="shared" si="1"/>
        <v>45524451.310000002</v>
      </c>
      <c r="D16" s="708">
        <v>0</v>
      </c>
      <c r="E16" s="708">
        <v>45524451.310000002</v>
      </c>
      <c r="F16" s="1114" t="s">
        <v>628</v>
      </c>
      <c r="G16" s="594">
        <f t="shared" si="0"/>
        <v>-45524451.310000002</v>
      </c>
      <c r="H16" s="708"/>
      <c r="I16" s="708">
        <v>-45524451.310000002</v>
      </c>
      <c r="J16" s="531">
        <f t="shared" si="2"/>
        <v>0</v>
      </c>
      <c r="K16" s="531">
        <f t="shared" si="3"/>
        <v>0</v>
      </c>
      <c r="L16" s="531">
        <f t="shared" si="3"/>
        <v>0</v>
      </c>
    </row>
    <row r="17" spans="1:12" x14ac:dyDescent="0.2">
      <c r="A17" s="2">
        <f t="shared" si="4"/>
        <v>7</v>
      </c>
      <c r="B17" s="533" t="s">
        <v>1592</v>
      </c>
      <c r="C17" s="593">
        <f t="shared" si="1"/>
        <v>4661931</v>
      </c>
      <c r="D17" s="708">
        <v>3859055.62</v>
      </c>
      <c r="E17" s="708">
        <v>802875.38000000012</v>
      </c>
      <c r="F17" s="1113" t="s">
        <v>634</v>
      </c>
      <c r="G17" s="594">
        <f t="shared" si="0"/>
        <v>-3750</v>
      </c>
      <c r="H17" s="708">
        <v>-1000</v>
      </c>
      <c r="I17" s="708">
        <v>-2750</v>
      </c>
      <c r="J17" s="531">
        <f t="shared" si="2"/>
        <v>4658181</v>
      </c>
      <c r="K17" s="531">
        <f t="shared" si="3"/>
        <v>3858055.62</v>
      </c>
      <c r="L17" s="531">
        <f t="shared" si="3"/>
        <v>800125.38000000012</v>
      </c>
    </row>
    <row r="18" spans="1:12" x14ac:dyDescent="0.2">
      <c r="A18" s="2">
        <f t="shared" si="4"/>
        <v>8</v>
      </c>
      <c r="B18" s="533" t="s">
        <v>1593</v>
      </c>
      <c r="C18" s="593">
        <f t="shared" si="1"/>
        <v>263504.3</v>
      </c>
      <c r="D18" s="708">
        <v>262937.3</v>
      </c>
      <c r="E18" s="708">
        <v>567</v>
      </c>
      <c r="F18" s="1113" t="s">
        <v>629</v>
      </c>
      <c r="G18" s="594">
        <f t="shared" si="0"/>
        <v>-263504.3</v>
      </c>
      <c r="H18" s="708">
        <v>-262937.3</v>
      </c>
      <c r="I18" s="708">
        <v>-567</v>
      </c>
      <c r="J18" s="531">
        <f t="shared" si="2"/>
        <v>0</v>
      </c>
      <c r="K18" s="531">
        <f t="shared" si="3"/>
        <v>0</v>
      </c>
      <c r="L18" s="531">
        <f t="shared" si="3"/>
        <v>0</v>
      </c>
    </row>
    <row r="19" spans="1:12" x14ac:dyDescent="0.2">
      <c r="A19" s="2">
        <f t="shared" si="4"/>
        <v>9</v>
      </c>
      <c r="B19" s="533" t="s">
        <v>1594</v>
      </c>
      <c r="C19" s="593">
        <f t="shared" si="1"/>
        <v>16153825.479999999</v>
      </c>
      <c r="D19" s="708">
        <v>11271441.479999999</v>
      </c>
      <c r="E19" s="708">
        <v>4882384</v>
      </c>
      <c r="F19" s="1113"/>
      <c r="G19" s="594">
        <f t="shared" si="0"/>
        <v>0</v>
      </c>
      <c r="H19" s="708"/>
      <c r="I19" s="708"/>
      <c r="J19" s="531">
        <f t="shared" si="2"/>
        <v>16153825.479999999</v>
      </c>
      <c r="K19" s="531">
        <f t="shared" si="3"/>
        <v>11271441.479999999</v>
      </c>
      <c r="L19" s="531">
        <f t="shared" si="3"/>
        <v>4882384</v>
      </c>
    </row>
    <row r="20" spans="1:12" x14ac:dyDescent="0.2">
      <c r="A20" s="2">
        <f t="shared" si="4"/>
        <v>10</v>
      </c>
      <c r="B20" s="533" t="s">
        <v>1595</v>
      </c>
      <c r="C20" s="593">
        <f t="shared" si="1"/>
        <v>4136161.0699999989</v>
      </c>
      <c r="D20" s="708">
        <v>2975305.149999999</v>
      </c>
      <c r="E20" s="708">
        <v>1160855.92</v>
      </c>
      <c r="F20" s="1113"/>
      <c r="G20" s="594">
        <f t="shared" si="0"/>
        <v>0</v>
      </c>
      <c r="H20" s="708"/>
      <c r="I20" s="708"/>
      <c r="J20" s="531">
        <f t="shared" si="2"/>
        <v>4136161.0699999989</v>
      </c>
      <c r="K20" s="531">
        <f t="shared" si="3"/>
        <v>2975305.149999999</v>
      </c>
      <c r="L20" s="531">
        <f t="shared" si="3"/>
        <v>1160855.92</v>
      </c>
    </row>
    <row r="21" spans="1:12" x14ac:dyDescent="0.2">
      <c r="A21" s="2">
        <f t="shared" si="4"/>
        <v>11</v>
      </c>
      <c r="B21" s="533" t="s">
        <v>1596</v>
      </c>
      <c r="C21" s="593">
        <f t="shared" si="1"/>
        <v>735592.15</v>
      </c>
      <c r="D21" s="708">
        <v>0</v>
      </c>
      <c r="E21" s="708">
        <v>735592.15</v>
      </c>
      <c r="F21" s="1113"/>
      <c r="G21" s="594">
        <f t="shared" si="0"/>
        <v>0</v>
      </c>
      <c r="H21" s="708"/>
      <c r="I21" s="708"/>
      <c r="J21" s="531">
        <f t="shared" si="2"/>
        <v>735592.15</v>
      </c>
      <c r="K21" s="531">
        <f t="shared" si="3"/>
        <v>0</v>
      </c>
      <c r="L21" s="531">
        <f t="shared" si="3"/>
        <v>735592.15</v>
      </c>
    </row>
    <row r="22" spans="1:12" x14ac:dyDescent="0.2">
      <c r="A22" s="2">
        <f t="shared" si="4"/>
        <v>12</v>
      </c>
      <c r="B22" s="533" t="s">
        <v>1597</v>
      </c>
      <c r="C22" s="593">
        <f t="shared" si="1"/>
        <v>4023330.7299999995</v>
      </c>
      <c r="D22" s="708">
        <v>2306992.0299999998</v>
      </c>
      <c r="E22" s="708">
        <v>1716338.7</v>
      </c>
      <c r="F22" s="1113"/>
      <c r="G22" s="595">
        <f t="shared" si="0"/>
        <v>0</v>
      </c>
      <c r="H22" s="708"/>
      <c r="I22" s="708"/>
      <c r="J22" s="531">
        <f t="shared" si="2"/>
        <v>4023330.7299999995</v>
      </c>
      <c r="K22" s="531">
        <f t="shared" si="3"/>
        <v>2306992.0299999998</v>
      </c>
      <c r="L22" s="531">
        <f t="shared" si="3"/>
        <v>1716338.7</v>
      </c>
    </row>
    <row r="23" spans="1:12" x14ac:dyDescent="0.2">
      <c r="A23" s="2">
        <f t="shared" si="4"/>
        <v>13</v>
      </c>
      <c r="B23" s="533" t="s">
        <v>1598</v>
      </c>
      <c r="C23" s="593">
        <f t="shared" si="1"/>
        <v>963316.10999999987</v>
      </c>
      <c r="D23" s="708">
        <v>642258.66</v>
      </c>
      <c r="E23" s="708">
        <v>321057.4499999999</v>
      </c>
      <c r="F23" s="1113"/>
      <c r="G23" s="594">
        <f t="shared" si="0"/>
        <v>0</v>
      </c>
      <c r="H23" s="708"/>
      <c r="I23" s="708"/>
      <c r="J23" s="531">
        <f t="shared" si="2"/>
        <v>963316.10999999987</v>
      </c>
      <c r="K23" s="531">
        <f t="shared" si="3"/>
        <v>642258.66</v>
      </c>
      <c r="L23" s="531">
        <f t="shared" si="3"/>
        <v>321057.4499999999</v>
      </c>
    </row>
    <row r="24" spans="1:12" x14ac:dyDescent="0.2">
      <c r="A24" s="2">
        <f t="shared" si="4"/>
        <v>14</v>
      </c>
      <c r="B24" s="533" t="s">
        <v>1599</v>
      </c>
      <c r="C24" s="593">
        <f t="shared" si="1"/>
        <v>279936</v>
      </c>
      <c r="D24" s="708">
        <v>0</v>
      </c>
      <c r="E24" s="708">
        <v>279936</v>
      </c>
      <c r="F24" s="1113" t="s">
        <v>630</v>
      </c>
      <c r="G24" s="594">
        <f>SUM(H24:I24)</f>
        <v>-279936</v>
      </c>
      <c r="H24" s="708">
        <v>0</v>
      </c>
      <c r="I24" s="708">
        <v>-279936</v>
      </c>
      <c r="J24" s="531">
        <f>SUM(K24:L24)</f>
        <v>0</v>
      </c>
      <c r="K24" s="531">
        <f t="shared" si="3"/>
        <v>0</v>
      </c>
      <c r="L24" s="531">
        <f t="shared" si="3"/>
        <v>0</v>
      </c>
    </row>
    <row r="25" spans="1:12" x14ac:dyDescent="0.2">
      <c r="A25" s="2">
        <f t="shared" si="4"/>
        <v>15</v>
      </c>
      <c r="B25" s="533" t="s">
        <v>1600</v>
      </c>
      <c r="C25" s="593">
        <f t="shared" si="1"/>
        <v>225675.83000000002</v>
      </c>
      <c r="D25" s="708">
        <v>0</v>
      </c>
      <c r="E25" s="708">
        <v>225675.83000000002</v>
      </c>
      <c r="F25" s="654"/>
      <c r="G25" s="594">
        <f t="shared" si="0"/>
        <v>0</v>
      </c>
      <c r="H25" s="1111"/>
      <c r="I25" s="1111"/>
      <c r="J25" s="531">
        <f t="shared" si="2"/>
        <v>225675.83000000002</v>
      </c>
      <c r="K25" s="531">
        <f t="shared" si="3"/>
        <v>0</v>
      </c>
      <c r="L25" s="531">
        <f t="shared" si="3"/>
        <v>225675.83000000002</v>
      </c>
    </row>
    <row r="26" spans="1:12" x14ac:dyDescent="0.2">
      <c r="A26" s="2">
        <f t="shared" si="4"/>
        <v>16</v>
      </c>
      <c r="B26" s="533" t="s">
        <v>1601</v>
      </c>
      <c r="C26" s="593">
        <f t="shared" si="1"/>
        <v>16134867.220000001</v>
      </c>
      <c r="D26" s="708">
        <v>0</v>
      </c>
      <c r="E26" s="708">
        <v>16134867.220000001</v>
      </c>
      <c r="F26" s="1113"/>
      <c r="G26" s="594">
        <f t="shared" si="0"/>
        <v>0</v>
      </c>
      <c r="H26" s="708"/>
      <c r="I26" s="708"/>
      <c r="J26" s="531">
        <f t="shared" si="2"/>
        <v>16134867.220000001</v>
      </c>
      <c r="K26" s="531">
        <f t="shared" si="3"/>
        <v>0</v>
      </c>
      <c r="L26" s="531">
        <f t="shared" si="3"/>
        <v>16134867.220000001</v>
      </c>
    </row>
    <row r="27" spans="1:12" x14ac:dyDescent="0.2">
      <c r="A27" s="2">
        <f t="shared" si="4"/>
        <v>17</v>
      </c>
      <c r="B27" s="533" t="s">
        <v>1602</v>
      </c>
      <c r="C27" s="593">
        <f t="shared" si="1"/>
        <v>11821629.209999999</v>
      </c>
      <c r="D27" s="708">
        <v>1437.43</v>
      </c>
      <c r="E27" s="708">
        <v>11820191.779999999</v>
      </c>
      <c r="F27" s="1113" t="s">
        <v>631</v>
      </c>
      <c r="G27" s="595">
        <f t="shared" si="0"/>
        <v>-11821629.209999999</v>
      </c>
      <c r="H27" s="708">
        <v>-1437.43</v>
      </c>
      <c r="I27" s="708">
        <v>-11820191.779999999</v>
      </c>
      <c r="J27" s="531">
        <f t="shared" si="2"/>
        <v>0</v>
      </c>
      <c r="K27" s="531">
        <f t="shared" si="3"/>
        <v>0</v>
      </c>
      <c r="L27" s="531">
        <f t="shared" si="3"/>
        <v>0</v>
      </c>
    </row>
    <row r="28" spans="1:12" x14ac:dyDescent="0.2">
      <c r="A28" s="117">
        <f t="shared" si="4"/>
        <v>18</v>
      </c>
      <c r="B28" s="868" t="s">
        <v>2633</v>
      </c>
      <c r="C28" s="593">
        <f t="shared" si="1"/>
        <v>12567067</v>
      </c>
      <c r="D28" s="708">
        <v>6283066</v>
      </c>
      <c r="E28" s="708">
        <v>6284001</v>
      </c>
      <c r="F28" s="1115"/>
      <c r="G28" s="594">
        <f t="shared" si="0"/>
        <v>0</v>
      </c>
      <c r="H28" s="708"/>
      <c r="I28" s="708"/>
      <c r="J28" s="528">
        <f t="shared" si="2"/>
        <v>12567067</v>
      </c>
      <c r="K28" s="528">
        <f t="shared" ref="K28:L59" si="5">D28+H28</f>
        <v>6283066</v>
      </c>
      <c r="L28" s="528">
        <f t="shared" si="5"/>
        <v>6284001</v>
      </c>
    </row>
    <row r="29" spans="1:12" x14ac:dyDescent="0.2">
      <c r="A29" s="117">
        <f t="shared" si="4"/>
        <v>19</v>
      </c>
      <c r="B29" s="868" t="s">
        <v>2634</v>
      </c>
      <c r="C29" s="593">
        <f t="shared" si="1"/>
        <v>26464834</v>
      </c>
      <c r="D29" s="708">
        <v>9853621</v>
      </c>
      <c r="E29" s="708">
        <v>16611213</v>
      </c>
      <c r="F29" s="1113" t="s">
        <v>634</v>
      </c>
      <c r="G29" s="1116">
        <f t="shared" si="0"/>
        <v>-1038658</v>
      </c>
      <c r="H29" s="708">
        <v>-454850</v>
      </c>
      <c r="I29" s="708">
        <v>-583808</v>
      </c>
      <c r="J29" s="528">
        <f t="shared" ref="J29" si="6">SUM(K29:L29)</f>
        <v>25426176</v>
      </c>
      <c r="K29" s="528">
        <f t="shared" ref="K29" si="7">D29+H29</f>
        <v>9398771</v>
      </c>
      <c r="L29" s="528">
        <f t="shared" ref="L29" si="8">E29+I29</f>
        <v>16027405</v>
      </c>
    </row>
    <row r="30" spans="1:12" x14ac:dyDescent="0.2">
      <c r="A30" s="117">
        <f t="shared" si="4"/>
        <v>20</v>
      </c>
      <c r="B30" s="533" t="s">
        <v>1603</v>
      </c>
      <c r="C30" s="593">
        <f t="shared" si="1"/>
        <v>971175.55999999994</v>
      </c>
      <c r="D30" s="708">
        <v>921287.05999999994</v>
      </c>
      <c r="E30" s="708">
        <v>49888.499999999985</v>
      </c>
      <c r="F30" s="1113"/>
      <c r="G30" s="594">
        <f t="shared" si="0"/>
        <v>0</v>
      </c>
      <c r="H30" s="708"/>
      <c r="I30" s="708"/>
      <c r="J30" s="531">
        <f t="shared" si="2"/>
        <v>971175.55999999994</v>
      </c>
      <c r="K30" s="531">
        <f t="shared" si="5"/>
        <v>921287.05999999994</v>
      </c>
      <c r="L30" s="531">
        <f t="shared" si="5"/>
        <v>49888.499999999985</v>
      </c>
    </row>
    <row r="31" spans="1:12" x14ac:dyDescent="0.2">
      <c r="A31" s="117">
        <f t="shared" si="4"/>
        <v>21</v>
      </c>
      <c r="B31" s="533" t="s">
        <v>1604</v>
      </c>
      <c r="C31" s="593">
        <f t="shared" si="1"/>
        <v>998828.2300000001</v>
      </c>
      <c r="D31" s="708">
        <v>921120.81</v>
      </c>
      <c r="E31" s="708">
        <v>77707.42</v>
      </c>
      <c r="F31" s="1113" t="s">
        <v>634</v>
      </c>
      <c r="G31" s="594">
        <f t="shared" si="0"/>
        <v>-500</v>
      </c>
      <c r="H31" s="708"/>
      <c r="I31" s="708">
        <v>-500</v>
      </c>
      <c r="J31" s="531">
        <f t="shared" si="2"/>
        <v>998328.2300000001</v>
      </c>
      <c r="K31" s="531">
        <f t="shared" si="5"/>
        <v>921120.81</v>
      </c>
      <c r="L31" s="531">
        <f t="shared" si="5"/>
        <v>77207.42</v>
      </c>
    </row>
    <row r="32" spans="1:12" x14ac:dyDescent="0.2">
      <c r="A32" s="117">
        <f t="shared" si="4"/>
        <v>22</v>
      </c>
      <c r="B32" s="533" t="s">
        <v>1605</v>
      </c>
      <c r="C32" s="593">
        <f t="shared" si="1"/>
        <v>2730140.899999999</v>
      </c>
      <c r="D32" s="708">
        <v>2160273.8699999992</v>
      </c>
      <c r="E32" s="708">
        <v>569867.02999999991</v>
      </c>
      <c r="F32" s="1113" t="s">
        <v>634</v>
      </c>
      <c r="G32" s="594">
        <f t="shared" si="0"/>
        <v>-6700</v>
      </c>
      <c r="H32" s="708"/>
      <c r="I32" s="708">
        <v>-6700</v>
      </c>
      <c r="J32" s="531">
        <f t="shared" si="2"/>
        <v>2723440.899999999</v>
      </c>
      <c r="K32" s="531">
        <f t="shared" si="5"/>
        <v>2160273.8699999992</v>
      </c>
      <c r="L32" s="531">
        <f t="shared" si="5"/>
        <v>563167.02999999991</v>
      </c>
    </row>
    <row r="33" spans="1:12" x14ac:dyDescent="0.2">
      <c r="A33" s="117">
        <f t="shared" si="4"/>
        <v>23</v>
      </c>
      <c r="B33" s="533" t="s">
        <v>1606</v>
      </c>
      <c r="C33" s="593">
        <f t="shared" si="1"/>
        <v>1907673.8499999996</v>
      </c>
      <c r="D33" s="708">
        <v>1751028.8799999997</v>
      </c>
      <c r="E33" s="708">
        <v>156644.97000000003</v>
      </c>
      <c r="F33" s="1113"/>
      <c r="G33" s="594">
        <f t="shared" si="0"/>
        <v>0</v>
      </c>
      <c r="H33" s="708"/>
      <c r="I33" s="708"/>
      <c r="J33" s="531">
        <f t="shared" si="2"/>
        <v>1907673.8499999996</v>
      </c>
      <c r="K33" s="531">
        <f t="shared" si="5"/>
        <v>1751028.8799999997</v>
      </c>
      <c r="L33" s="531">
        <f t="shared" si="5"/>
        <v>156644.97000000003</v>
      </c>
    </row>
    <row r="34" spans="1:12" x14ac:dyDescent="0.2">
      <c r="A34" s="117">
        <f t="shared" si="4"/>
        <v>24</v>
      </c>
      <c r="B34" s="533" t="s">
        <v>1607</v>
      </c>
      <c r="C34" s="593">
        <f t="shared" si="1"/>
        <v>580423.8600000001</v>
      </c>
      <c r="D34" s="708">
        <v>0</v>
      </c>
      <c r="E34" s="708">
        <v>580423.8600000001</v>
      </c>
      <c r="F34" s="1113"/>
      <c r="G34" s="594">
        <f t="shared" si="0"/>
        <v>0</v>
      </c>
      <c r="H34" s="708"/>
      <c r="I34" s="708"/>
      <c r="J34" s="531">
        <f t="shared" si="2"/>
        <v>580423.8600000001</v>
      </c>
      <c r="K34" s="531">
        <f t="shared" si="5"/>
        <v>0</v>
      </c>
      <c r="L34" s="531">
        <f t="shared" si="5"/>
        <v>580423.8600000001</v>
      </c>
    </row>
    <row r="35" spans="1:12" x14ac:dyDescent="0.2">
      <c r="A35" s="117">
        <f t="shared" si="4"/>
        <v>25</v>
      </c>
      <c r="B35" s="533" t="s">
        <v>1608</v>
      </c>
      <c r="C35" s="593">
        <f t="shared" si="1"/>
        <v>6277330.04</v>
      </c>
      <c r="D35" s="708">
        <v>223095.71000000002</v>
      </c>
      <c r="E35" s="708">
        <v>6054234.3300000001</v>
      </c>
      <c r="F35" s="1113"/>
      <c r="G35" s="594">
        <f t="shared" si="0"/>
        <v>0</v>
      </c>
      <c r="H35" s="708"/>
      <c r="I35" s="708"/>
      <c r="J35" s="531">
        <f t="shared" si="2"/>
        <v>6277330.04</v>
      </c>
      <c r="K35" s="531">
        <f t="shared" si="5"/>
        <v>223095.71000000002</v>
      </c>
      <c r="L35" s="531">
        <f t="shared" si="5"/>
        <v>6054234.3300000001</v>
      </c>
    </row>
    <row r="36" spans="1:12" x14ac:dyDescent="0.2">
      <c r="A36" s="117">
        <f t="shared" si="4"/>
        <v>26</v>
      </c>
      <c r="B36" s="533" t="s">
        <v>1609</v>
      </c>
      <c r="C36" s="593">
        <f t="shared" si="1"/>
        <v>794036.05</v>
      </c>
      <c r="D36" s="708">
        <v>129.05000000000001</v>
      </c>
      <c r="E36" s="708">
        <v>793907</v>
      </c>
      <c r="F36" s="1113"/>
      <c r="G36" s="594">
        <f t="shared" si="0"/>
        <v>0</v>
      </c>
      <c r="H36" s="708"/>
      <c r="I36" s="708"/>
      <c r="J36" s="531">
        <f t="shared" si="2"/>
        <v>794036.05</v>
      </c>
      <c r="K36" s="531">
        <f t="shared" si="5"/>
        <v>129.05000000000001</v>
      </c>
      <c r="L36" s="531">
        <f t="shared" si="5"/>
        <v>793907</v>
      </c>
    </row>
    <row r="37" spans="1:12" x14ac:dyDescent="0.2">
      <c r="A37" s="117">
        <f t="shared" si="4"/>
        <v>27</v>
      </c>
      <c r="B37" s="533" t="s">
        <v>1610</v>
      </c>
      <c r="C37" s="593">
        <f t="shared" si="1"/>
        <v>131777.55000000005</v>
      </c>
      <c r="D37" s="708">
        <v>10630.49</v>
      </c>
      <c r="E37" s="708">
        <v>121147.06000000006</v>
      </c>
      <c r="F37" s="1113"/>
      <c r="G37" s="594">
        <f t="shared" si="0"/>
        <v>0</v>
      </c>
      <c r="H37" s="708"/>
      <c r="I37" s="708"/>
      <c r="J37" s="531">
        <f t="shared" si="2"/>
        <v>131777.55000000005</v>
      </c>
      <c r="K37" s="531">
        <f t="shared" si="5"/>
        <v>10630.49</v>
      </c>
      <c r="L37" s="531">
        <f t="shared" si="5"/>
        <v>121147.06000000006</v>
      </c>
    </row>
    <row r="38" spans="1:12" x14ac:dyDescent="0.2">
      <c r="A38" s="117">
        <f t="shared" si="4"/>
        <v>28</v>
      </c>
      <c r="B38" s="533" t="s">
        <v>1611</v>
      </c>
      <c r="C38" s="593">
        <f t="shared" si="1"/>
        <v>301858</v>
      </c>
      <c r="D38" s="708">
        <v>0</v>
      </c>
      <c r="E38" s="708">
        <v>301858</v>
      </c>
      <c r="F38" s="1113"/>
      <c r="G38" s="594">
        <f t="shared" si="0"/>
        <v>0</v>
      </c>
      <c r="H38" s="708"/>
      <c r="I38" s="708"/>
      <c r="J38" s="531">
        <f t="shared" si="2"/>
        <v>301858</v>
      </c>
      <c r="K38" s="531">
        <f t="shared" si="5"/>
        <v>0</v>
      </c>
      <c r="L38" s="531">
        <f t="shared" si="5"/>
        <v>301858</v>
      </c>
    </row>
    <row r="39" spans="1:12" x14ac:dyDescent="0.2">
      <c r="A39" s="117">
        <f t="shared" si="4"/>
        <v>29</v>
      </c>
      <c r="B39" s="533" t="s">
        <v>1612</v>
      </c>
      <c r="C39" s="593">
        <f t="shared" si="1"/>
        <v>2512542.0100000002</v>
      </c>
      <c r="D39" s="708">
        <v>1863539.41</v>
      </c>
      <c r="E39" s="708">
        <v>649002.60000000044</v>
      </c>
      <c r="F39" s="1113"/>
      <c r="G39" s="594">
        <f t="shared" si="0"/>
        <v>0</v>
      </c>
      <c r="H39" s="708"/>
      <c r="I39" s="708"/>
      <c r="J39" s="531">
        <f t="shared" si="2"/>
        <v>2512542.0100000002</v>
      </c>
      <c r="K39" s="531">
        <f t="shared" si="5"/>
        <v>1863539.41</v>
      </c>
      <c r="L39" s="531">
        <f t="shared" si="5"/>
        <v>649002.60000000044</v>
      </c>
    </row>
    <row r="40" spans="1:12" x14ac:dyDescent="0.2">
      <c r="A40" s="117">
        <f t="shared" si="4"/>
        <v>30</v>
      </c>
      <c r="B40" s="533" t="s">
        <v>1613</v>
      </c>
      <c r="C40" s="593">
        <f t="shared" si="1"/>
        <v>229176.68</v>
      </c>
      <c r="D40" s="708">
        <v>0</v>
      </c>
      <c r="E40" s="708">
        <v>229176.68</v>
      </c>
      <c r="F40" s="1113"/>
      <c r="G40" s="594">
        <f t="shared" si="0"/>
        <v>0</v>
      </c>
      <c r="H40" s="708"/>
      <c r="I40" s="708"/>
      <c r="J40" s="531">
        <f t="shared" si="2"/>
        <v>229176.68</v>
      </c>
      <c r="K40" s="531">
        <f t="shared" si="5"/>
        <v>0</v>
      </c>
      <c r="L40" s="531">
        <f t="shared" si="5"/>
        <v>229176.68</v>
      </c>
    </row>
    <row r="41" spans="1:12" x14ac:dyDescent="0.2">
      <c r="A41" s="117">
        <f t="shared" si="4"/>
        <v>31</v>
      </c>
      <c r="B41" s="533" t="s">
        <v>1614</v>
      </c>
      <c r="C41" s="593">
        <f t="shared" si="1"/>
        <v>105720.06000000003</v>
      </c>
      <c r="D41" s="708">
        <v>72963.640000000014</v>
      </c>
      <c r="E41" s="708">
        <v>32756.420000000013</v>
      </c>
      <c r="F41" s="1113" t="s">
        <v>634</v>
      </c>
      <c r="G41" s="594">
        <f t="shared" si="0"/>
        <v>-5000</v>
      </c>
      <c r="H41" s="708">
        <v>-5000</v>
      </c>
      <c r="I41" s="708"/>
      <c r="J41" s="531">
        <f t="shared" si="2"/>
        <v>100720.06000000003</v>
      </c>
      <c r="K41" s="531">
        <f t="shared" si="5"/>
        <v>67963.640000000014</v>
      </c>
      <c r="L41" s="531">
        <f t="shared" si="5"/>
        <v>32756.420000000013</v>
      </c>
    </row>
    <row r="42" spans="1:12" x14ac:dyDescent="0.2">
      <c r="A42" s="117">
        <f t="shared" si="4"/>
        <v>32</v>
      </c>
      <c r="B42" s="533" t="s">
        <v>1615</v>
      </c>
      <c r="C42" s="593">
        <f t="shared" si="1"/>
        <v>4236525</v>
      </c>
      <c r="D42" s="708">
        <v>0</v>
      </c>
      <c r="E42" s="708">
        <v>4236525</v>
      </c>
      <c r="F42" s="1113" t="s">
        <v>633</v>
      </c>
      <c r="G42" s="594">
        <f t="shared" si="0"/>
        <v>-3744690</v>
      </c>
      <c r="H42" s="708"/>
      <c r="I42" s="708">
        <v>-3744690</v>
      </c>
      <c r="J42" s="531">
        <f t="shared" si="2"/>
        <v>491835</v>
      </c>
      <c r="K42" s="531">
        <f t="shared" si="5"/>
        <v>0</v>
      </c>
      <c r="L42" s="531">
        <f t="shared" si="5"/>
        <v>491835</v>
      </c>
    </row>
    <row r="43" spans="1:12" x14ac:dyDescent="0.2">
      <c r="A43" s="117">
        <f t="shared" si="4"/>
        <v>33</v>
      </c>
      <c r="B43" s="533" t="s">
        <v>1616</v>
      </c>
      <c r="C43" s="593">
        <f t="shared" si="1"/>
        <v>7723075</v>
      </c>
      <c r="D43" s="708">
        <v>0</v>
      </c>
      <c r="E43" s="708">
        <v>7723075</v>
      </c>
      <c r="F43" s="1113" t="s">
        <v>633</v>
      </c>
      <c r="G43" s="594">
        <f t="shared" si="0"/>
        <v>-6844149</v>
      </c>
      <c r="H43" s="708"/>
      <c r="I43" s="708">
        <v>-6844149</v>
      </c>
      <c r="J43" s="531">
        <f t="shared" si="2"/>
        <v>878926</v>
      </c>
      <c r="K43" s="531">
        <f t="shared" si="5"/>
        <v>0</v>
      </c>
      <c r="L43" s="531">
        <f t="shared" si="5"/>
        <v>878926</v>
      </c>
    </row>
    <row r="44" spans="1:12" x14ac:dyDescent="0.2">
      <c r="A44" s="117">
        <f t="shared" si="4"/>
        <v>34</v>
      </c>
      <c r="B44" s="533" t="s">
        <v>1617</v>
      </c>
      <c r="C44" s="593">
        <f t="shared" si="1"/>
        <v>2129282</v>
      </c>
      <c r="D44" s="708">
        <v>0</v>
      </c>
      <c r="E44" s="708">
        <v>2129282</v>
      </c>
      <c r="F44" s="1113" t="s">
        <v>633</v>
      </c>
      <c r="G44" s="594">
        <f t="shared" si="0"/>
        <v>-1876620</v>
      </c>
      <c r="H44" s="708"/>
      <c r="I44" s="708">
        <v>-1876620</v>
      </c>
      <c r="J44" s="531">
        <f t="shared" si="2"/>
        <v>252662</v>
      </c>
      <c r="K44" s="531">
        <f t="shared" si="5"/>
        <v>0</v>
      </c>
      <c r="L44" s="531">
        <f t="shared" si="5"/>
        <v>252662</v>
      </c>
    </row>
    <row r="45" spans="1:12" x14ac:dyDescent="0.2">
      <c r="A45" s="117">
        <f t="shared" si="4"/>
        <v>35</v>
      </c>
      <c r="B45" s="533" t="s">
        <v>1618</v>
      </c>
      <c r="C45" s="593">
        <f t="shared" si="1"/>
        <v>441009.85</v>
      </c>
      <c r="D45" s="708">
        <v>0</v>
      </c>
      <c r="E45" s="708">
        <v>441009.85</v>
      </c>
      <c r="F45" s="1113"/>
      <c r="G45" s="594">
        <f t="shared" si="0"/>
        <v>0</v>
      </c>
      <c r="H45" s="708"/>
      <c r="I45" s="708"/>
      <c r="J45" s="531">
        <f t="shared" si="2"/>
        <v>441009.85</v>
      </c>
      <c r="K45" s="531">
        <f t="shared" si="5"/>
        <v>0</v>
      </c>
      <c r="L45" s="531">
        <f t="shared" si="5"/>
        <v>441009.85</v>
      </c>
    </row>
    <row r="46" spans="1:12" x14ac:dyDescent="0.2">
      <c r="A46" s="117">
        <f t="shared" si="4"/>
        <v>36</v>
      </c>
      <c r="B46" s="533" t="s">
        <v>1619</v>
      </c>
      <c r="C46" s="593">
        <f t="shared" si="1"/>
        <v>2925030.3699999996</v>
      </c>
      <c r="D46" s="708">
        <v>1123123.9499999997</v>
      </c>
      <c r="E46" s="708">
        <v>1801906.42</v>
      </c>
      <c r="F46" s="1113"/>
      <c r="G46" s="594">
        <f t="shared" si="0"/>
        <v>0</v>
      </c>
      <c r="H46" s="708"/>
      <c r="I46" s="708"/>
      <c r="J46" s="531">
        <f t="shared" si="2"/>
        <v>2925030.3699999996</v>
      </c>
      <c r="K46" s="531">
        <f t="shared" si="5"/>
        <v>1123123.9499999997</v>
      </c>
      <c r="L46" s="531">
        <f t="shared" si="5"/>
        <v>1801906.42</v>
      </c>
    </row>
    <row r="47" spans="1:12" x14ac:dyDescent="0.2">
      <c r="A47" s="117">
        <f t="shared" si="4"/>
        <v>37</v>
      </c>
      <c r="B47" s="533" t="s">
        <v>1620</v>
      </c>
      <c r="C47" s="593">
        <f t="shared" si="1"/>
        <v>1545932.7600000002</v>
      </c>
      <c r="D47" s="708">
        <v>988516.33000000007</v>
      </c>
      <c r="E47" s="708">
        <v>557416.43000000017</v>
      </c>
      <c r="F47" s="1113"/>
      <c r="G47" s="594">
        <f t="shared" si="0"/>
        <v>0</v>
      </c>
      <c r="H47" s="708"/>
      <c r="I47" s="708"/>
      <c r="J47" s="531">
        <f t="shared" si="2"/>
        <v>1545932.7600000002</v>
      </c>
      <c r="K47" s="531">
        <f t="shared" si="5"/>
        <v>988516.33000000007</v>
      </c>
      <c r="L47" s="531">
        <f t="shared" si="5"/>
        <v>557416.43000000017</v>
      </c>
    </row>
    <row r="48" spans="1:12" x14ac:dyDescent="0.2">
      <c r="A48" s="117">
        <f t="shared" si="4"/>
        <v>38</v>
      </c>
      <c r="B48" s="533" t="s">
        <v>1621</v>
      </c>
      <c r="C48" s="593">
        <f t="shared" si="1"/>
        <v>717589.29</v>
      </c>
      <c r="D48" s="708">
        <v>654716.94999999995</v>
      </c>
      <c r="E48" s="708">
        <v>62872.340000000055</v>
      </c>
      <c r="F48" s="1113"/>
      <c r="G48" s="594">
        <f t="shared" si="0"/>
        <v>0</v>
      </c>
      <c r="H48" s="708"/>
      <c r="I48" s="708"/>
      <c r="J48" s="531">
        <f t="shared" si="2"/>
        <v>717589.29</v>
      </c>
      <c r="K48" s="531">
        <f t="shared" si="5"/>
        <v>654716.94999999995</v>
      </c>
      <c r="L48" s="531">
        <f t="shared" si="5"/>
        <v>62872.340000000055</v>
      </c>
    </row>
    <row r="49" spans="1:12" x14ac:dyDescent="0.2">
      <c r="A49" s="117">
        <f t="shared" si="4"/>
        <v>39</v>
      </c>
      <c r="B49" s="533" t="s">
        <v>1622</v>
      </c>
      <c r="C49" s="593">
        <f t="shared" si="1"/>
        <v>5207517.3599999994</v>
      </c>
      <c r="D49" s="708">
        <v>1500912.71</v>
      </c>
      <c r="E49" s="708">
        <v>3706604.65</v>
      </c>
      <c r="F49" s="1113"/>
      <c r="G49" s="594">
        <f t="shared" si="0"/>
        <v>0</v>
      </c>
      <c r="H49" s="708"/>
      <c r="I49" s="708"/>
      <c r="J49" s="531">
        <f t="shared" si="2"/>
        <v>5207517.3599999994</v>
      </c>
      <c r="K49" s="531">
        <f t="shared" si="5"/>
        <v>1500912.71</v>
      </c>
      <c r="L49" s="531">
        <f t="shared" si="5"/>
        <v>3706604.65</v>
      </c>
    </row>
    <row r="50" spans="1:12" x14ac:dyDescent="0.2">
      <c r="A50" s="117">
        <f t="shared" si="4"/>
        <v>40</v>
      </c>
      <c r="B50" s="14" t="s">
        <v>2362</v>
      </c>
      <c r="C50" s="593">
        <f t="shared" si="1"/>
        <v>3758256.87</v>
      </c>
      <c r="D50" s="708">
        <v>731593.53</v>
      </c>
      <c r="E50" s="708">
        <v>3026663.34</v>
      </c>
      <c r="F50" s="1113"/>
      <c r="G50" s="594">
        <f t="shared" si="0"/>
        <v>0</v>
      </c>
      <c r="H50" s="708"/>
      <c r="I50" s="708"/>
      <c r="J50" s="531">
        <f t="shared" si="2"/>
        <v>3758256.87</v>
      </c>
      <c r="K50" s="531">
        <f t="shared" si="5"/>
        <v>731593.53</v>
      </c>
      <c r="L50" s="531">
        <f t="shared" si="5"/>
        <v>3026663.34</v>
      </c>
    </row>
    <row r="51" spans="1:12" x14ac:dyDescent="0.2">
      <c r="A51" s="117">
        <f t="shared" si="4"/>
        <v>41</v>
      </c>
      <c r="B51" s="533" t="s">
        <v>1623</v>
      </c>
      <c r="C51" s="593">
        <f t="shared" si="1"/>
        <v>1121226.68</v>
      </c>
      <c r="D51" s="708">
        <v>64.91</v>
      </c>
      <c r="E51" s="708">
        <v>1121161.77</v>
      </c>
      <c r="F51" s="1113"/>
      <c r="G51" s="594">
        <f t="shared" si="0"/>
        <v>0</v>
      </c>
      <c r="H51" s="708"/>
      <c r="I51" s="708"/>
      <c r="J51" s="531">
        <f t="shared" si="2"/>
        <v>1121226.68</v>
      </c>
      <c r="K51" s="531">
        <f t="shared" si="5"/>
        <v>64.91</v>
      </c>
      <c r="L51" s="531">
        <f t="shared" si="5"/>
        <v>1121161.77</v>
      </c>
    </row>
    <row r="52" spans="1:12" x14ac:dyDescent="0.2">
      <c r="A52" s="117">
        <f t="shared" si="4"/>
        <v>42</v>
      </c>
      <c r="B52" s="533" t="s">
        <v>1624</v>
      </c>
      <c r="C52" s="593">
        <f t="shared" si="1"/>
        <v>9378148.6100000013</v>
      </c>
      <c r="D52" s="708">
        <v>1920800.03</v>
      </c>
      <c r="E52" s="708">
        <v>7457348.580000001</v>
      </c>
      <c r="F52" s="1113"/>
      <c r="G52" s="594">
        <f t="shared" si="0"/>
        <v>0</v>
      </c>
      <c r="H52" s="708"/>
      <c r="I52" s="708"/>
      <c r="J52" s="531">
        <f t="shared" si="2"/>
        <v>9378148.6100000013</v>
      </c>
      <c r="K52" s="531">
        <f t="shared" si="5"/>
        <v>1920800.03</v>
      </c>
      <c r="L52" s="531">
        <f t="shared" si="5"/>
        <v>7457348.580000001</v>
      </c>
    </row>
    <row r="53" spans="1:12" x14ac:dyDescent="0.2">
      <c r="A53" s="117">
        <f t="shared" si="4"/>
        <v>43</v>
      </c>
      <c r="B53" s="533" t="s">
        <v>1625</v>
      </c>
      <c r="C53" s="593">
        <f t="shared" si="1"/>
        <v>9676585.5800000001</v>
      </c>
      <c r="D53" s="708">
        <v>4091099.5299999993</v>
      </c>
      <c r="E53" s="708">
        <v>5585486.0500000007</v>
      </c>
      <c r="F53" s="1113"/>
      <c r="G53" s="594">
        <f t="shared" si="0"/>
        <v>0</v>
      </c>
      <c r="H53" s="708"/>
      <c r="I53" s="708"/>
      <c r="J53" s="531">
        <f t="shared" si="2"/>
        <v>9676585.5800000001</v>
      </c>
      <c r="K53" s="531">
        <f t="shared" si="5"/>
        <v>4091099.5299999993</v>
      </c>
      <c r="L53" s="531">
        <f t="shared" si="5"/>
        <v>5585486.0500000007</v>
      </c>
    </row>
    <row r="54" spans="1:12" x14ac:dyDescent="0.2">
      <c r="A54" s="117">
        <f t="shared" si="4"/>
        <v>44</v>
      </c>
      <c r="B54" s="533" t="s">
        <v>1626</v>
      </c>
      <c r="C54" s="593">
        <f t="shared" si="1"/>
        <v>15645776.450000001</v>
      </c>
      <c r="D54" s="708">
        <v>1692875.4300000002</v>
      </c>
      <c r="E54" s="708">
        <v>13952901.020000001</v>
      </c>
      <c r="F54" s="1113"/>
      <c r="G54" s="595">
        <f t="shared" si="0"/>
        <v>0</v>
      </c>
      <c r="H54" s="708"/>
      <c r="I54" s="708"/>
      <c r="J54" s="531">
        <f t="shared" si="2"/>
        <v>15645776.450000001</v>
      </c>
      <c r="K54" s="531">
        <f t="shared" si="5"/>
        <v>1692875.4300000002</v>
      </c>
      <c r="L54" s="531">
        <f t="shared" si="5"/>
        <v>13952901.020000001</v>
      </c>
    </row>
    <row r="55" spans="1:12" x14ac:dyDescent="0.2">
      <c r="A55" s="117">
        <f t="shared" si="4"/>
        <v>45</v>
      </c>
      <c r="B55" s="533" t="s">
        <v>1913</v>
      </c>
      <c r="C55" s="593">
        <f t="shared" si="1"/>
        <v>3798181.99</v>
      </c>
      <c r="D55" s="708">
        <v>785285.21</v>
      </c>
      <c r="E55" s="708">
        <v>3012896.7800000003</v>
      </c>
      <c r="F55" s="1113"/>
      <c r="G55" s="595">
        <f t="shared" si="0"/>
        <v>0</v>
      </c>
      <c r="H55" s="708"/>
      <c r="I55" s="708"/>
      <c r="J55" s="531">
        <f t="shared" ref="J55" si="9">SUM(K55:L55)</f>
        <v>3798181.99</v>
      </c>
      <c r="K55" s="531">
        <f t="shared" ref="K55" si="10">D55+H55</f>
        <v>785285.21</v>
      </c>
      <c r="L55" s="531">
        <f t="shared" ref="L55" si="11">E55+I55</f>
        <v>3012896.7800000003</v>
      </c>
    </row>
    <row r="56" spans="1:12" x14ac:dyDescent="0.2">
      <c r="A56" s="117">
        <f t="shared" si="4"/>
        <v>46</v>
      </c>
      <c r="B56" s="533" t="s">
        <v>1627</v>
      </c>
      <c r="C56" s="593">
        <f t="shared" si="1"/>
        <v>992449.9</v>
      </c>
      <c r="D56" s="708">
        <v>0</v>
      </c>
      <c r="E56" s="708">
        <v>992449.9</v>
      </c>
      <c r="F56" s="1113"/>
      <c r="G56" s="594">
        <f t="shared" si="0"/>
        <v>0</v>
      </c>
      <c r="H56" s="708"/>
      <c r="I56" s="708"/>
      <c r="J56" s="531">
        <f t="shared" si="2"/>
        <v>992449.9</v>
      </c>
      <c r="K56" s="531">
        <f t="shared" si="5"/>
        <v>0</v>
      </c>
      <c r="L56" s="531">
        <f t="shared" si="5"/>
        <v>992449.9</v>
      </c>
    </row>
    <row r="57" spans="1:12" x14ac:dyDescent="0.2">
      <c r="A57" s="117">
        <f t="shared" si="4"/>
        <v>47</v>
      </c>
      <c r="B57" s="533" t="s">
        <v>1628</v>
      </c>
      <c r="C57" s="593">
        <f t="shared" si="1"/>
        <v>-187027.81000000006</v>
      </c>
      <c r="D57" s="708">
        <v>123733.82</v>
      </c>
      <c r="E57" s="708">
        <v>-310761.63000000006</v>
      </c>
      <c r="F57" s="1113"/>
      <c r="G57" s="594">
        <f t="shared" si="0"/>
        <v>0</v>
      </c>
      <c r="H57" s="708"/>
      <c r="I57" s="708"/>
      <c r="J57" s="531">
        <f t="shared" si="2"/>
        <v>-187027.81000000006</v>
      </c>
      <c r="K57" s="531">
        <f t="shared" si="5"/>
        <v>123733.82</v>
      </c>
      <c r="L57" s="531">
        <f t="shared" si="5"/>
        <v>-310761.63000000006</v>
      </c>
    </row>
    <row r="58" spans="1:12" x14ac:dyDescent="0.2">
      <c r="A58" s="117">
        <f t="shared" si="4"/>
        <v>48</v>
      </c>
      <c r="B58" s="533" t="s">
        <v>1629</v>
      </c>
      <c r="C58" s="593">
        <f t="shared" si="1"/>
        <v>45625.31</v>
      </c>
      <c r="D58" s="708">
        <v>0</v>
      </c>
      <c r="E58" s="708">
        <v>45625.31</v>
      </c>
      <c r="F58" s="1113"/>
      <c r="G58" s="594">
        <f t="shared" si="0"/>
        <v>0</v>
      </c>
      <c r="H58" s="708"/>
      <c r="I58" s="708"/>
      <c r="J58" s="531">
        <f t="shared" si="2"/>
        <v>45625.31</v>
      </c>
      <c r="K58" s="531">
        <f t="shared" si="5"/>
        <v>0</v>
      </c>
      <c r="L58" s="531">
        <f t="shared" si="5"/>
        <v>45625.31</v>
      </c>
    </row>
    <row r="59" spans="1:12" ht="15" x14ac:dyDescent="0.35">
      <c r="A59" s="117">
        <f t="shared" si="4"/>
        <v>49</v>
      </c>
      <c r="B59" s="533" t="s">
        <v>1630</v>
      </c>
      <c r="C59" s="592">
        <f t="shared" si="1"/>
        <v>1559364.2599999998</v>
      </c>
      <c r="D59" s="708">
        <v>740729.78999999969</v>
      </c>
      <c r="E59" s="708">
        <v>818634.47</v>
      </c>
      <c r="F59" s="538"/>
      <c r="G59" s="596">
        <f t="shared" si="0"/>
        <v>0</v>
      </c>
      <c r="H59" s="590"/>
      <c r="I59" s="590"/>
      <c r="J59" s="540">
        <f t="shared" si="2"/>
        <v>1559364.2599999998</v>
      </c>
      <c r="K59" s="540">
        <f t="shared" si="5"/>
        <v>740729.78999999969</v>
      </c>
      <c r="L59" s="540">
        <f t="shared" si="5"/>
        <v>818634.47</v>
      </c>
    </row>
    <row r="60" spans="1:12" ht="15" x14ac:dyDescent="0.35">
      <c r="A60" s="117">
        <f t="shared" si="4"/>
        <v>50</v>
      </c>
      <c r="B60" s="541" t="s">
        <v>578</v>
      </c>
      <c r="C60" s="542" t="s">
        <v>88</v>
      </c>
      <c r="D60" s="1112" t="s">
        <v>88</v>
      </c>
      <c r="E60" s="1112" t="s">
        <v>88</v>
      </c>
      <c r="F60" s="1112" t="s">
        <v>88</v>
      </c>
      <c r="G60" s="597">
        <f t="shared" si="0"/>
        <v>0</v>
      </c>
      <c r="H60" s="1112" t="s">
        <v>88</v>
      </c>
      <c r="I60" s="1112" t="s">
        <v>88</v>
      </c>
      <c r="J60" s="543"/>
      <c r="K60" s="543"/>
      <c r="L60" s="543"/>
    </row>
    <row r="61" spans="1:12" x14ac:dyDescent="0.2">
      <c r="A61" s="117">
        <f t="shared" si="4"/>
        <v>51</v>
      </c>
      <c r="B61" s="533" t="s">
        <v>3104</v>
      </c>
      <c r="C61" s="544">
        <v>0</v>
      </c>
      <c r="D61" s="544">
        <v>0</v>
      </c>
      <c r="E61" s="544">
        <v>0</v>
      </c>
      <c r="F61" s="545"/>
      <c r="G61" s="598">
        <f t="shared" si="0"/>
        <v>9303521.5875938218</v>
      </c>
      <c r="H61" s="606">
        <f>+C87*C191</f>
        <v>9303521.5875938218</v>
      </c>
      <c r="I61" s="606">
        <v>0</v>
      </c>
      <c r="J61" s="603">
        <f t="shared" si="2"/>
        <v>9303521.5875938218</v>
      </c>
      <c r="K61" s="603">
        <f>D61+H61</f>
        <v>9303521.5875938218</v>
      </c>
      <c r="L61" s="603">
        <f>E61+I61</f>
        <v>0</v>
      </c>
    </row>
    <row r="62" spans="1:12" x14ac:dyDescent="0.2">
      <c r="A62" s="117">
        <f t="shared" si="4"/>
        <v>52</v>
      </c>
      <c r="B62" s="547" t="s">
        <v>1631</v>
      </c>
      <c r="C62" s="592">
        <f>SUM(D62:E62)</f>
        <v>252123269.16000009</v>
      </c>
      <c r="D62" s="600">
        <f>SUM(D11:D61)</f>
        <v>70312823.840000004</v>
      </c>
      <c r="E62" s="600">
        <f>SUM(E11:E61)</f>
        <v>181810445.32000008</v>
      </c>
      <c r="F62" s="601"/>
      <c r="G62" s="599">
        <f t="shared" ref="G62:L62" si="12">SUM(G11:G61)</f>
        <v>-62121229.232406169</v>
      </c>
      <c r="H62" s="602">
        <f t="shared" si="12"/>
        <v>8563696.8575938214</v>
      </c>
      <c r="I62" s="602">
        <f t="shared" si="12"/>
        <v>-70684926.090000004</v>
      </c>
      <c r="J62" s="602">
        <f t="shared" si="12"/>
        <v>190002039.92759386</v>
      </c>
      <c r="K62" s="602">
        <f t="shared" si="12"/>
        <v>78876520.697593823</v>
      </c>
      <c r="L62" s="602">
        <f t="shared" si="12"/>
        <v>111125519.23000002</v>
      </c>
    </row>
    <row r="63" spans="1:12" x14ac:dyDescent="0.2">
      <c r="A63" s="117">
        <f t="shared" si="4"/>
        <v>53</v>
      </c>
      <c r="B63" s="532"/>
      <c r="C63" s="536"/>
      <c r="D63" s="548"/>
      <c r="E63" s="548"/>
      <c r="F63" s="549"/>
      <c r="G63" s="530"/>
      <c r="H63" s="551"/>
      <c r="I63" s="551"/>
      <c r="J63" s="531"/>
      <c r="K63" s="531"/>
      <c r="L63" s="531"/>
    </row>
    <row r="64" spans="1:12" x14ac:dyDescent="0.2">
      <c r="A64" s="117"/>
      <c r="B64" s="552"/>
      <c r="C64" s="548"/>
      <c r="D64" s="548"/>
      <c r="E64" s="548"/>
      <c r="F64" s="549"/>
      <c r="G64" s="553"/>
      <c r="H64" s="548"/>
      <c r="I64" s="548"/>
      <c r="J64" s="548"/>
      <c r="K64" s="548"/>
      <c r="L64" s="548"/>
    </row>
    <row r="65" spans="1:12" x14ac:dyDescent="0.2">
      <c r="A65" s="2"/>
      <c r="B65" s="508" t="s">
        <v>406</v>
      </c>
      <c r="C65" s="508" t="s">
        <v>390</v>
      </c>
      <c r="D65" s="508" t="s">
        <v>391</v>
      </c>
      <c r="E65" s="508" t="s">
        <v>392</v>
      </c>
      <c r="F65" s="509" t="s">
        <v>393</v>
      </c>
      <c r="G65" s="508" t="s">
        <v>394</v>
      </c>
      <c r="H65" s="508" t="s">
        <v>395</v>
      </c>
      <c r="I65" s="508" t="s">
        <v>610</v>
      </c>
      <c r="J65" s="508" t="s">
        <v>1059</v>
      </c>
      <c r="K65" s="508" t="s">
        <v>1076</v>
      </c>
      <c r="L65" s="508" t="s">
        <v>1079</v>
      </c>
    </row>
    <row r="66" spans="1:12" x14ac:dyDescent="0.2">
      <c r="A66" s="2"/>
      <c r="B66" s="552"/>
      <c r="C66" s="818" t="s">
        <v>1574</v>
      </c>
      <c r="D66" s="506"/>
      <c r="E66" s="506"/>
      <c r="F66" s="511" t="s">
        <v>408</v>
      </c>
      <c r="G66" s="818" t="s">
        <v>1575</v>
      </c>
      <c r="H66" s="512"/>
      <c r="I66" s="512"/>
      <c r="J66" s="818" t="s">
        <v>1576</v>
      </c>
      <c r="K66" s="818" t="s">
        <v>1577</v>
      </c>
      <c r="L66" s="819" t="s">
        <v>1578</v>
      </c>
    </row>
    <row r="67" spans="1:12" x14ac:dyDescent="0.2">
      <c r="A67" s="2"/>
      <c r="C67" s="536"/>
      <c r="D67" s="548"/>
      <c r="E67" s="548"/>
      <c r="F67" s="549"/>
      <c r="G67" s="530"/>
      <c r="H67" s="554"/>
      <c r="I67" s="554"/>
      <c r="J67" s="531"/>
      <c r="K67" s="531"/>
      <c r="L67" s="531"/>
    </row>
    <row r="68" spans="1:12" x14ac:dyDescent="0.2">
      <c r="A68" s="2"/>
      <c r="B68" s="1210" t="s">
        <v>1579</v>
      </c>
      <c r="C68" s="1212" t="s">
        <v>1580</v>
      </c>
      <c r="D68" s="1212"/>
      <c r="E68" s="1212"/>
      <c r="F68" s="522"/>
      <c r="G68" s="1213" t="s">
        <v>1581</v>
      </c>
      <c r="H68" s="1213"/>
      <c r="I68" s="1214"/>
      <c r="J68" s="1216" t="s">
        <v>1582</v>
      </c>
      <c r="K68" s="1213"/>
      <c r="L68" s="1214"/>
    </row>
    <row r="69" spans="1:12" x14ac:dyDescent="0.2">
      <c r="A69" s="2"/>
      <c r="B69" s="1211"/>
      <c r="C69" s="521" t="s">
        <v>226</v>
      </c>
      <c r="D69" s="521" t="s">
        <v>1583</v>
      </c>
      <c r="E69" s="523" t="s">
        <v>1584</v>
      </c>
      <c r="F69" s="524" t="s">
        <v>1511</v>
      </c>
      <c r="G69" s="523" t="s">
        <v>226</v>
      </c>
      <c r="H69" s="523" t="s">
        <v>1583</v>
      </c>
      <c r="I69" s="523" t="s">
        <v>1584</v>
      </c>
      <c r="J69" s="521" t="s">
        <v>226</v>
      </c>
      <c r="K69" s="523" t="s">
        <v>1583</v>
      </c>
      <c r="L69" s="523" t="s">
        <v>1584</v>
      </c>
    </row>
    <row r="70" spans="1:12" x14ac:dyDescent="0.2">
      <c r="A70" s="2"/>
      <c r="B70" s="555" t="s">
        <v>1632</v>
      </c>
      <c r="C70" s="274"/>
      <c r="D70" s="274"/>
      <c r="E70" s="526"/>
      <c r="F70" s="527"/>
      <c r="G70" s="526"/>
      <c r="H70" s="526"/>
      <c r="I70" s="526"/>
      <c r="J70" s="274"/>
      <c r="K70" s="526"/>
      <c r="L70" s="526"/>
    </row>
    <row r="71" spans="1:12" x14ac:dyDescent="0.2">
      <c r="A71" s="117">
        <f>A63+1</f>
        <v>54</v>
      </c>
      <c r="B71" s="533" t="s">
        <v>1633</v>
      </c>
      <c r="C71" s="528">
        <f t="shared" ref="C71:C79" si="13">SUM(D71:E71)</f>
        <v>21387618.799999997</v>
      </c>
      <c r="D71" s="591">
        <v>13835387.199999999</v>
      </c>
      <c r="E71" s="591">
        <v>7552231.5999999996</v>
      </c>
      <c r="F71" s="529"/>
      <c r="G71" s="530">
        <f t="shared" ref="G71:G79" si="14">SUM(H71:I71)</f>
        <v>0</v>
      </c>
      <c r="H71" s="589"/>
      <c r="I71" s="589"/>
      <c r="J71" s="531">
        <f t="shared" ref="J71:J78" si="15">SUM(K71:L71)</f>
        <v>21387618.799999997</v>
      </c>
      <c r="K71" s="531">
        <f t="shared" ref="K71:L80" si="16">D71+H71</f>
        <v>13835387.199999999</v>
      </c>
      <c r="L71" s="531">
        <f t="shared" si="16"/>
        <v>7552231.5999999996</v>
      </c>
    </row>
    <row r="72" spans="1:12" x14ac:dyDescent="0.2">
      <c r="A72" s="117">
        <f t="shared" ref="A72:A85" si="17">A71+1</f>
        <v>55</v>
      </c>
      <c r="B72" s="533" t="s">
        <v>1634</v>
      </c>
      <c r="C72" s="528">
        <f t="shared" si="13"/>
        <v>8418919.459999999</v>
      </c>
      <c r="D72" s="591">
        <v>6995090.5800000001</v>
      </c>
      <c r="E72" s="591">
        <v>1423828.8799999997</v>
      </c>
      <c r="F72" s="529"/>
      <c r="G72" s="530">
        <f t="shared" si="14"/>
        <v>0</v>
      </c>
      <c r="H72" s="589"/>
      <c r="I72" s="589"/>
      <c r="J72" s="531">
        <f t="shared" si="15"/>
        <v>8418919.459999999</v>
      </c>
      <c r="K72" s="531">
        <f t="shared" si="16"/>
        <v>6995090.5800000001</v>
      </c>
      <c r="L72" s="531">
        <f t="shared" si="16"/>
        <v>1423828.8799999997</v>
      </c>
    </row>
    <row r="73" spans="1:12" x14ac:dyDescent="0.2">
      <c r="A73" s="117">
        <f t="shared" si="17"/>
        <v>56</v>
      </c>
      <c r="B73" s="533" t="s">
        <v>1635</v>
      </c>
      <c r="C73" s="528">
        <f t="shared" si="13"/>
        <v>2734266.3899999997</v>
      </c>
      <c r="D73" s="591">
        <v>1770279.17</v>
      </c>
      <c r="E73" s="591">
        <v>963987.21999999974</v>
      </c>
      <c r="F73" s="529"/>
      <c r="G73" s="530">
        <f t="shared" si="14"/>
        <v>0</v>
      </c>
      <c r="H73" s="589"/>
      <c r="I73" s="589"/>
      <c r="J73" s="531">
        <f t="shared" si="15"/>
        <v>2734266.3899999997</v>
      </c>
      <c r="K73" s="531">
        <f t="shared" si="16"/>
        <v>1770279.17</v>
      </c>
      <c r="L73" s="531">
        <f t="shared" si="16"/>
        <v>963987.21999999974</v>
      </c>
    </row>
    <row r="74" spans="1:12" x14ac:dyDescent="0.2">
      <c r="A74" s="117">
        <f t="shared" si="17"/>
        <v>57</v>
      </c>
      <c r="B74" s="533" t="s">
        <v>1636</v>
      </c>
      <c r="C74" s="528">
        <f t="shared" si="13"/>
        <v>186055.92000000004</v>
      </c>
      <c r="D74" s="591">
        <v>13479.42</v>
      </c>
      <c r="E74" s="591">
        <v>172576.50000000003</v>
      </c>
      <c r="F74" s="529"/>
      <c r="G74" s="530">
        <f t="shared" si="14"/>
        <v>0</v>
      </c>
      <c r="H74" s="589"/>
      <c r="I74" s="589"/>
      <c r="J74" s="531">
        <f t="shared" si="15"/>
        <v>186055.92000000004</v>
      </c>
      <c r="K74" s="531">
        <f t="shared" si="16"/>
        <v>13479.42</v>
      </c>
      <c r="L74" s="531">
        <f t="shared" si="16"/>
        <v>172576.50000000003</v>
      </c>
    </row>
    <row r="75" spans="1:12" x14ac:dyDescent="0.2">
      <c r="A75" s="117">
        <f t="shared" si="17"/>
        <v>58</v>
      </c>
      <c r="B75" s="533" t="s">
        <v>1637</v>
      </c>
      <c r="C75" s="528">
        <f t="shared" si="13"/>
        <v>1331725.43</v>
      </c>
      <c r="D75" s="591">
        <v>826844.91999999981</v>
      </c>
      <c r="E75" s="591">
        <v>504880.51000000013</v>
      </c>
      <c r="F75" s="529"/>
      <c r="G75" s="530">
        <f t="shared" si="14"/>
        <v>0</v>
      </c>
      <c r="H75" s="589"/>
      <c r="I75" s="589"/>
      <c r="J75" s="531">
        <f t="shared" si="15"/>
        <v>1331725.43</v>
      </c>
      <c r="K75" s="531">
        <f t="shared" si="16"/>
        <v>826844.91999999981</v>
      </c>
      <c r="L75" s="531">
        <f t="shared" si="16"/>
        <v>504880.51000000013</v>
      </c>
    </row>
    <row r="76" spans="1:12" x14ac:dyDescent="0.2">
      <c r="A76" s="117">
        <f t="shared" si="17"/>
        <v>59</v>
      </c>
      <c r="B76" s="533" t="s">
        <v>1638</v>
      </c>
      <c r="C76" s="528">
        <f t="shared" si="13"/>
        <v>1869253.52</v>
      </c>
      <c r="D76" s="591">
        <v>1375283.3499999999</v>
      </c>
      <c r="E76" s="591">
        <v>493970.17000000004</v>
      </c>
      <c r="F76" s="529"/>
      <c r="G76" s="530">
        <f t="shared" si="14"/>
        <v>0</v>
      </c>
      <c r="H76" s="589"/>
      <c r="I76" s="589"/>
      <c r="J76" s="531">
        <f t="shared" si="15"/>
        <v>1869253.52</v>
      </c>
      <c r="K76" s="531">
        <f t="shared" si="16"/>
        <v>1375283.3499999999</v>
      </c>
      <c r="L76" s="531">
        <f t="shared" si="16"/>
        <v>493970.17000000004</v>
      </c>
    </row>
    <row r="77" spans="1:12" x14ac:dyDescent="0.2">
      <c r="A77" s="117">
        <f t="shared" si="17"/>
        <v>60</v>
      </c>
      <c r="B77" s="533" t="s">
        <v>1639</v>
      </c>
      <c r="C77" s="528">
        <f t="shared" si="13"/>
        <v>1493105.8799999994</v>
      </c>
      <c r="D77" s="591">
        <v>1027444.1699999995</v>
      </c>
      <c r="E77" s="591">
        <v>465661.71000000008</v>
      </c>
      <c r="F77" s="529"/>
      <c r="G77" s="530">
        <f t="shared" si="14"/>
        <v>0</v>
      </c>
      <c r="H77" s="589"/>
      <c r="I77" s="589"/>
      <c r="J77" s="531">
        <f t="shared" si="15"/>
        <v>1493105.8799999994</v>
      </c>
      <c r="K77" s="531">
        <f t="shared" si="16"/>
        <v>1027444.1699999995</v>
      </c>
      <c r="L77" s="531">
        <f t="shared" si="16"/>
        <v>465661.71000000008</v>
      </c>
    </row>
    <row r="78" spans="1:12" x14ac:dyDescent="0.2">
      <c r="A78" s="117">
        <f t="shared" si="17"/>
        <v>61</v>
      </c>
      <c r="B78" s="533" t="s">
        <v>1640</v>
      </c>
      <c r="C78" s="528">
        <f t="shared" si="13"/>
        <v>3123517.4100000011</v>
      </c>
      <c r="D78" s="591">
        <v>941220.77000000025</v>
      </c>
      <c r="E78" s="591">
        <v>2182296.6400000006</v>
      </c>
      <c r="F78" s="529"/>
      <c r="G78" s="1117">
        <f t="shared" si="14"/>
        <v>0</v>
      </c>
      <c r="H78" s="589"/>
      <c r="I78" s="589"/>
      <c r="J78" s="531">
        <f t="shared" si="15"/>
        <v>3123517.4100000011</v>
      </c>
      <c r="K78" s="531">
        <f t="shared" si="16"/>
        <v>941220.77000000025</v>
      </c>
      <c r="L78" s="531">
        <f t="shared" si="16"/>
        <v>2182296.6400000006</v>
      </c>
    </row>
    <row r="79" spans="1:12" x14ac:dyDescent="0.2">
      <c r="A79" s="117">
        <f t="shared" si="17"/>
        <v>62</v>
      </c>
      <c r="B79" s="533" t="s">
        <v>1641</v>
      </c>
      <c r="C79" s="528">
        <f t="shared" si="13"/>
        <v>415387575.19</v>
      </c>
      <c r="D79" s="604">
        <v>177049513.91</v>
      </c>
      <c r="E79" s="604">
        <v>238338061.28</v>
      </c>
      <c r="F79" s="1113" t="s">
        <v>634</v>
      </c>
      <c r="G79" s="1117">
        <f t="shared" si="14"/>
        <v>-3168842</v>
      </c>
      <c r="H79" s="708">
        <v>-1230699</v>
      </c>
      <c r="I79" s="708">
        <v>-1938143</v>
      </c>
      <c r="J79" s="540">
        <f>C79+G79</f>
        <v>412218733.19</v>
      </c>
      <c r="K79" s="531">
        <f t="shared" si="16"/>
        <v>175818814.91</v>
      </c>
      <c r="L79" s="531">
        <f t="shared" si="16"/>
        <v>236399918.28</v>
      </c>
    </row>
    <row r="80" spans="1:12" x14ac:dyDescent="0.2">
      <c r="A80" s="117">
        <f>A79+1</f>
        <v>63</v>
      </c>
      <c r="B80" s="868" t="s">
        <v>3105</v>
      </c>
      <c r="C80" s="544">
        <v>0</v>
      </c>
      <c r="D80" s="544">
        <v>0</v>
      </c>
      <c r="E80" s="544">
        <v>0</v>
      </c>
      <c r="F80" s="545"/>
      <c r="G80" s="546">
        <f>SUM(H80:I80)</f>
        <v>26970600.412406173</v>
      </c>
      <c r="H80" s="545">
        <f>+C87*C192</f>
        <v>26970600.412406173</v>
      </c>
      <c r="I80" s="545">
        <v>0</v>
      </c>
      <c r="J80" s="556">
        <f>SUM(K80:L80)</f>
        <v>26970600.412406173</v>
      </c>
      <c r="K80" s="556">
        <f t="shared" si="16"/>
        <v>26970600.412406173</v>
      </c>
      <c r="L80" s="556">
        <f t="shared" si="16"/>
        <v>0</v>
      </c>
    </row>
    <row r="81" spans="1:12" x14ac:dyDescent="0.2">
      <c r="A81" s="117">
        <f t="shared" si="17"/>
        <v>64</v>
      </c>
      <c r="B81" s="552" t="s">
        <v>1642</v>
      </c>
      <c r="C81" s="548">
        <f>SUM(C71:C80)</f>
        <v>455932038</v>
      </c>
      <c r="D81" s="548">
        <f>SUM(D71:D80)</f>
        <v>203834543.49000001</v>
      </c>
      <c r="E81" s="548">
        <f>SUM(E71:E80)</f>
        <v>252097494.50999999</v>
      </c>
      <c r="F81" s="549"/>
      <c r="G81" s="553">
        <f t="shared" ref="G81:L81" si="18">SUM(G71:G80)</f>
        <v>23801758.412406173</v>
      </c>
      <c r="H81" s="548">
        <f t="shared" si="18"/>
        <v>25739901.412406173</v>
      </c>
      <c r="I81" s="548">
        <f t="shared" si="18"/>
        <v>-1938143</v>
      </c>
      <c r="J81" s="548">
        <f>SUM(J71:J80)</f>
        <v>479733796.41240615</v>
      </c>
      <c r="K81" s="548">
        <f t="shared" si="18"/>
        <v>229574444.90240619</v>
      </c>
      <c r="L81" s="548">
        <f t="shared" si="18"/>
        <v>250159351.50999999</v>
      </c>
    </row>
    <row r="82" spans="1:12" x14ac:dyDescent="0.2">
      <c r="A82" s="117">
        <f t="shared" si="17"/>
        <v>65</v>
      </c>
      <c r="B82" s="312"/>
      <c r="C82" s="528"/>
      <c r="D82" s="548"/>
      <c r="E82" s="548"/>
      <c r="F82" s="557"/>
      <c r="G82" s="530"/>
      <c r="H82" s="551"/>
      <c r="I82" s="551"/>
      <c r="J82" s="531"/>
      <c r="K82" s="531"/>
      <c r="L82" s="531"/>
    </row>
    <row r="83" spans="1:12" x14ac:dyDescent="0.2">
      <c r="A83" s="117">
        <f t="shared" si="17"/>
        <v>66</v>
      </c>
      <c r="B83" s="552" t="s">
        <v>1643</v>
      </c>
      <c r="C83" s="537">
        <f>+C62+C81</f>
        <v>708055307.16000009</v>
      </c>
      <c r="D83" s="537">
        <f>D81+D62</f>
        <v>274147367.33000004</v>
      </c>
      <c r="E83" s="537">
        <f>E81+E62</f>
        <v>433907939.83000004</v>
      </c>
      <c r="F83" s="558"/>
      <c r="G83" s="539">
        <f>+G62+G81</f>
        <v>-38319470.819999993</v>
      </c>
      <c r="H83" s="540">
        <f>H81+H62</f>
        <v>34303598.269999996</v>
      </c>
      <c r="I83" s="540">
        <f>I81+I62</f>
        <v>-72623069.090000004</v>
      </c>
      <c r="J83" s="540">
        <f>J81+J62</f>
        <v>669735836.34000003</v>
      </c>
      <c r="K83" s="540">
        <f>K81+K62</f>
        <v>308450965.60000002</v>
      </c>
      <c r="L83" s="540">
        <f>L81+L62</f>
        <v>361284870.74000001</v>
      </c>
    </row>
    <row r="84" spans="1:12" x14ac:dyDescent="0.2">
      <c r="A84" s="117">
        <f t="shared" si="17"/>
        <v>67</v>
      </c>
      <c r="B84" s="536"/>
      <c r="C84" s="536"/>
      <c r="D84" s="536"/>
      <c r="E84" s="536"/>
      <c r="F84" s="559"/>
      <c r="G84" s="560"/>
      <c r="H84" s="551"/>
      <c r="I84" s="551"/>
      <c r="J84" s="532"/>
      <c r="K84" s="532"/>
      <c r="L84" s="532"/>
    </row>
    <row r="85" spans="1:12" x14ac:dyDescent="0.2">
      <c r="A85" s="117">
        <f t="shared" si="17"/>
        <v>68</v>
      </c>
      <c r="B85" s="533" t="s">
        <v>1644</v>
      </c>
      <c r="C85" s="561">
        <v>252123268.54999998</v>
      </c>
      <c r="D85" s="562" t="s">
        <v>1645</v>
      </c>
      <c r="E85" s="537" t="str">
        <f>"Must equal Line "&amp;A62&amp;", Column 2."</f>
        <v>Must equal Line 52, Column 2.</v>
      </c>
      <c r="F85" s="558"/>
      <c r="G85" s="563"/>
      <c r="H85" s="564"/>
      <c r="I85" s="564"/>
      <c r="J85" s="564"/>
      <c r="K85" s="564"/>
      <c r="L85" s="564"/>
    </row>
    <row r="86" spans="1:12" x14ac:dyDescent="0.2">
      <c r="A86" s="117">
        <f>A85+1</f>
        <v>69</v>
      </c>
      <c r="B86" s="533" t="s">
        <v>1646</v>
      </c>
      <c r="C86" s="565">
        <v>455932038</v>
      </c>
      <c r="D86" s="562" t="s">
        <v>1647</v>
      </c>
      <c r="E86" s="537" t="str">
        <f>"Must equal Line "&amp;A81&amp;", Column 2."</f>
        <v>Must equal Line 64, Column 2.</v>
      </c>
      <c r="F86" s="558"/>
      <c r="G86" s="530"/>
      <c r="H86" s="531"/>
      <c r="I86" s="531"/>
      <c r="J86" s="531"/>
      <c r="K86" s="531"/>
      <c r="L86" s="531"/>
    </row>
    <row r="87" spans="1:12" x14ac:dyDescent="0.2">
      <c r="A87" s="117">
        <f>A86+1</f>
        <v>70</v>
      </c>
      <c r="B87" s="868" t="s">
        <v>3106</v>
      </c>
      <c r="C87" s="623">
        <f>'20-AandG'!E63</f>
        <v>36274122</v>
      </c>
      <c r="D87" s="562" t="str">
        <f>"20-AandG, Note 2, "&amp;'20-AandG'!B63&amp;""</f>
        <v>20-AandG, Note 2, f</v>
      </c>
      <c r="E87" s="537"/>
      <c r="F87" s="2"/>
      <c r="G87" s="530"/>
      <c r="H87" s="531"/>
      <c r="I87" s="531"/>
      <c r="J87" s="531"/>
      <c r="K87" s="531"/>
      <c r="L87" s="531"/>
    </row>
    <row r="88" spans="1:12" x14ac:dyDescent="0.2">
      <c r="A88" s="566"/>
      <c r="C88" s="567"/>
      <c r="D88" s="528"/>
      <c r="E88" s="528"/>
      <c r="F88" s="559"/>
      <c r="G88" s="530"/>
      <c r="H88" s="531"/>
      <c r="I88" s="531"/>
      <c r="J88" s="531"/>
      <c r="K88" s="531"/>
      <c r="L88" s="531"/>
    </row>
    <row r="89" spans="1:12" x14ac:dyDescent="0.2">
      <c r="A89" s="532"/>
      <c r="B89" s="497" t="s">
        <v>1723</v>
      </c>
      <c r="C89" s="536"/>
      <c r="D89" s="536"/>
      <c r="E89" s="536"/>
      <c r="F89" s="559"/>
      <c r="G89" s="560"/>
      <c r="H89" s="532"/>
      <c r="I89" s="532"/>
      <c r="J89" s="532"/>
      <c r="K89" s="532"/>
      <c r="L89" s="532"/>
    </row>
    <row r="90" spans="1:12" x14ac:dyDescent="0.2">
      <c r="A90" s="532"/>
      <c r="C90" s="536"/>
      <c r="D90" s="536"/>
      <c r="E90" s="536"/>
      <c r="F90" s="559"/>
      <c r="G90" s="560"/>
      <c r="H90" s="532"/>
      <c r="I90" s="532"/>
      <c r="J90" s="19"/>
      <c r="K90" s="532"/>
      <c r="L90" s="532"/>
    </row>
    <row r="91" spans="1:12" x14ac:dyDescent="0.2">
      <c r="A91" s="532"/>
      <c r="B91" s="88" t="s">
        <v>406</v>
      </c>
      <c r="C91" s="508" t="s">
        <v>390</v>
      </c>
      <c r="D91" s="508" t="s">
        <v>391</v>
      </c>
      <c r="E91" s="508" t="s">
        <v>392</v>
      </c>
      <c r="F91" s="509" t="s">
        <v>393</v>
      </c>
      <c r="G91" s="508" t="s">
        <v>394</v>
      </c>
      <c r="H91" s="508" t="s">
        <v>395</v>
      </c>
      <c r="I91" s="508" t="s">
        <v>610</v>
      </c>
      <c r="J91" s="1118" t="s">
        <v>1059</v>
      </c>
      <c r="K91" s="385"/>
      <c r="L91" s="88"/>
    </row>
    <row r="92" spans="1:12" x14ac:dyDescent="0.2">
      <c r="A92" s="532"/>
      <c r="C92" s="536" t="s">
        <v>1648</v>
      </c>
      <c r="D92" s="536" t="s">
        <v>1649</v>
      </c>
      <c r="E92" s="536" t="s">
        <v>1650</v>
      </c>
      <c r="F92" s="560" t="s">
        <v>1353</v>
      </c>
      <c r="G92" s="819" t="s">
        <v>1575</v>
      </c>
      <c r="H92" s="820" t="s">
        <v>2427</v>
      </c>
      <c r="I92" s="820" t="s">
        <v>2428</v>
      </c>
      <c r="J92" s="571"/>
      <c r="K92" s="536"/>
      <c r="L92" s="532"/>
    </row>
    <row r="93" spans="1:12" x14ac:dyDescent="0.2">
      <c r="C93" s="536"/>
      <c r="D93" s="536"/>
      <c r="E93" s="536"/>
      <c r="F93" s="559"/>
      <c r="G93" s="560"/>
      <c r="H93" s="532"/>
      <c r="I93" s="532"/>
      <c r="J93" s="536"/>
      <c r="K93" s="536"/>
      <c r="L93" s="532"/>
    </row>
    <row r="94" spans="1:12" x14ac:dyDescent="0.2">
      <c r="A94" s="520"/>
      <c r="B94" s="1215" t="s">
        <v>1579</v>
      </c>
      <c r="C94" s="1216" t="s">
        <v>1582</v>
      </c>
      <c r="D94" s="1213"/>
      <c r="E94" s="1214"/>
      <c r="F94" s="568" t="s">
        <v>1792</v>
      </c>
      <c r="G94" s="1207" t="s">
        <v>1651</v>
      </c>
      <c r="H94" s="1208"/>
      <c r="I94" s="1209"/>
      <c r="J94" s="1119" t="s">
        <v>2533</v>
      </c>
      <c r="K94" s="536"/>
    </row>
    <row r="95" spans="1:12" x14ac:dyDescent="0.2">
      <c r="B95" s="1215"/>
      <c r="C95" s="521" t="s">
        <v>226</v>
      </c>
      <c r="D95" s="523" t="s">
        <v>1583</v>
      </c>
      <c r="E95" s="523" t="s">
        <v>1584</v>
      </c>
      <c r="F95" s="568" t="s">
        <v>491</v>
      </c>
      <c r="G95" s="521" t="s">
        <v>226</v>
      </c>
      <c r="H95" s="523" t="s">
        <v>1583</v>
      </c>
      <c r="I95" s="523" t="s">
        <v>1584</v>
      </c>
      <c r="J95" s="1043" t="s">
        <v>235</v>
      </c>
      <c r="K95" s="536"/>
      <c r="L95" s="532"/>
    </row>
    <row r="96" spans="1:12" x14ac:dyDescent="0.2">
      <c r="A96" s="53" t="s">
        <v>372</v>
      </c>
      <c r="B96" s="525" t="s">
        <v>1585</v>
      </c>
      <c r="C96" s="274"/>
      <c r="D96" s="526"/>
      <c r="E96" s="526"/>
      <c r="F96" s="569"/>
      <c r="G96" s="274"/>
      <c r="H96" s="526"/>
      <c r="I96" s="526"/>
      <c r="J96" s="571"/>
      <c r="K96" s="536"/>
      <c r="L96" s="532"/>
    </row>
    <row r="97" spans="1:12" x14ac:dyDescent="0.2">
      <c r="A97" s="117">
        <f>A87+1</f>
        <v>71</v>
      </c>
      <c r="B97" s="533" t="s">
        <v>1586</v>
      </c>
      <c r="C97" s="528">
        <f t="shared" ref="C97:C112" si="19">J11</f>
        <v>13882060.409999996</v>
      </c>
      <c r="D97" s="528">
        <f t="shared" ref="D97:D112" si="20">K11</f>
        <v>6035286.1600000001</v>
      </c>
      <c r="E97" s="528">
        <f t="shared" ref="E97:E112" si="21">L11</f>
        <v>7846774.2499999972</v>
      </c>
      <c r="F97" s="575">
        <f>J202</f>
        <v>0.43346348236451843</v>
      </c>
      <c r="G97" s="570">
        <f>SUM(H97:I97)</f>
        <v>6017366.2477132138</v>
      </c>
      <c r="H97" s="570">
        <f>D97*F97</f>
        <v>2616076.1559799821</v>
      </c>
      <c r="I97" s="570">
        <f>E97*F97</f>
        <v>3401290.0917332312</v>
      </c>
      <c r="J97" s="669" t="s">
        <v>2720</v>
      </c>
      <c r="K97" s="536"/>
      <c r="L97" s="532"/>
    </row>
    <row r="98" spans="1:12" x14ac:dyDescent="0.2">
      <c r="A98" s="117">
        <f t="shared" ref="A98:A149" si="22">A97+1</f>
        <v>72</v>
      </c>
      <c r="B98" s="533" t="s">
        <v>1587</v>
      </c>
      <c r="C98" s="528">
        <f t="shared" si="19"/>
        <v>223342.38</v>
      </c>
      <c r="D98" s="528">
        <f t="shared" si="20"/>
        <v>0</v>
      </c>
      <c r="E98" s="528">
        <f t="shared" si="21"/>
        <v>223342.38</v>
      </c>
      <c r="F98" s="575">
        <v>1</v>
      </c>
      <c r="G98" s="570">
        <f t="shared" ref="G98:G145" si="23">SUM(H98:I98)</f>
        <v>223342.38</v>
      </c>
      <c r="H98" s="570">
        <f t="shared" ref="H98:H145" si="24">D98*F98</f>
        <v>0</v>
      </c>
      <c r="I98" s="570">
        <f t="shared" ref="I98:I145" si="25">E98*F98</f>
        <v>223342.38</v>
      </c>
      <c r="J98" s="1120" t="s">
        <v>2722</v>
      </c>
      <c r="K98" s="536"/>
      <c r="L98" s="532"/>
    </row>
    <row r="99" spans="1:12" x14ac:dyDescent="0.2">
      <c r="A99" s="117">
        <f t="shared" si="22"/>
        <v>73</v>
      </c>
      <c r="B99" s="533" t="s">
        <v>1588</v>
      </c>
      <c r="C99" s="528">
        <f t="shared" si="19"/>
        <v>225032.2</v>
      </c>
      <c r="D99" s="528">
        <f t="shared" si="20"/>
        <v>0</v>
      </c>
      <c r="E99" s="528">
        <f t="shared" si="21"/>
        <v>225032.2</v>
      </c>
      <c r="F99" s="575">
        <f>'27-Allocators'!D36</f>
        <v>0.54995769055523014</v>
      </c>
      <c r="G99" s="570">
        <f t="shared" si="23"/>
        <v>123758.18901256267</v>
      </c>
      <c r="H99" s="570">
        <f t="shared" si="24"/>
        <v>0</v>
      </c>
      <c r="I99" s="570">
        <f t="shared" si="25"/>
        <v>123758.18901256267</v>
      </c>
      <c r="J99" s="571" t="str">
        <f>"27-Allocators Line "&amp;'27-Allocators'!A36&amp;""</f>
        <v>27-Allocators Line 30</v>
      </c>
      <c r="K99" s="536"/>
      <c r="L99" s="532"/>
    </row>
    <row r="100" spans="1:12" x14ac:dyDescent="0.2">
      <c r="A100" s="117">
        <f t="shared" si="22"/>
        <v>74</v>
      </c>
      <c r="B100" s="533" t="s">
        <v>1589</v>
      </c>
      <c r="C100" s="528">
        <f t="shared" si="19"/>
        <v>415117.91000000003</v>
      </c>
      <c r="D100" s="528">
        <f t="shared" si="20"/>
        <v>308474.47000000003</v>
      </c>
      <c r="E100" s="528">
        <f t="shared" si="21"/>
        <v>106643.44</v>
      </c>
      <c r="F100" s="575">
        <f>'27-Allocators'!D36</f>
        <v>0.54995769055523014</v>
      </c>
      <c r="G100" s="570">
        <f t="shared" si="23"/>
        <v>228297.28709171392</v>
      </c>
      <c r="H100" s="570">
        <f t="shared" si="24"/>
        <v>169647.90711644865</v>
      </c>
      <c r="I100" s="570">
        <f t="shared" si="25"/>
        <v>58649.379975265256</v>
      </c>
      <c r="J100" s="571" t="str">
        <f>"27-Allocators Line "&amp;'27-Allocators'!A36&amp;""</f>
        <v>27-Allocators Line 30</v>
      </c>
      <c r="K100" s="536"/>
      <c r="L100" s="532"/>
    </row>
    <row r="101" spans="1:12" x14ac:dyDescent="0.2">
      <c r="A101" s="117">
        <f t="shared" si="22"/>
        <v>75</v>
      </c>
      <c r="B101" s="533" t="s">
        <v>1590</v>
      </c>
      <c r="C101" s="528">
        <f t="shared" si="19"/>
        <v>5151199.59</v>
      </c>
      <c r="D101" s="528">
        <f t="shared" si="20"/>
        <v>4220827.43</v>
      </c>
      <c r="E101" s="528">
        <f t="shared" si="21"/>
        <v>930372.15999999992</v>
      </c>
      <c r="F101" s="575">
        <f>'27-Allocators'!D36</f>
        <v>0.54995769055523014</v>
      </c>
      <c r="G101" s="570">
        <f t="shared" si="23"/>
        <v>2832941.8301054481</v>
      </c>
      <c r="H101" s="570">
        <f t="shared" si="24"/>
        <v>2321276.5056349672</v>
      </c>
      <c r="I101" s="570">
        <f t="shared" si="25"/>
        <v>511665.32447048102</v>
      </c>
      <c r="J101" s="571" t="str">
        <f>"27-Allocators Line "&amp;'27-Allocators'!A36&amp;""</f>
        <v>27-Allocators Line 30</v>
      </c>
      <c r="K101" s="536"/>
      <c r="L101" s="532"/>
    </row>
    <row r="102" spans="1:12" x14ac:dyDescent="0.2">
      <c r="A102" s="117">
        <f t="shared" si="22"/>
        <v>76</v>
      </c>
      <c r="B102" s="533" t="s">
        <v>1591</v>
      </c>
      <c r="C102" s="528">
        <f t="shared" si="19"/>
        <v>0</v>
      </c>
      <c r="D102" s="528">
        <f t="shared" si="20"/>
        <v>0</v>
      </c>
      <c r="E102" s="528">
        <f t="shared" si="21"/>
        <v>0</v>
      </c>
      <c r="F102" s="575">
        <v>0</v>
      </c>
      <c r="G102" s="570">
        <f t="shared" si="23"/>
        <v>0</v>
      </c>
      <c r="H102" s="570">
        <f t="shared" si="24"/>
        <v>0</v>
      </c>
      <c r="I102" s="570">
        <f t="shared" si="25"/>
        <v>0</v>
      </c>
      <c r="J102" s="1120" t="s">
        <v>2723</v>
      </c>
      <c r="K102" s="536"/>
      <c r="L102" s="532"/>
    </row>
    <row r="103" spans="1:12" x14ac:dyDescent="0.2">
      <c r="A103" s="117">
        <f t="shared" si="22"/>
        <v>77</v>
      </c>
      <c r="B103" s="533" t="s">
        <v>1592</v>
      </c>
      <c r="C103" s="528">
        <f t="shared" si="19"/>
        <v>4658181</v>
      </c>
      <c r="D103" s="528">
        <f t="shared" si="20"/>
        <v>3858055.62</v>
      </c>
      <c r="E103" s="528">
        <f t="shared" si="21"/>
        <v>800125.38000000012</v>
      </c>
      <c r="F103" s="575">
        <v>1</v>
      </c>
      <c r="G103" s="570">
        <f t="shared" si="23"/>
        <v>4658181</v>
      </c>
      <c r="H103" s="570">
        <f t="shared" si="24"/>
        <v>3858055.62</v>
      </c>
      <c r="I103" s="570">
        <f t="shared" si="25"/>
        <v>800125.38000000012</v>
      </c>
      <c r="J103" s="1120" t="s">
        <v>2722</v>
      </c>
      <c r="K103" s="536"/>
      <c r="L103" s="532"/>
    </row>
    <row r="104" spans="1:12" x14ac:dyDescent="0.2">
      <c r="A104" s="117">
        <f t="shared" si="22"/>
        <v>78</v>
      </c>
      <c r="B104" s="533" t="s">
        <v>1593</v>
      </c>
      <c r="C104" s="528">
        <f t="shared" si="19"/>
        <v>0</v>
      </c>
      <c r="D104" s="528">
        <f t="shared" si="20"/>
        <v>0</v>
      </c>
      <c r="E104" s="528">
        <f t="shared" si="21"/>
        <v>0</v>
      </c>
      <c r="F104" s="575">
        <v>0</v>
      </c>
      <c r="G104" s="570">
        <f t="shared" si="23"/>
        <v>0</v>
      </c>
      <c r="H104" s="570">
        <f t="shared" si="24"/>
        <v>0</v>
      </c>
      <c r="I104" s="570">
        <f t="shared" si="25"/>
        <v>0</v>
      </c>
      <c r="J104" s="1120" t="s">
        <v>2723</v>
      </c>
      <c r="K104" s="528"/>
      <c r="L104" s="531"/>
    </row>
    <row r="105" spans="1:12" x14ac:dyDescent="0.2">
      <c r="A105" s="117">
        <f t="shared" si="22"/>
        <v>79</v>
      </c>
      <c r="B105" s="533" t="s">
        <v>1594</v>
      </c>
      <c r="C105" s="528">
        <f t="shared" si="19"/>
        <v>16153825.479999999</v>
      </c>
      <c r="D105" s="528">
        <f t="shared" si="20"/>
        <v>11271441.479999999</v>
      </c>
      <c r="E105" s="528">
        <f t="shared" si="21"/>
        <v>4882384</v>
      </c>
      <c r="F105" s="575">
        <f>'27-Allocators'!D42</f>
        <v>0.19530595138306789</v>
      </c>
      <c r="G105" s="570">
        <f t="shared" si="23"/>
        <v>3154938.253847443</v>
      </c>
      <c r="H105" s="570">
        <f t="shared" si="24"/>
        <v>2201379.6017099745</v>
      </c>
      <c r="I105" s="570">
        <f t="shared" si="25"/>
        <v>953558.65213746857</v>
      </c>
      <c r="J105" s="571" t="str">
        <f>"27-Allocators Line "&amp;'27-Allocators'!A42&amp;""</f>
        <v>27-Allocators Line 36</v>
      </c>
      <c r="K105" s="536"/>
      <c r="L105" s="532"/>
    </row>
    <row r="106" spans="1:12" ht="12.75" customHeight="1" x14ac:dyDescent="0.2">
      <c r="A106" s="117">
        <f t="shared" si="22"/>
        <v>80</v>
      </c>
      <c r="B106" s="871" t="s">
        <v>1595</v>
      </c>
      <c r="C106" s="1121">
        <f t="shared" si="19"/>
        <v>4136161.0699999989</v>
      </c>
      <c r="D106" s="1121">
        <f t="shared" si="20"/>
        <v>2975305.149999999</v>
      </c>
      <c r="E106" s="1121">
        <f t="shared" si="21"/>
        <v>1160855.92</v>
      </c>
      <c r="F106" s="1122">
        <f>'27-Allocators'!D48</f>
        <v>0.33321260412893877</v>
      </c>
      <c r="G106" s="872">
        <f t="shared" si="23"/>
        <v>1378221.0012314375</v>
      </c>
      <c r="H106" s="872">
        <f t="shared" si="24"/>
        <v>991409.17710974242</v>
      </c>
      <c r="I106" s="872">
        <f t="shared" si="25"/>
        <v>386811.82412169501</v>
      </c>
      <c r="J106" s="571" t="str">
        <f>"27-Allocators Line "&amp;'27-Allocators'!A48&amp;""</f>
        <v>27-Allocators Line 42</v>
      </c>
      <c r="K106" s="528"/>
      <c r="L106" s="532"/>
    </row>
    <row r="107" spans="1:12" x14ac:dyDescent="0.2">
      <c r="A107" s="117">
        <f t="shared" si="22"/>
        <v>81</v>
      </c>
      <c r="B107" s="533" t="s">
        <v>1596</v>
      </c>
      <c r="C107" s="528">
        <f t="shared" si="19"/>
        <v>735592.15</v>
      </c>
      <c r="D107" s="528">
        <f t="shared" si="20"/>
        <v>0</v>
      </c>
      <c r="E107" s="528">
        <f t="shared" si="21"/>
        <v>735592.15</v>
      </c>
      <c r="F107" s="575">
        <v>1</v>
      </c>
      <c r="G107" s="570">
        <f t="shared" si="23"/>
        <v>735592.15</v>
      </c>
      <c r="H107" s="570">
        <f t="shared" si="24"/>
        <v>0</v>
      </c>
      <c r="I107" s="570">
        <f t="shared" si="25"/>
        <v>735592.15</v>
      </c>
      <c r="J107" s="1120" t="s">
        <v>2722</v>
      </c>
      <c r="K107" s="536"/>
      <c r="L107" s="532"/>
    </row>
    <row r="108" spans="1:12" x14ac:dyDescent="0.2">
      <c r="A108" s="117">
        <f t="shared" si="22"/>
        <v>82</v>
      </c>
      <c r="B108" s="533" t="s">
        <v>1597</v>
      </c>
      <c r="C108" s="528">
        <f t="shared" si="19"/>
        <v>4023330.7299999995</v>
      </c>
      <c r="D108" s="528">
        <f t="shared" si="20"/>
        <v>2306992.0299999998</v>
      </c>
      <c r="E108" s="528">
        <f t="shared" si="21"/>
        <v>1716338.7</v>
      </c>
      <c r="F108" s="575">
        <f>'27-Allocators'!D54</f>
        <v>0.49419398907103823</v>
      </c>
      <c r="G108" s="570">
        <f t="shared" si="23"/>
        <v>1988305.8628107919</v>
      </c>
      <c r="H108" s="570">
        <f t="shared" si="24"/>
        <v>1140101.5940607921</v>
      </c>
      <c r="I108" s="570">
        <f t="shared" si="25"/>
        <v>848204.26874999993</v>
      </c>
      <c r="J108" s="571" t="str">
        <f>"27-Allocators Line "&amp;'27-Allocators'!A54&amp;""</f>
        <v>27-Allocators Line 48</v>
      </c>
      <c r="K108" s="536"/>
      <c r="L108" s="532"/>
    </row>
    <row r="109" spans="1:12" x14ac:dyDescent="0.2">
      <c r="A109" s="117">
        <f t="shared" si="22"/>
        <v>83</v>
      </c>
      <c r="B109" s="533" t="s">
        <v>1598</v>
      </c>
      <c r="C109" s="528">
        <f t="shared" si="19"/>
        <v>963316.10999999987</v>
      </c>
      <c r="D109" s="528">
        <f t="shared" si="20"/>
        <v>642258.66</v>
      </c>
      <c r="E109" s="528">
        <f t="shared" si="21"/>
        <v>321057.4499999999</v>
      </c>
      <c r="F109" s="575">
        <f>'27-Allocators'!D60</f>
        <v>5.8139534883720929E-3</v>
      </c>
      <c r="G109" s="570">
        <f t="shared" si="23"/>
        <v>5600.6750581395345</v>
      </c>
      <c r="H109" s="570">
        <f t="shared" si="24"/>
        <v>3734.0619767441863</v>
      </c>
      <c r="I109" s="570">
        <f t="shared" si="25"/>
        <v>1866.6130813953482</v>
      </c>
      <c r="J109" s="571" t="str">
        <f>"27-Allocators Line "&amp;'27-Allocators'!A60&amp;""</f>
        <v>27-Allocators Line 54</v>
      </c>
      <c r="K109" s="536"/>
      <c r="L109" s="532"/>
    </row>
    <row r="110" spans="1:12" x14ac:dyDescent="0.2">
      <c r="A110" s="117">
        <f t="shared" si="22"/>
        <v>84</v>
      </c>
      <c r="B110" s="533" t="s">
        <v>1599</v>
      </c>
      <c r="C110" s="528">
        <f t="shared" si="19"/>
        <v>0</v>
      </c>
      <c r="D110" s="528">
        <f t="shared" si="20"/>
        <v>0</v>
      </c>
      <c r="E110" s="528">
        <f t="shared" si="21"/>
        <v>0</v>
      </c>
      <c r="F110" s="575">
        <v>0</v>
      </c>
      <c r="G110" s="570">
        <f t="shared" si="23"/>
        <v>0</v>
      </c>
      <c r="H110" s="570">
        <f t="shared" si="24"/>
        <v>0</v>
      </c>
      <c r="I110" s="570">
        <f t="shared" si="25"/>
        <v>0</v>
      </c>
      <c r="J110" s="1120" t="s">
        <v>2723</v>
      </c>
      <c r="K110" s="528"/>
      <c r="L110" s="531"/>
    </row>
    <row r="111" spans="1:12" x14ac:dyDescent="0.2">
      <c r="A111" s="117">
        <f t="shared" si="22"/>
        <v>85</v>
      </c>
      <c r="B111" s="533" t="s">
        <v>1600</v>
      </c>
      <c r="C111" s="528">
        <f t="shared" si="19"/>
        <v>225675.83000000002</v>
      </c>
      <c r="D111" s="528">
        <f t="shared" si="20"/>
        <v>0</v>
      </c>
      <c r="E111" s="528">
        <f t="shared" si="21"/>
        <v>225675.83000000002</v>
      </c>
      <c r="F111" s="575">
        <v>0</v>
      </c>
      <c r="G111" s="570">
        <f t="shared" si="23"/>
        <v>0</v>
      </c>
      <c r="H111" s="570">
        <f t="shared" si="24"/>
        <v>0</v>
      </c>
      <c r="I111" s="570">
        <f t="shared" si="25"/>
        <v>0</v>
      </c>
      <c r="J111" s="1120" t="s">
        <v>2723</v>
      </c>
      <c r="K111" s="536"/>
      <c r="L111" s="532"/>
    </row>
    <row r="112" spans="1:12" x14ac:dyDescent="0.2">
      <c r="A112" s="117">
        <f t="shared" si="22"/>
        <v>86</v>
      </c>
      <c r="B112" s="533" t="s">
        <v>1601</v>
      </c>
      <c r="C112" s="528">
        <f t="shared" si="19"/>
        <v>16134867.220000001</v>
      </c>
      <c r="D112" s="528">
        <f t="shared" si="20"/>
        <v>0</v>
      </c>
      <c r="E112" s="528">
        <f t="shared" si="21"/>
        <v>16134867.220000001</v>
      </c>
      <c r="F112" s="575">
        <v>1</v>
      </c>
      <c r="G112" s="570">
        <f t="shared" si="23"/>
        <v>16134867.220000001</v>
      </c>
      <c r="H112" s="570">
        <f t="shared" si="24"/>
        <v>0</v>
      </c>
      <c r="I112" s="570">
        <f t="shared" si="25"/>
        <v>16134867.220000001</v>
      </c>
      <c r="J112" s="1120" t="s">
        <v>2722</v>
      </c>
      <c r="K112" s="536"/>
      <c r="L112" s="532"/>
    </row>
    <row r="113" spans="1:12" x14ac:dyDescent="0.2">
      <c r="A113" s="117">
        <f t="shared" si="22"/>
        <v>87</v>
      </c>
      <c r="B113" s="533" t="s">
        <v>1602</v>
      </c>
      <c r="C113" s="528">
        <f>SUM(D113:E113)</f>
        <v>0</v>
      </c>
      <c r="D113" s="528">
        <f t="shared" ref="D113:E115" si="26">K27</f>
        <v>0</v>
      </c>
      <c r="E113" s="528">
        <f t="shared" si="26"/>
        <v>0</v>
      </c>
      <c r="F113" s="575">
        <v>0</v>
      </c>
      <c r="G113" s="570">
        <f t="shared" si="23"/>
        <v>0</v>
      </c>
      <c r="H113" s="570">
        <f t="shared" si="24"/>
        <v>0</v>
      </c>
      <c r="I113" s="570">
        <f t="shared" si="25"/>
        <v>0</v>
      </c>
      <c r="J113" s="1120" t="s">
        <v>2723</v>
      </c>
      <c r="K113" s="528"/>
      <c r="L113" s="531"/>
    </row>
    <row r="114" spans="1:12" x14ac:dyDescent="0.2">
      <c r="A114" s="117">
        <f t="shared" si="22"/>
        <v>88</v>
      </c>
      <c r="B114" s="868" t="s">
        <v>2633</v>
      </c>
      <c r="C114" s="528">
        <f>J28</f>
        <v>12567067</v>
      </c>
      <c r="D114" s="528">
        <f t="shared" si="26"/>
        <v>6283066</v>
      </c>
      <c r="E114" s="528">
        <f t="shared" si="26"/>
        <v>6284001</v>
      </c>
      <c r="F114" s="575">
        <f>J202</f>
        <v>0.43346348236451843</v>
      </c>
      <c r="G114" s="570">
        <f t="shared" si="23"/>
        <v>5447364.6249282211</v>
      </c>
      <c r="H114" s="570">
        <f t="shared" si="24"/>
        <v>2723479.6682861052</v>
      </c>
      <c r="I114" s="570">
        <f t="shared" si="25"/>
        <v>2723884.956642116</v>
      </c>
      <c r="J114" s="669" t="s">
        <v>2720</v>
      </c>
      <c r="K114" s="571"/>
      <c r="L114" s="547"/>
    </row>
    <row r="115" spans="1:12" x14ac:dyDescent="0.2">
      <c r="A115" s="117">
        <f t="shared" si="22"/>
        <v>89</v>
      </c>
      <c r="B115" s="868" t="s">
        <v>2634</v>
      </c>
      <c r="C115" s="528">
        <f>J29</f>
        <v>25426176</v>
      </c>
      <c r="D115" s="528">
        <f t="shared" si="26"/>
        <v>9398771</v>
      </c>
      <c r="E115" s="528">
        <f t="shared" si="26"/>
        <v>16027405</v>
      </c>
      <c r="F115" s="575">
        <f>J202</f>
        <v>0.43346348236451843</v>
      </c>
      <c r="G115" s="570">
        <f t="shared" ref="G115" si="27">SUM(H115:I115)</f>
        <v>11021318.792173142</v>
      </c>
      <c r="H115" s="570">
        <f t="shared" ref="H115" si="28">D115*F115</f>
        <v>4074024.0076066474</v>
      </c>
      <c r="I115" s="570">
        <f t="shared" ref="I115" si="29">E115*F115</f>
        <v>6947294.7845664946</v>
      </c>
      <c r="J115" s="669" t="s">
        <v>2720</v>
      </c>
      <c r="K115" s="571"/>
      <c r="L115" s="547"/>
    </row>
    <row r="116" spans="1:12" x14ac:dyDescent="0.2">
      <c r="A116" s="117">
        <f t="shared" si="22"/>
        <v>90</v>
      </c>
      <c r="B116" s="533" t="s">
        <v>1603</v>
      </c>
      <c r="C116" s="528">
        <f t="shared" ref="C116:C141" si="30">J30</f>
        <v>971175.55999999994</v>
      </c>
      <c r="D116" s="528">
        <f t="shared" ref="D116:D141" si="31">K30</f>
        <v>921287.05999999994</v>
      </c>
      <c r="E116" s="528">
        <f t="shared" ref="E116:E141" si="32">L30</f>
        <v>49888.499999999985</v>
      </c>
      <c r="F116" s="575">
        <f>'7-PlantStudy'!F28</f>
        <v>0.55139999603270351</v>
      </c>
      <c r="G116" s="570">
        <f t="shared" si="23"/>
        <v>535506.19993105857</v>
      </c>
      <c r="H116" s="570">
        <f t="shared" si="24"/>
        <v>507997.68122898106</v>
      </c>
      <c r="I116" s="570">
        <f t="shared" si="25"/>
        <v>27508.518702077519</v>
      </c>
      <c r="J116" s="571" t="str">
        <f>"7-PlantStudy, Line "&amp;'7-PlantStudy'!A28&amp;", C3"</f>
        <v>7-PlantStudy, Line 21, C3</v>
      </c>
      <c r="K116" s="536"/>
      <c r="L116" s="532"/>
    </row>
    <row r="117" spans="1:12" x14ac:dyDescent="0.2">
      <c r="A117" s="117">
        <f t="shared" si="22"/>
        <v>91</v>
      </c>
      <c r="B117" s="533" t="s">
        <v>1604</v>
      </c>
      <c r="C117" s="528">
        <f t="shared" si="30"/>
        <v>998328.2300000001</v>
      </c>
      <c r="D117" s="528">
        <f t="shared" si="31"/>
        <v>921120.81</v>
      </c>
      <c r="E117" s="528">
        <f t="shared" si="32"/>
        <v>77207.42</v>
      </c>
      <c r="F117" s="575">
        <f>'7-PlantStudy'!F28</f>
        <v>0.55139999603270351</v>
      </c>
      <c r="G117" s="570">
        <f t="shared" si="23"/>
        <v>550478.18206133589</v>
      </c>
      <c r="H117" s="570">
        <f t="shared" si="24"/>
        <v>507906.01097964065</v>
      </c>
      <c r="I117" s="570">
        <f t="shared" si="25"/>
        <v>42572.171081695269</v>
      </c>
      <c r="J117" s="571" t="str">
        <f>"7-PlantStudy, Line "&amp;'7-PlantStudy'!A28&amp;", C3"</f>
        <v>7-PlantStudy, Line 21, C3</v>
      </c>
      <c r="K117" s="528"/>
      <c r="L117" s="873"/>
    </row>
    <row r="118" spans="1:12" x14ac:dyDescent="0.2">
      <c r="A118" s="117">
        <f t="shared" si="22"/>
        <v>92</v>
      </c>
      <c r="B118" s="533" t="s">
        <v>1605</v>
      </c>
      <c r="C118" s="528">
        <f t="shared" si="30"/>
        <v>2723440.899999999</v>
      </c>
      <c r="D118" s="528">
        <f t="shared" si="31"/>
        <v>2160273.8699999992</v>
      </c>
      <c r="E118" s="528">
        <f t="shared" si="32"/>
        <v>563167.02999999991</v>
      </c>
      <c r="F118" s="575">
        <f>'7-PlantStudy'!F28</f>
        <v>0.55139999603270351</v>
      </c>
      <c r="G118" s="570">
        <f t="shared" si="23"/>
        <v>1501705.3014553019</v>
      </c>
      <c r="H118" s="570">
        <f t="shared" si="24"/>
        <v>1191175.0033475526</v>
      </c>
      <c r="I118" s="570">
        <f t="shared" si="25"/>
        <v>310530.29810774938</v>
      </c>
      <c r="J118" s="571" t="str">
        <f>"7-PlantStudy, Line "&amp;'7-PlantStudy'!A28&amp;", C3"</f>
        <v>7-PlantStudy, Line 21, C3</v>
      </c>
      <c r="K118" s="571"/>
    </row>
    <row r="119" spans="1:12" x14ac:dyDescent="0.2">
      <c r="A119" s="117">
        <f t="shared" si="22"/>
        <v>93</v>
      </c>
      <c r="B119" s="533" t="s">
        <v>1606</v>
      </c>
      <c r="C119" s="528">
        <f t="shared" si="30"/>
        <v>1907673.8499999996</v>
      </c>
      <c r="D119" s="528">
        <f t="shared" si="31"/>
        <v>1751028.8799999997</v>
      </c>
      <c r="E119" s="528">
        <f t="shared" si="32"/>
        <v>156644.97000000003</v>
      </c>
      <c r="F119" s="575">
        <f>'7-PlantStudy'!F28</f>
        <v>0.55139999603270351</v>
      </c>
      <c r="G119" s="570">
        <f t="shared" si="23"/>
        <v>1051891.3533216922</v>
      </c>
      <c r="H119" s="570">
        <f t="shared" si="24"/>
        <v>965517.31748514913</v>
      </c>
      <c r="I119" s="570">
        <f t="shared" si="25"/>
        <v>86374.035836542971</v>
      </c>
      <c r="J119" s="571" t="str">
        <f>"7-PlantStudy, Line "&amp;'7-PlantStudy'!A28&amp;", C3"</f>
        <v>7-PlantStudy, Line 21, C3</v>
      </c>
      <c r="K119" s="571"/>
    </row>
    <row r="120" spans="1:12" x14ac:dyDescent="0.2">
      <c r="A120" s="117">
        <f t="shared" si="22"/>
        <v>94</v>
      </c>
      <c r="B120" s="533" t="s">
        <v>1607</v>
      </c>
      <c r="C120" s="528">
        <f t="shared" si="30"/>
        <v>580423.8600000001</v>
      </c>
      <c r="D120" s="528">
        <f t="shared" si="31"/>
        <v>0</v>
      </c>
      <c r="E120" s="528">
        <f t="shared" si="32"/>
        <v>580423.8600000001</v>
      </c>
      <c r="F120" s="575">
        <v>1</v>
      </c>
      <c r="G120" s="570">
        <f t="shared" si="23"/>
        <v>580423.8600000001</v>
      </c>
      <c r="H120" s="570">
        <f t="shared" si="24"/>
        <v>0</v>
      </c>
      <c r="I120" s="570">
        <f t="shared" si="25"/>
        <v>580423.8600000001</v>
      </c>
      <c r="J120" s="1120" t="s">
        <v>2722</v>
      </c>
      <c r="K120" s="571"/>
    </row>
    <row r="121" spans="1:12" x14ac:dyDescent="0.2">
      <c r="A121" s="117">
        <f t="shared" si="22"/>
        <v>95</v>
      </c>
      <c r="B121" s="533" t="s">
        <v>1608</v>
      </c>
      <c r="C121" s="528">
        <f t="shared" si="30"/>
        <v>6277330.04</v>
      </c>
      <c r="D121" s="528">
        <f t="shared" si="31"/>
        <v>223095.71000000002</v>
      </c>
      <c r="E121" s="528">
        <f t="shared" si="32"/>
        <v>6054234.3300000001</v>
      </c>
      <c r="F121" s="575">
        <f>'27-Allocators'!D66</f>
        <v>0.69477316291818869</v>
      </c>
      <c r="G121" s="570">
        <f t="shared" si="23"/>
        <v>4361320.4465721603</v>
      </c>
      <c r="H121" s="570">
        <f t="shared" si="24"/>
        <v>155000.91207017898</v>
      </c>
      <c r="I121" s="570">
        <f t="shared" si="25"/>
        <v>4206319.534501981</v>
      </c>
      <c r="J121" s="571" t="str">
        <f>"27-Allocators Line "&amp;'27-Allocators'!A66&amp;""</f>
        <v>27-Allocators Line 60</v>
      </c>
      <c r="K121" s="571"/>
    </row>
    <row r="122" spans="1:12" x14ac:dyDescent="0.2">
      <c r="A122" s="117">
        <f t="shared" si="22"/>
        <v>96</v>
      </c>
      <c r="B122" s="533" t="s">
        <v>1609</v>
      </c>
      <c r="C122" s="528">
        <f t="shared" si="30"/>
        <v>794036.05</v>
      </c>
      <c r="D122" s="528">
        <f t="shared" si="31"/>
        <v>129.05000000000001</v>
      </c>
      <c r="E122" s="528">
        <f t="shared" si="32"/>
        <v>793907</v>
      </c>
      <c r="F122" s="575">
        <f>'27-Allocators'!D72</f>
        <v>0.90843373493975899</v>
      </c>
      <c r="G122" s="570">
        <f t="shared" si="23"/>
        <v>721329.13457831321</v>
      </c>
      <c r="H122" s="570">
        <f t="shared" si="24"/>
        <v>117.2333734939759</v>
      </c>
      <c r="I122" s="570">
        <f t="shared" si="25"/>
        <v>721211.90120481921</v>
      </c>
      <c r="J122" s="571" t="str">
        <f>"27-Allocators Line "&amp;'27-Allocators'!A72&amp;""</f>
        <v>27-Allocators Line 66</v>
      </c>
      <c r="K122" s="571"/>
    </row>
    <row r="123" spans="1:12" x14ac:dyDescent="0.2">
      <c r="A123" s="117">
        <f t="shared" si="22"/>
        <v>97</v>
      </c>
      <c r="B123" s="533" t="s">
        <v>1610</v>
      </c>
      <c r="C123" s="528">
        <f t="shared" si="30"/>
        <v>131777.55000000005</v>
      </c>
      <c r="D123" s="528">
        <f t="shared" si="31"/>
        <v>10630.49</v>
      </c>
      <c r="E123" s="528">
        <f t="shared" si="32"/>
        <v>121147.06000000006</v>
      </c>
      <c r="F123" s="575">
        <v>1</v>
      </c>
      <c r="G123" s="570">
        <f t="shared" si="23"/>
        <v>131777.55000000005</v>
      </c>
      <c r="H123" s="570">
        <f t="shared" si="24"/>
        <v>10630.49</v>
      </c>
      <c r="I123" s="570">
        <f t="shared" si="25"/>
        <v>121147.06000000006</v>
      </c>
      <c r="J123" s="1120" t="s">
        <v>2722</v>
      </c>
      <c r="K123" s="571"/>
      <c r="L123" s="571"/>
    </row>
    <row r="124" spans="1:12" x14ac:dyDescent="0.2">
      <c r="A124" s="117">
        <f t="shared" si="22"/>
        <v>98</v>
      </c>
      <c r="B124" s="533" t="s">
        <v>1611</v>
      </c>
      <c r="C124" s="528">
        <f t="shared" si="30"/>
        <v>301858</v>
      </c>
      <c r="D124" s="528">
        <f t="shared" si="31"/>
        <v>0</v>
      </c>
      <c r="E124" s="528">
        <f t="shared" si="32"/>
        <v>301858</v>
      </c>
      <c r="F124" s="575">
        <v>1</v>
      </c>
      <c r="G124" s="570">
        <f t="shared" si="23"/>
        <v>301858</v>
      </c>
      <c r="H124" s="570">
        <f t="shared" si="24"/>
        <v>0</v>
      </c>
      <c r="I124" s="570">
        <f t="shared" si="25"/>
        <v>301858</v>
      </c>
      <c r="J124" s="1120" t="s">
        <v>2722</v>
      </c>
      <c r="K124" s="571"/>
    </row>
    <row r="125" spans="1:12" x14ac:dyDescent="0.2">
      <c r="A125" s="117">
        <f t="shared" si="22"/>
        <v>99</v>
      </c>
      <c r="B125" s="533" t="s">
        <v>1612</v>
      </c>
      <c r="C125" s="528">
        <f t="shared" si="30"/>
        <v>2512542.0100000002</v>
      </c>
      <c r="D125" s="528">
        <f t="shared" si="31"/>
        <v>1863539.41</v>
      </c>
      <c r="E125" s="528">
        <f t="shared" si="32"/>
        <v>649002.60000000044</v>
      </c>
      <c r="F125" s="575">
        <f>J207</f>
        <v>0.32276688290579075</v>
      </c>
      <c r="G125" s="570">
        <f t="shared" si="23"/>
        <v>810965.35273755027</v>
      </c>
      <c r="H125" s="570">
        <f t="shared" si="24"/>
        <v>601488.80653779639</v>
      </c>
      <c r="I125" s="570">
        <f t="shared" si="25"/>
        <v>209476.54619975391</v>
      </c>
      <c r="J125" s="669" t="s">
        <v>2725</v>
      </c>
      <c r="K125" s="571"/>
      <c r="L125"/>
    </row>
    <row r="126" spans="1:12" x14ac:dyDescent="0.2">
      <c r="A126" s="117">
        <f t="shared" si="22"/>
        <v>100</v>
      </c>
      <c r="B126" s="533" t="s">
        <v>1613</v>
      </c>
      <c r="C126" s="528">
        <f t="shared" si="30"/>
        <v>229176.68</v>
      </c>
      <c r="D126" s="528">
        <f t="shared" si="31"/>
        <v>0</v>
      </c>
      <c r="E126" s="528">
        <f t="shared" si="32"/>
        <v>229176.68</v>
      </c>
      <c r="F126" s="575">
        <v>1</v>
      </c>
      <c r="G126" s="570">
        <f t="shared" si="23"/>
        <v>229176.68</v>
      </c>
      <c r="H126" s="570">
        <f t="shared" si="24"/>
        <v>0</v>
      </c>
      <c r="I126" s="570">
        <f t="shared" si="25"/>
        <v>229176.68</v>
      </c>
      <c r="J126" s="1120" t="s">
        <v>2722</v>
      </c>
      <c r="K126" s="571"/>
    </row>
    <row r="127" spans="1:12" x14ac:dyDescent="0.2">
      <c r="A127" s="117">
        <f t="shared" si="22"/>
        <v>101</v>
      </c>
      <c r="B127" s="533" t="s">
        <v>1614</v>
      </c>
      <c r="C127" s="528">
        <f t="shared" si="30"/>
        <v>100720.06000000003</v>
      </c>
      <c r="D127" s="528">
        <f t="shared" si="31"/>
        <v>67963.640000000014</v>
      </c>
      <c r="E127" s="528">
        <f t="shared" si="32"/>
        <v>32756.420000000013</v>
      </c>
      <c r="F127" s="575">
        <f>J205</f>
        <v>0.24973513615946913</v>
      </c>
      <c r="G127" s="570">
        <f t="shared" si="23"/>
        <v>25153.337898089907</v>
      </c>
      <c r="H127" s="570">
        <f t="shared" si="24"/>
        <v>16972.908889293147</v>
      </c>
      <c r="I127" s="570">
        <f t="shared" si="25"/>
        <v>8180.4290087967611</v>
      </c>
      <c r="J127" s="669" t="s">
        <v>2724</v>
      </c>
      <c r="K127" s="571"/>
    </row>
    <row r="128" spans="1:12" x14ac:dyDescent="0.2">
      <c r="A128" s="117">
        <f t="shared" si="22"/>
        <v>102</v>
      </c>
      <c r="B128" s="533" t="s">
        <v>1615</v>
      </c>
      <c r="C128" s="528">
        <f t="shared" si="30"/>
        <v>491835</v>
      </c>
      <c r="D128" s="528">
        <f t="shared" si="31"/>
        <v>0</v>
      </c>
      <c r="E128" s="528">
        <f t="shared" si="32"/>
        <v>491835</v>
      </c>
      <c r="F128" s="575">
        <f>J202</f>
        <v>0.43346348236451843</v>
      </c>
      <c r="G128" s="570">
        <f t="shared" si="23"/>
        <v>213192.51184875291</v>
      </c>
      <c r="H128" s="570">
        <f t="shared" si="24"/>
        <v>0</v>
      </c>
      <c r="I128" s="570">
        <f t="shared" si="25"/>
        <v>213192.51184875291</v>
      </c>
      <c r="J128" s="669" t="s">
        <v>2720</v>
      </c>
      <c r="K128" s="571"/>
    </row>
    <row r="129" spans="1:12" x14ac:dyDescent="0.2">
      <c r="A129" s="117">
        <f t="shared" si="22"/>
        <v>103</v>
      </c>
      <c r="B129" s="533" t="s">
        <v>1616</v>
      </c>
      <c r="C129" s="528">
        <f t="shared" si="30"/>
        <v>878926</v>
      </c>
      <c r="D129" s="528">
        <f t="shared" si="31"/>
        <v>0</v>
      </c>
      <c r="E129" s="528">
        <f t="shared" si="32"/>
        <v>878926</v>
      </c>
      <c r="F129" s="575">
        <f>J202</f>
        <v>0.43346348236451843</v>
      </c>
      <c r="G129" s="570">
        <f t="shared" si="23"/>
        <v>380982.32470071671</v>
      </c>
      <c r="H129" s="570">
        <f t="shared" si="24"/>
        <v>0</v>
      </c>
      <c r="I129" s="570">
        <f t="shared" si="25"/>
        <v>380982.32470071671</v>
      </c>
      <c r="J129" s="669" t="s">
        <v>2720</v>
      </c>
      <c r="K129" s="571"/>
    </row>
    <row r="130" spans="1:12" x14ac:dyDescent="0.2">
      <c r="A130" s="117">
        <f t="shared" si="22"/>
        <v>104</v>
      </c>
      <c r="B130" s="533" t="s">
        <v>1617</v>
      </c>
      <c r="C130" s="528">
        <f t="shared" si="30"/>
        <v>252662</v>
      </c>
      <c r="D130" s="528">
        <f t="shared" si="31"/>
        <v>0</v>
      </c>
      <c r="E130" s="528">
        <f t="shared" si="32"/>
        <v>252662</v>
      </c>
      <c r="F130" s="575">
        <f>J202</f>
        <v>0.43346348236451843</v>
      </c>
      <c r="G130" s="570">
        <f t="shared" si="23"/>
        <v>109519.75038118396</v>
      </c>
      <c r="H130" s="570">
        <f t="shared" si="24"/>
        <v>0</v>
      </c>
      <c r="I130" s="570">
        <f t="shared" si="25"/>
        <v>109519.75038118396</v>
      </c>
      <c r="J130" s="669" t="s">
        <v>2720</v>
      </c>
      <c r="K130" s="571"/>
    </row>
    <row r="131" spans="1:12" x14ac:dyDescent="0.2">
      <c r="A131" s="117">
        <f t="shared" si="22"/>
        <v>105</v>
      </c>
      <c r="B131" s="533" t="s">
        <v>1618</v>
      </c>
      <c r="C131" s="528">
        <f t="shared" si="30"/>
        <v>441009.85</v>
      </c>
      <c r="D131" s="528">
        <f t="shared" si="31"/>
        <v>0</v>
      </c>
      <c r="E131" s="528">
        <f t="shared" si="32"/>
        <v>441009.85</v>
      </c>
      <c r="F131" s="575">
        <v>1</v>
      </c>
      <c r="G131" s="570">
        <f t="shared" si="23"/>
        <v>441009.85</v>
      </c>
      <c r="H131" s="570">
        <f t="shared" si="24"/>
        <v>0</v>
      </c>
      <c r="I131" s="570">
        <f t="shared" si="25"/>
        <v>441009.85</v>
      </c>
      <c r="J131" s="1120" t="s">
        <v>2722</v>
      </c>
      <c r="K131" s="571"/>
    </row>
    <row r="132" spans="1:12" x14ac:dyDescent="0.2">
      <c r="A132" s="117">
        <f t="shared" si="22"/>
        <v>106</v>
      </c>
      <c r="B132" s="868" t="s">
        <v>1619</v>
      </c>
      <c r="C132" s="528">
        <f t="shared" si="30"/>
        <v>2925030.3699999996</v>
      </c>
      <c r="D132" s="528">
        <f t="shared" si="31"/>
        <v>1123123.9499999997</v>
      </c>
      <c r="E132" s="528">
        <f t="shared" si="32"/>
        <v>1801906.42</v>
      </c>
      <c r="F132" s="1123">
        <f>'27-Allocators'!D78</f>
        <v>0.18847006651884701</v>
      </c>
      <c r="G132" s="570">
        <f t="shared" si="23"/>
        <v>551280.66840354761</v>
      </c>
      <c r="H132" s="570">
        <f t="shared" si="24"/>
        <v>211675.24556541015</v>
      </c>
      <c r="I132" s="570">
        <f t="shared" si="25"/>
        <v>339605.42283813749</v>
      </c>
      <c r="J132" s="571" t="str">
        <f>"27-Allocators Line "&amp;'27-Allocators'!A78&amp;""</f>
        <v>27-Allocators Line 72</v>
      </c>
      <c r="K132" s="571"/>
      <c r="L132" s="269"/>
    </row>
    <row r="133" spans="1:12" x14ac:dyDescent="0.2">
      <c r="A133" s="117">
        <f t="shared" si="22"/>
        <v>107</v>
      </c>
      <c r="B133" s="533" t="s">
        <v>1620</v>
      </c>
      <c r="C133" s="528">
        <f t="shared" si="30"/>
        <v>1545932.7600000002</v>
      </c>
      <c r="D133" s="528">
        <f t="shared" si="31"/>
        <v>988516.33000000007</v>
      </c>
      <c r="E133" s="528">
        <f t="shared" si="32"/>
        <v>557416.43000000017</v>
      </c>
      <c r="F133" s="1123">
        <f>'27-Allocators'!D84</f>
        <v>0.26419294990723563</v>
      </c>
      <c r="G133" s="570">
        <f t="shared" si="23"/>
        <v>408424.5362226346</v>
      </c>
      <c r="H133" s="570">
        <f t="shared" si="24"/>
        <v>261159.04525417442</v>
      </c>
      <c r="I133" s="570">
        <f t="shared" si="25"/>
        <v>147265.49096846016</v>
      </c>
      <c r="J133" s="571" t="str">
        <f>"27-Allocators Line "&amp;'27-Allocators'!A84&amp;""</f>
        <v>27-Allocators Line 78</v>
      </c>
      <c r="K133" s="571"/>
      <c r="L133" s="269"/>
    </row>
    <row r="134" spans="1:12" x14ac:dyDescent="0.2">
      <c r="A134" s="117">
        <f t="shared" si="22"/>
        <v>108</v>
      </c>
      <c r="B134" s="868" t="s">
        <v>1621</v>
      </c>
      <c r="C134" s="528">
        <f t="shared" si="30"/>
        <v>717589.29</v>
      </c>
      <c r="D134" s="528">
        <f t="shared" si="31"/>
        <v>654716.94999999995</v>
      </c>
      <c r="E134" s="528">
        <f t="shared" si="32"/>
        <v>62872.340000000055</v>
      </c>
      <c r="F134" s="1123">
        <f>'27-Allocators'!D90</f>
        <v>0.80645161290322576</v>
      </c>
      <c r="G134" s="570">
        <f t="shared" si="23"/>
        <v>578701.04032258061</v>
      </c>
      <c r="H134" s="570">
        <f t="shared" si="24"/>
        <v>527997.54032258061</v>
      </c>
      <c r="I134" s="570">
        <f t="shared" si="25"/>
        <v>50703.500000000044</v>
      </c>
      <c r="J134" s="571" t="str">
        <f>"27-Allocators Line "&amp;'27-Allocators'!A90&amp;""</f>
        <v>27-Allocators Line 84</v>
      </c>
      <c r="K134" s="571"/>
      <c r="L134" s="269"/>
    </row>
    <row r="135" spans="1:12" x14ac:dyDescent="0.2">
      <c r="A135" s="117">
        <f t="shared" si="22"/>
        <v>109</v>
      </c>
      <c r="B135" s="533" t="s">
        <v>1622</v>
      </c>
      <c r="C135" s="528">
        <f t="shared" si="30"/>
        <v>5207517.3599999994</v>
      </c>
      <c r="D135" s="528">
        <f t="shared" si="31"/>
        <v>1500912.71</v>
      </c>
      <c r="E135" s="528">
        <f t="shared" si="32"/>
        <v>3706604.65</v>
      </c>
      <c r="F135" s="575">
        <f>J207</f>
        <v>0.32276688290579075</v>
      </c>
      <c r="G135" s="570">
        <f t="shared" si="23"/>
        <v>1680814.1459649925</v>
      </c>
      <c r="H135" s="570">
        <f t="shared" si="24"/>
        <v>484444.91692038305</v>
      </c>
      <c r="I135" s="570">
        <f t="shared" si="25"/>
        <v>1196369.2290446095</v>
      </c>
      <c r="J135" s="669" t="s">
        <v>2725</v>
      </c>
      <c r="K135" s="571"/>
    </row>
    <row r="136" spans="1:12" x14ac:dyDescent="0.2">
      <c r="A136" s="117">
        <f t="shared" si="22"/>
        <v>110</v>
      </c>
      <c r="B136" s="651" t="s">
        <v>2362</v>
      </c>
      <c r="C136" s="528">
        <f t="shared" si="30"/>
        <v>3758256.87</v>
      </c>
      <c r="D136" s="528">
        <f t="shared" si="31"/>
        <v>731593.53</v>
      </c>
      <c r="E136" s="528">
        <f t="shared" si="32"/>
        <v>3026663.34</v>
      </c>
      <c r="F136" s="575">
        <f>'27-Allocators'!D96</f>
        <v>0.17522138587116315</v>
      </c>
      <c r="G136" s="570">
        <f t="shared" si="23"/>
        <v>658526.9772212198</v>
      </c>
      <c r="H136" s="570">
        <f t="shared" si="24"/>
        <v>128190.83222097637</v>
      </c>
      <c r="I136" s="570">
        <f t="shared" si="25"/>
        <v>530336.14500024344</v>
      </c>
      <c r="J136" s="571" t="str">
        <f>"27-Allocators Line "&amp;'27-Allocators'!A96&amp;""</f>
        <v>27-Allocators Line 90</v>
      </c>
      <c r="K136" s="571"/>
    </row>
    <row r="137" spans="1:12" x14ac:dyDescent="0.2">
      <c r="A137" s="117">
        <f t="shared" si="22"/>
        <v>111</v>
      </c>
      <c r="B137" s="533" t="s">
        <v>1623</v>
      </c>
      <c r="C137" s="528">
        <f t="shared" si="30"/>
        <v>1121226.68</v>
      </c>
      <c r="D137" s="528">
        <f t="shared" si="31"/>
        <v>64.91</v>
      </c>
      <c r="E137" s="528">
        <f t="shared" si="32"/>
        <v>1121161.77</v>
      </c>
      <c r="F137" s="575">
        <v>1</v>
      </c>
      <c r="G137" s="570">
        <f t="shared" si="23"/>
        <v>1121226.68</v>
      </c>
      <c r="H137" s="570">
        <f t="shared" si="24"/>
        <v>64.91</v>
      </c>
      <c r="I137" s="570">
        <f t="shared" si="25"/>
        <v>1121161.77</v>
      </c>
      <c r="J137" s="1120" t="s">
        <v>2722</v>
      </c>
      <c r="K137" s="571"/>
    </row>
    <row r="138" spans="1:12" x14ac:dyDescent="0.2">
      <c r="A138" s="117">
        <f t="shared" si="22"/>
        <v>112</v>
      </c>
      <c r="B138" s="533" t="s">
        <v>1624</v>
      </c>
      <c r="C138" s="528">
        <f t="shared" si="30"/>
        <v>9378148.6100000013</v>
      </c>
      <c r="D138" s="528">
        <f t="shared" si="31"/>
        <v>1920800.03</v>
      </c>
      <c r="E138" s="528">
        <f t="shared" si="32"/>
        <v>7457348.580000001</v>
      </c>
      <c r="F138" s="575">
        <f>'27-Allocators'!D54</f>
        <v>0.49419398907103823</v>
      </c>
      <c r="G138" s="570">
        <f t="shared" si="23"/>
        <v>4634624.6716769133</v>
      </c>
      <c r="H138" s="570">
        <f t="shared" si="24"/>
        <v>949247.8290334699</v>
      </c>
      <c r="I138" s="570">
        <f t="shared" si="25"/>
        <v>3685376.842643443</v>
      </c>
      <c r="J138" s="571" t="str">
        <f>"27-Allocators Line "&amp;'27-Allocators'!A54&amp;""</f>
        <v>27-Allocators Line 48</v>
      </c>
      <c r="K138" s="571"/>
      <c r="L138" s="571"/>
    </row>
    <row r="139" spans="1:12" x14ac:dyDescent="0.2">
      <c r="A139" s="117">
        <f t="shared" si="22"/>
        <v>113</v>
      </c>
      <c r="B139" s="533" t="s">
        <v>1625</v>
      </c>
      <c r="C139" s="528">
        <f t="shared" si="30"/>
        <v>9676585.5800000001</v>
      </c>
      <c r="D139" s="528">
        <f t="shared" si="31"/>
        <v>4091099.5299999993</v>
      </c>
      <c r="E139" s="528">
        <f t="shared" si="32"/>
        <v>5585486.0500000007</v>
      </c>
      <c r="F139" s="575">
        <f>'27-Allocators'!D54</f>
        <v>0.49419398907103823</v>
      </c>
      <c r="G139" s="570">
        <f t="shared" si="23"/>
        <v>4782110.4283674862</v>
      </c>
      <c r="H139" s="570">
        <f t="shared" si="24"/>
        <v>2021796.7964173493</v>
      </c>
      <c r="I139" s="570">
        <f t="shared" si="25"/>
        <v>2760313.6319501367</v>
      </c>
      <c r="J139" s="571" t="str">
        <f>"27-Allocators Line "&amp;'27-Allocators'!A54&amp;""</f>
        <v>27-Allocators Line 48</v>
      </c>
      <c r="K139" s="571"/>
      <c r="L139" s="571"/>
    </row>
    <row r="140" spans="1:12" x14ac:dyDescent="0.2">
      <c r="A140" s="117">
        <f t="shared" si="22"/>
        <v>114</v>
      </c>
      <c r="B140" s="533" t="s">
        <v>1626</v>
      </c>
      <c r="C140" s="528">
        <f t="shared" si="30"/>
        <v>15645776.450000001</v>
      </c>
      <c r="D140" s="528">
        <f t="shared" si="31"/>
        <v>1692875.4300000002</v>
      </c>
      <c r="E140" s="528">
        <f t="shared" si="32"/>
        <v>13952901.020000001</v>
      </c>
      <c r="F140" s="575">
        <f>'27-Allocators'!D54</f>
        <v>0.49419398907103823</v>
      </c>
      <c r="G140" s="570">
        <f t="shared" si="23"/>
        <v>7732048.6759392079</v>
      </c>
      <c r="H140" s="570">
        <f t="shared" si="24"/>
        <v>836608.86175204918</v>
      </c>
      <c r="I140" s="570">
        <f t="shared" si="25"/>
        <v>6895439.8141871588</v>
      </c>
      <c r="J140" s="571" t="str">
        <f>"27-Allocators Line "&amp;'27-Allocators'!A54&amp;""</f>
        <v>27-Allocators Line 48</v>
      </c>
      <c r="K140" s="571"/>
      <c r="L140" s="571"/>
    </row>
    <row r="141" spans="1:12" x14ac:dyDescent="0.2">
      <c r="A141" s="117">
        <f t="shared" si="22"/>
        <v>115</v>
      </c>
      <c r="B141" s="533" t="s">
        <v>1913</v>
      </c>
      <c r="C141" s="528">
        <f t="shared" si="30"/>
        <v>3798181.99</v>
      </c>
      <c r="D141" s="528">
        <f t="shared" si="31"/>
        <v>785285.21</v>
      </c>
      <c r="E141" s="528">
        <f t="shared" si="32"/>
        <v>3012896.7800000003</v>
      </c>
      <c r="F141" s="575">
        <f>'27-Allocators'!D102</f>
        <v>0.25976006415700986</v>
      </c>
      <c r="G141" s="570">
        <f t="shared" ref="G141" si="33">SUM(H141:I141)</f>
        <v>986615.99740239955</v>
      </c>
      <c r="H141" s="570">
        <f t="shared" ref="H141" si="34">D141*F141</f>
        <v>203985.73653115096</v>
      </c>
      <c r="I141" s="570">
        <f t="shared" ref="I141" si="35">E141*F141</f>
        <v>782630.26087124855</v>
      </c>
      <c r="J141" s="571" t="str">
        <f>"27-Allocators Line "&amp;'27-Allocators'!A102&amp;""</f>
        <v>27-Allocators Line 96</v>
      </c>
      <c r="K141" s="571"/>
      <c r="L141" s="571"/>
    </row>
    <row r="142" spans="1:12" x14ac:dyDescent="0.2">
      <c r="A142" s="117">
        <f t="shared" si="22"/>
        <v>116</v>
      </c>
      <c r="B142" s="533" t="s">
        <v>1627</v>
      </c>
      <c r="C142" s="528">
        <f t="shared" ref="C142" si="36">J56</f>
        <v>992449.9</v>
      </c>
      <c r="D142" s="528">
        <f t="shared" ref="D142:E145" si="37">K56</f>
        <v>0</v>
      </c>
      <c r="E142" s="528">
        <f t="shared" si="37"/>
        <v>992449.9</v>
      </c>
      <c r="F142" s="575">
        <v>1</v>
      </c>
      <c r="G142" s="570">
        <f t="shared" si="23"/>
        <v>992449.9</v>
      </c>
      <c r="H142" s="570">
        <f t="shared" si="24"/>
        <v>0</v>
      </c>
      <c r="I142" s="570">
        <f t="shared" si="25"/>
        <v>992449.9</v>
      </c>
      <c r="J142" s="1120" t="s">
        <v>2722</v>
      </c>
      <c r="K142" s="571"/>
      <c r="L142" s="571"/>
    </row>
    <row r="143" spans="1:12" x14ac:dyDescent="0.2">
      <c r="A143" s="117">
        <f t="shared" si="22"/>
        <v>117</v>
      </c>
      <c r="B143" s="533" t="s">
        <v>1628</v>
      </c>
      <c r="C143" s="528">
        <f>J57</f>
        <v>-187027.81000000006</v>
      </c>
      <c r="D143" s="528">
        <f t="shared" si="37"/>
        <v>123733.82</v>
      </c>
      <c r="E143" s="528">
        <f t="shared" si="37"/>
        <v>-310761.63000000006</v>
      </c>
      <c r="F143" s="575">
        <f>'27-Allocators'!D60</f>
        <v>5.8139534883720929E-3</v>
      </c>
      <c r="G143" s="570">
        <f t="shared" si="23"/>
        <v>-1087.3709883720933</v>
      </c>
      <c r="H143" s="570">
        <f t="shared" si="24"/>
        <v>719.38267441860467</v>
      </c>
      <c r="I143" s="570">
        <f t="shared" si="25"/>
        <v>-1806.7536627906979</v>
      </c>
      <c r="J143" s="571" t="str">
        <f>"27-Allocators Line "&amp;'27-Allocators'!A60&amp;""</f>
        <v>27-Allocators Line 54</v>
      </c>
      <c r="K143" s="571"/>
    </row>
    <row r="144" spans="1:12" x14ac:dyDescent="0.2">
      <c r="A144" s="117">
        <f t="shared" si="22"/>
        <v>118</v>
      </c>
      <c r="B144" s="533" t="s">
        <v>1629</v>
      </c>
      <c r="C144" s="528">
        <f>J58</f>
        <v>45625.31</v>
      </c>
      <c r="D144" s="528">
        <f t="shared" si="37"/>
        <v>0</v>
      </c>
      <c r="E144" s="528">
        <f t="shared" si="37"/>
        <v>45625.31</v>
      </c>
      <c r="F144" s="575">
        <v>1</v>
      </c>
      <c r="G144" s="570">
        <f t="shared" si="23"/>
        <v>45625.31</v>
      </c>
      <c r="H144" s="570">
        <f t="shared" si="24"/>
        <v>0</v>
      </c>
      <c r="I144" s="570">
        <f t="shared" si="25"/>
        <v>45625.31</v>
      </c>
      <c r="J144" s="1120" t="s">
        <v>2722</v>
      </c>
      <c r="K144" s="571"/>
    </row>
    <row r="145" spans="1:12" x14ac:dyDescent="0.2">
      <c r="A145" s="117">
        <f t="shared" si="22"/>
        <v>119</v>
      </c>
      <c r="B145" s="533" t="s">
        <v>1630</v>
      </c>
      <c r="C145" s="537">
        <f>J59</f>
        <v>1559364.2599999998</v>
      </c>
      <c r="D145" s="537">
        <f t="shared" si="37"/>
        <v>740729.78999999969</v>
      </c>
      <c r="E145" s="537">
        <f t="shared" si="37"/>
        <v>818634.47</v>
      </c>
      <c r="F145" s="1123">
        <f>'27-Allocators'!D108</f>
        <v>0.44808973401976704</v>
      </c>
      <c r="G145" s="570">
        <f t="shared" si="23"/>
        <v>698735.11650333065</v>
      </c>
      <c r="H145" s="570">
        <f t="shared" si="24"/>
        <v>331913.41458161775</v>
      </c>
      <c r="I145" s="570">
        <f t="shared" si="25"/>
        <v>366821.70192171296</v>
      </c>
      <c r="J145" s="571" t="str">
        <f>"27-Allocators Line "&amp;'27-Allocators'!A108&amp;""</f>
        <v>27-Allocators Line 102</v>
      </c>
      <c r="K145" s="571"/>
      <c r="L145" s="269"/>
    </row>
    <row r="146" spans="1:12" x14ac:dyDescent="0.2">
      <c r="A146" s="117">
        <f t="shared" si="22"/>
        <v>120</v>
      </c>
      <c r="B146" s="541" t="s">
        <v>578</v>
      </c>
      <c r="C146" s="542" t="s">
        <v>88</v>
      </c>
      <c r="D146" s="542" t="s">
        <v>88</v>
      </c>
      <c r="E146" s="542" t="s">
        <v>88</v>
      </c>
      <c r="F146" s="542" t="s">
        <v>88</v>
      </c>
      <c r="G146" s="542" t="s">
        <v>88</v>
      </c>
      <c r="H146" s="542" t="s">
        <v>88</v>
      </c>
      <c r="I146" s="542" t="s">
        <v>88</v>
      </c>
    </row>
    <row r="147" spans="1:12" x14ac:dyDescent="0.2">
      <c r="A147" s="117">
        <f t="shared" si="22"/>
        <v>121</v>
      </c>
      <c r="B147" s="868" t="s">
        <v>3107</v>
      </c>
      <c r="C147" s="572">
        <f>J61</f>
        <v>9303521.5875938218</v>
      </c>
      <c r="D147" s="572">
        <f>K61</f>
        <v>9303521.5875938218</v>
      </c>
      <c r="E147" s="572">
        <f>L61</f>
        <v>0</v>
      </c>
      <c r="F147" s="607"/>
      <c r="G147" s="573">
        <f>SUM(H147:I147)</f>
        <v>4013539.6620123414</v>
      </c>
      <c r="H147" s="573">
        <f>D147*C196</f>
        <v>4013539.6620123414</v>
      </c>
      <c r="I147" s="573">
        <v>0</v>
      </c>
    </row>
    <row r="148" spans="1:12" x14ac:dyDescent="0.2">
      <c r="A148" s="117">
        <f t="shared" si="22"/>
        <v>122</v>
      </c>
      <c r="B148" s="547" t="s">
        <v>1652</v>
      </c>
      <c r="C148" s="550">
        <f>SUM(C97:C147)</f>
        <v>190002039.92759386</v>
      </c>
      <c r="D148" s="550">
        <f>SUM(D97:D147)</f>
        <v>78876520.697593823</v>
      </c>
      <c r="E148" s="550">
        <f>SUM(E97:E147)</f>
        <v>111125519.23000002</v>
      </c>
      <c r="F148" s="574"/>
      <c r="G148" s="550">
        <f>SUM(G97:G147)</f>
        <v>94780021.788506567</v>
      </c>
      <c r="H148" s="550">
        <f>SUM(H97:H147)</f>
        <v>34027334.836679406</v>
      </c>
      <c r="I148" s="550">
        <f>SUM(I97:I147)</f>
        <v>60752686.951827146</v>
      </c>
      <c r="K148" s="576">
        <f>L148-H148</f>
        <v>-1373908.9628149047</v>
      </c>
      <c r="L148" s="577">
        <v>32653425.873864502</v>
      </c>
    </row>
    <row r="149" spans="1:12" x14ac:dyDescent="0.2">
      <c r="A149" s="117">
        <f t="shared" si="22"/>
        <v>123</v>
      </c>
      <c r="B149" s="532"/>
      <c r="C149" s="531"/>
      <c r="D149" s="531"/>
      <c r="E149" s="531"/>
      <c r="F149" s="574"/>
      <c r="G149" s="575"/>
      <c r="H149" s="570"/>
      <c r="I149" s="570"/>
      <c r="J149" s="570"/>
      <c r="K149" s="576">
        <f>L149*1000-I148</f>
        <v>6242519.0002534017</v>
      </c>
      <c r="L149" s="578">
        <v>66995.205952080549</v>
      </c>
    </row>
    <row r="150" spans="1:12" x14ac:dyDescent="0.2">
      <c r="A150" s="2"/>
      <c r="B150" s="552"/>
      <c r="C150" s="579"/>
      <c r="D150" s="579"/>
      <c r="E150" s="579"/>
      <c r="F150" s="580"/>
      <c r="G150" s="581"/>
      <c r="H150" s="579"/>
      <c r="I150" s="579"/>
      <c r="J150" s="579"/>
    </row>
    <row r="151" spans="1:12" x14ac:dyDescent="0.2">
      <c r="A151" s="2"/>
      <c r="B151" s="88" t="s">
        <v>406</v>
      </c>
      <c r="C151" s="508" t="s">
        <v>390</v>
      </c>
      <c r="D151" s="508" t="s">
        <v>391</v>
      </c>
      <c r="E151" s="508" t="s">
        <v>392</v>
      </c>
      <c r="F151" s="509" t="s">
        <v>393</v>
      </c>
      <c r="G151" s="508" t="s">
        <v>394</v>
      </c>
      <c r="H151" s="508" t="s">
        <v>395</v>
      </c>
      <c r="I151" s="508" t="s">
        <v>610</v>
      </c>
      <c r="J151" s="1118" t="s">
        <v>1059</v>
      </c>
      <c r="K151" s="571"/>
    </row>
    <row r="152" spans="1:12" x14ac:dyDescent="0.2">
      <c r="A152" s="2"/>
      <c r="C152" s="536" t="s">
        <v>1648</v>
      </c>
      <c r="D152" s="536" t="s">
        <v>1649</v>
      </c>
      <c r="E152" s="536" t="s">
        <v>1650</v>
      </c>
      <c r="F152" s="560" t="s">
        <v>1353</v>
      </c>
      <c r="G152" s="819" t="s">
        <v>1575</v>
      </c>
      <c r="H152" s="820" t="s">
        <v>2427</v>
      </c>
      <c r="I152" s="820" t="s">
        <v>2428</v>
      </c>
      <c r="J152" s="571"/>
      <c r="K152" s="571"/>
    </row>
    <row r="153" spans="1:12" x14ac:dyDescent="0.2">
      <c r="A153" s="2"/>
      <c r="C153" s="536"/>
      <c r="D153" s="536"/>
      <c r="E153" s="536"/>
      <c r="F153" s="559"/>
      <c r="G153" s="560"/>
      <c r="H153" s="532"/>
      <c r="I153" s="532"/>
      <c r="J153" s="536"/>
      <c r="K153" s="571"/>
    </row>
    <row r="154" spans="1:12" x14ac:dyDescent="0.2">
      <c r="A154" s="2"/>
      <c r="B154" s="1215" t="s">
        <v>1579</v>
      </c>
      <c r="C154" s="1216" t="s">
        <v>1582</v>
      </c>
      <c r="D154" s="1213"/>
      <c r="E154" s="1214"/>
      <c r="F154" s="568" t="s">
        <v>1792</v>
      </c>
      <c r="G154" s="1207" t="s">
        <v>1651</v>
      </c>
      <c r="H154" s="1208"/>
      <c r="I154" s="1209"/>
      <c r="J154" s="1119" t="s">
        <v>2533</v>
      </c>
      <c r="K154" s="571"/>
    </row>
    <row r="155" spans="1:12" x14ac:dyDescent="0.2">
      <c r="A155" s="2"/>
      <c r="B155" s="1215"/>
      <c r="C155" s="521" t="s">
        <v>226</v>
      </c>
      <c r="D155" s="523" t="s">
        <v>1583</v>
      </c>
      <c r="E155" s="523" t="s">
        <v>1584</v>
      </c>
      <c r="F155" s="568" t="s">
        <v>491</v>
      </c>
      <c r="G155" s="521" t="s">
        <v>226</v>
      </c>
      <c r="H155" s="523" t="s">
        <v>1583</v>
      </c>
      <c r="I155" s="523" t="s">
        <v>1584</v>
      </c>
      <c r="J155" s="1043" t="s">
        <v>235</v>
      </c>
      <c r="K155" s="571"/>
    </row>
    <row r="156" spans="1:12" ht="12.75" customHeight="1" x14ac:dyDescent="0.2">
      <c r="A156" s="2"/>
      <c r="B156" s="555" t="s">
        <v>1632</v>
      </c>
      <c r="C156" s="531"/>
      <c r="D156" s="531"/>
      <c r="E156" s="531"/>
      <c r="F156" s="574"/>
      <c r="G156" s="575"/>
      <c r="H156" s="570"/>
      <c r="I156" s="570"/>
      <c r="J156" s="570"/>
      <c r="K156" s="571"/>
    </row>
    <row r="157" spans="1:12" ht="12.75" customHeight="1" x14ac:dyDescent="0.2">
      <c r="A157" s="117">
        <f>A149+1</f>
        <v>124</v>
      </c>
      <c r="B157" s="533" t="s">
        <v>1633</v>
      </c>
      <c r="C157" s="531">
        <f t="shared" ref="C157:E164" si="38">J71</f>
        <v>21387618.799999997</v>
      </c>
      <c r="D157" s="531">
        <f t="shared" si="38"/>
        <v>13835387.199999999</v>
      </c>
      <c r="E157" s="531">
        <f t="shared" si="38"/>
        <v>7552231.5999999996</v>
      </c>
      <c r="F157" s="1124">
        <f>J213</f>
        <v>2.8839914751975594E-2</v>
      </c>
      <c r="G157" s="570">
        <f t="shared" ref="G157:G164" si="39">SUM(H157:I157)</f>
        <v>616817.10293975053</v>
      </c>
      <c r="H157" s="570">
        <f>D157*F157</f>
        <v>399011.38740857429</v>
      </c>
      <c r="I157" s="570">
        <f>E157*F157</f>
        <v>217805.71553117625</v>
      </c>
      <c r="J157" s="669" t="s">
        <v>2726</v>
      </c>
      <c r="K157" s="571"/>
    </row>
    <row r="158" spans="1:12" ht="12.75" customHeight="1" x14ac:dyDescent="0.2">
      <c r="A158" s="117">
        <f t="shared" ref="A158:A167" si="40">A157+1</f>
        <v>125</v>
      </c>
      <c r="B158" s="533" t="s">
        <v>1634</v>
      </c>
      <c r="C158" s="531">
        <f t="shared" si="38"/>
        <v>8418919.459999999</v>
      </c>
      <c r="D158" s="531">
        <f t="shared" si="38"/>
        <v>6995090.5800000001</v>
      </c>
      <c r="E158" s="531">
        <f t="shared" si="38"/>
        <v>1423828.8799999997</v>
      </c>
      <c r="F158" s="1124">
        <f>J213</f>
        <v>2.8839914751975594E-2</v>
      </c>
      <c r="G158" s="570">
        <f t="shared" si="39"/>
        <v>242800.91953014839</v>
      </c>
      <c r="H158" s="570">
        <f t="shared" ref="H158:H165" si="41">D158*F158</f>
        <v>201737.8160095475</v>
      </c>
      <c r="I158" s="570">
        <f t="shared" ref="I158:I165" si="42">E158*F158</f>
        <v>41063.103520600875</v>
      </c>
      <c r="J158" s="669" t="s">
        <v>2726</v>
      </c>
      <c r="K158" s="571"/>
    </row>
    <row r="159" spans="1:12" ht="12.75" customHeight="1" x14ac:dyDescent="0.2">
      <c r="A159" s="117">
        <f t="shared" si="40"/>
        <v>126</v>
      </c>
      <c r="B159" s="533" t="s">
        <v>1635</v>
      </c>
      <c r="C159" s="531">
        <f t="shared" si="38"/>
        <v>2734266.3899999997</v>
      </c>
      <c r="D159" s="531">
        <f t="shared" si="38"/>
        <v>1770279.17</v>
      </c>
      <c r="E159" s="531">
        <f t="shared" si="38"/>
        <v>963987.21999999974</v>
      </c>
      <c r="F159" s="1124">
        <f>J213</f>
        <v>2.8839914751975594E-2</v>
      </c>
      <c r="G159" s="570">
        <f t="shared" si="39"/>
        <v>78856.00959679205</v>
      </c>
      <c r="H159" s="570">
        <f t="shared" si="41"/>
        <v>51054.700349998107</v>
      </c>
      <c r="I159" s="570">
        <f t="shared" si="42"/>
        <v>27801.309246793935</v>
      </c>
      <c r="J159" s="669" t="s">
        <v>2726</v>
      </c>
      <c r="K159" s="571"/>
    </row>
    <row r="160" spans="1:12" ht="12.75" customHeight="1" x14ac:dyDescent="0.2">
      <c r="A160" s="117">
        <f t="shared" si="40"/>
        <v>127</v>
      </c>
      <c r="B160" s="533" t="s">
        <v>1636</v>
      </c>
      <c r="C160" s="531">
        <f t="shared" si="38"/>
        <v>186055.92000000004</v>
      </c>
      <c r="D160" s="531">
        <f t="shared" si="38"/>
        <v>13479.42</v>
      </c>
      <c r="E160" s="531">
        <f t="shared" si="38"/>
        <v>172576.50000000003</v>
      </c>
      <c r="F160" s="1124">
        <f>J213</f>
        <v>2.8839914751975594E-2</v>
      </c>
      <c r="G160" s="570">
        <f t="shared" si="39"/>
        <v>5365.8368719003911</v>
      </c>
      <c r="H160" s="570">
        <f t="shared" si="41"/>
        <v>388.74532370607488</v>
      </c>
      <c r="I160" s="570">
        <f t="shared" si="42"/>
        <v>4977.0915481943166</v>
      </c>
      <c r="J160" s="669" t="s">
        <v>2726</v>
      </c>
      <c r="K160" s="571"/>
    </row>
    <row r="161" spans="1:12" ht="12.75" customHeight="1" x14ac:dyDescent="0.2">
      <c r="A161" s="117">
        <f t="shared" si="40"/>
        <v>128</v>
      </c>
      <c r="B161" s="533" t="s">
        <v>1637</v>
      </c>
      <c r="C161" s="531">
        <f t="shared" si="38"/>
        <v>1331725.43</v>
      </c>
      <c r="D161" s="531">
        <f t="shared" si="38"/>
        <v>826844.91999999981</v>
      </c>
      <c r="E161" s="531">
        <f t="shared" si="38"/>
        <v>504880.51000000013</v>
      </c>
      <c r="F161" s="575">
        <f>'27-Allocators'!D114</f>
        <v>2.7131782945736434E-3</v>
      </c>
      <c r="G161" s="570">
        <f t="shared" si="39"/>
        <v>3613.2085310077518</v>
      </c>
      <c r="H161" s="570">
        <f t="shared" si="41"/>
        <v>2243.3776899224799</v>
      </c>
      <c r="I161" s="570">
        <f t="shared" si="42"/>
        <v>1369.8308410852717</v>
      </c>
      <c r="J161" s="571" t="str">
        <f>"27-Allocators Line "&amp;'27-Allocators'!A114&amp;""</f>
        <v>27-Allocators Line 108</v>
      </c>
      <c r="K161" s="571"/>
    </row>
    <row r="162" spans="1:12" ht="12.75" customHeight="1" x14ac:dyDescent="0.2">
      <c r="A162" s="117">
        <f t="shared" si="40"/>
        <v>129</v>
      </c>
      <c r="B162" s="533" t="s">
        <v>1638</v>
      </c>
      <c r="C162" s="531">
        <f t="shared" si="38"/>
        <v>1869253.52</v>
      </c>
      <c r="D162" s="531">
        <f t="shared" si="38"/>
        <v>1375283.3499999999</v>
      </c>
      <c r="E162" s="531">
        <f t="shared" si="38"/>
        <v>493970.17000000004</v>
      </c>
      <c r="F162" s="575">
        <f>'27-Allocators'!D120</f>
        <v>1.5964166762375099E-2</v>
      </c>
      <c r="G162" s="570">
        <f t="shared" si="39"/>
        <v>29841.074914436656</v>
      </c>
      <c r="H162" s="570">
        <f t="shared" si="41"/>
        <v>21955.252744917878</v>
      </c>
      <c r="I162" s="570">
        <f t="shared" si="42"/>
        <v>7885.8221695187776</v>
      </c>
      <c r="J162" s="571" t="str">
        <f>"27-Allocators Line "&amp;'27-Allocators'!A120&amp;""</f>
        <v>27-Allocators Line 114</v>
      </c>
      <c r="K162" s="571"/>
    </row>
    <row r="163" spans="1:12" ht="12.75" customHeight="1" x14ac:dyDescent="0.2">
      <c r="A163" s="117">
        <f t="shared" si="40"/>
        <v>130</v>
      </c>
      <c r="B163" s="533" t="s">
        <v>1639</v>
      </c>
      <c r="C163" s="531">
        <f t="shared" si="38"/>
        <v>1493105.8799999994</v>
      </c>
      <c r="D163" s="531">
        <f t="shared" si="38"/>
        <v>1027444.1699999995</v>
      </c>
      <c r="E163" s="531">
        <f t="shared" si="38"/>
        <v>465661.71000000008</v>
      </c>
      <c r="F163" s="575">
        <f>'27-Allocators'!D126</f>
        <v>6.710044733631558E-2</v>
      </c>
      <c r="G163" s="570">
        <f t="shared" si="39"/>
        <v>100188.07246848309</v>
      </c>
      <c r="H163" s="570">
        <f t="shared" si="41"/>
        <v>68941.963420089436</v>
      </c>
      <c r="I163" s="570">
        <f t="shared" si="42"/>
        <v>31246.109048393664</v>
      </c>
      <c r="J163" s="571" t="str">
        <f>"27-Allocators Line "&amp;'27-Allocators'!A126&amp;""</f>
        <v>27-Allocators Line 120</v>
      </c>
      <c r="K163" s="571"/>
    </row>
    <row r="164" spans="1:12" ht="12.75" customHeight="1" x14ac:dyDescent="0.2">
      <c r="A164" s="117">
        <f t="shared" si="40"/>
        <v>131</v>
      </c>
      <c r="B164" s="533" t="s">
        <v>1640</v>
      </c>
      <c r="C164" s="531">
        <f t="shared" si="38"/>
        <v>3123517.4100000011</v>
      </c>
      <c r="D164" s="531">
        <f t="shared" si="38"/>
        <v>941220.77000000025</v>
      </c>
      <c r="E164" s="531">
        <f t="shared" si="38"/>
        <v>2182296.6400000006</v>
      </c>
      <c r="F164" s="1124">
        <f>J213</f>
        <v>2.8839914751975594E-2</v>
      </c>
      <c r="G164" s="570">
        <f t="shared" si="39"/>
        <v>90081.975830711628</v>
      </c>
      <c r="H164" s="570">
        <f t="shared" si="41"/>
        <v>27144.726769588837</v>
      </c>
      <c r="I164" s="570">
        <f t="shared" si="42"/>
        <v>62937.249061122791</v>
      </c>
      <c r="J164" s="669" t="s">
        <v>2726</v>
      </c>
      <c r="K164" s="571"/>
      <c r="L164" s="269"/>
    </row>
    <row r="165" spans="1:12" ht="12.75" customHeight="1" x14ac:dyDescent="0.35">
      <c r="A165" s="1127">
        <f t="shared" si="40"/>
        <v>132</v>
      </c>
      <c r="B165" s="1128" t="s">
        <v>1641</v>
      </c>
      <c r="C165" s="605">
        <f t="shared" ref="C165:E166" si="43">J79</f>
        <v>412218733.19</v>
      </c>
      <c r="D165" s="531">
        <f t="shared" si="43"/>
        <v>175818814.91</v>
      </c>
      <c r="E165" s="531">
        <f t="shared" si="43"/>
        <v>236399918.28</v>
      </c>
      <c r="F165" s="1125">
        <v>0</v>
      </c>
      <c r="G165" s="582">
        <v>0</v>
      </c>
      <c r="H165" s="570">
        <f t="shared" si="41"/>
        <v>0</v>
      </c>
      <c r="I165" s="570">
        <f t="shared" si="42"/>
        <v>0</v>
      </c>
      <c r="J165" s="1120" t="s">
        <v>2723</v>
      </c>
      <c r="K165" s="571"/>
    </row>
    <row r="166" spans="1:12" ht="12.75" customHeight="1" x14ac:dyDescent="0.2">
      <c r="A166" s="117">
        <f t="shared" si="40"/>
        <v>133</v>
      </c>
      <c r="B166" s="868" t="s">
        <v>3108</v>
      </c>
      <c r="C166" s="556">
        <f t="shared" si="43"/>
        <v>26970600.412406173</v>
      </c>
      <c r="D166" s="556">
        <f t="shared" si="43"/>
        <v>26970600.412406173</v>
      </c>
      <c r="E166" s="556">
        <f t="shared" si="43"/>
        <v>0</v>
      </c>
      <c r="F166" s="1126">
        <v>0</v>
      </c>
      <c r="G166" s="573">
        <f>SUM(H166:I166)</f>
        <v>0</v>
      </c>
      <c r="H166" s="573">
        <f>D166*F166</f>
        <v>0</v>
      </c>
      <c r="I166" s="573">
        <f>E166*F166</f>
        <v>0</v>
      </c>
      <c r="J166" s="1120" t="s">
        <v>2723</v>
      </c>
      <c r="K166" s="571"/>
    </row>
    <row r="167" spans="1:12" x14ac:dyDescent="0.2">
      <c r="A167" s="117">
        <f t="shared" si="40"/>
        <v>134</v>
      </c>
      <c r="B167" s="552" t="s">
        <v>1653</v>
      </c>
      <c r="C167" s="531">
        <f>SUM(C157:C166)</f>
        <v>479733796.41240615</v>
      </c>
      <c r="D167" s="531">
        <f>SUM(D157:D166)</f>
        <v>229574444.90240619</v>
      </c>
      <c r="E167" s="531">
        <f>SUM(E157:E166)</f>
        <v>250159351.50999999</v>
      </c>
      <c r="F167" s="580"/>
      <c r="G167" s="550">
        <f>SUM(G157:G165)</f>
        <v>1167564.2006832305</v>
      </c>
      <c r="H167" s="550">
        <f>SUM(H157:H165)</f>
        <v>772477.96971634461</v>
      </c>
      <c r="I167" s="550">
        <f>SUM(I157:I165)</f>
        <v>395086.23096688587</v>
      </c>
    </row>
    <row r="168" spans="1:12" x14ac:dyDescent="0.2">
      <c r="A168" s="117">
        <f>+A167+1</f>
        <v>135</v>
      </c>
      <c r="B168" s="552"/>
      <c r="C168" s="531"/>
      <c r="D168" s="531"/>
      <c r="E168" s="531"/>
      <c r="F168" s="580"/>
      <c r="G168" s="550"/>
      <c r="H168" s="548"/>
      <c r="I168" s="583"/>
    </row>
    <row r="169" spans="1:12" x14ac:dyDescent="0.2">
      <c r="A169" s="117">
        <f>A168+1</f>
        <v>136</v>
      </c>
      <c r="B169" s="312"/>
      <c r="C169" s="528"/>
      <c r="D169" s="528"/>
      <c r="E169" s="528"/>
      <c r="F169" s="574"/>
      <c r="G169" s="570"/>
      <c r="H169" s="570"/>
      <c r="I169" s="570"/>
    </row>
    <row r="170" spans="1:12" x14ac:dyDescent="0.2">
      <c r="A170" s="117">
        <f>A169+1</f>
        <v>137</v>
      </c>
      <c r="B170" s="552" t="s">
        <v>2430</v>
      </c>
      <c r="C170" s="528">
        <f>+C148+C167</f>
        <v>669735836.34000003</v>
      </c>
      <c r="D170" s="528">
        <f>+D148+D167</f>
        <v>308450965.60000002</v>
      </c>
      <c r="E170" s="528">
        <f>+E148+E167</f>
        <v>361284870.74000001</v>
      </c>
      <c r="F170" s="527"/>
      <c r="G170" s="570">
        <f>SUM(H170:I170)</f>
        <v>95947585.989189789</v>
      </c>
      <c r="H170" s="528">
        <f>+H148+H167</f>
        <v>34799812.806395754</v>
      </c>
      <c r="I170" s="528">
        <f>+I148+I167</f>
        <v>61147773.182794034</v>
      </c>
    </row>
    <row r="171" spans="1:12" x14ac:dyDescent="0.2">
      <c r="A171" s="117">
        <f>A170+1</f>
        <v>138</v>
      </c>
      <c r="B171" s="571" t="str">
        <f>"Line "&amp;A148&amp;" +  Line "&amp;A167&amp;""</f>
        <v>Line 122 +  Line 134</v>
      </c>
    </row>
    <row r="173" spans="1:12" x14ac:dyDescent="0.2">
      <c r="B173" s="585" t="s">
        <v>267</v>
      </c>
    </row>
    <row r="174" spans="1:12" x14ac:dyDescent="0.2">
      <c r="B174" s="631" t="s">
        <v>1654</v>
      </c>
      <c r="G174" s="632"/>
      <c r="H174" s="633"/>
      <c r="I174" s="633"/>
      <c r="J174" s="571"/>
      <c r="K174" s="571"/>
    </row>
    <row r="175" spans="1:12" x14ac:dyDescent="0.2">
      <c r="B175" s="634" t="s">
        <v>1655</v>
      </c>
      <c r="G175" s="632"/>
      <c r="H175" s="633"/>
      <c r="I175" s="633"/>
      <c r="J175" s="571"/>
      <c r="K175" s="571"/>
    </row>
    <row r="176" spans="1:12" x14ac:dyDescent="0.2">
      <c r="B176" s="1040" t="s">
        <v>1656</v>
      </c>
      <c r="G176" s="632"/>
      <c r="H176" s="633"/>
      <c r="I176" s="633"/>
      <c r="J176" s="571"/>
      <c r="K176" s="571"/>
    </row>
    <row r="177" spans="2:11" x14ac:dyDescent="0.2">
      <c r="B177" s="1041" t="s">
        <v>1657</v>
      </c>
      <c r="G177" s="632"/>
      <c r="H177" s="633"/>
      <c r="I177" s="633"/>
      <c r="J177" s="571"/>
      <c r="K177" s="571"/>
    </row>
    <row r="178" spans="2:11" x14ac:dyDescent="0.2">
      <c r="B178" s="1041" t="s">
        <v>1658</v>
      </c>
      <c r="G178" s="632"/>
      <c r="H178" s="633"/>
      <c r="I178" s="633"/>
      <c r="J178" s="571"/>
      <c r="K178" s="571"/>
    </row>
    <row r="179" spans="2:11" x14ac:dyDescent="0.2">
      <c r="B179" s="1041" t="s">
        <v>1659</v>
      </c>
      <c r="G179" s="632"/>
      <c r="H179" s="633"/>
      <c r="I179" s="633"/>
      <c r="J179" s="571"/>
      <c r="K179" s="571"/>
    </row>
    <row r="180" spans="2:11" x14ac:dyDescent="0.2">
      <c r="B180" s="1129" t="s">
        <v>2510</v>
      </c>
      <c r="G180" s="632"/>
      <c r="H180" s="633"/>
      <c r="I180" s="633"/>
      <c r="J180" s="571"/>
      <c r="K180" s="571"/>
    </row>
    <row r="181" spans="2:11" x14ac:dyDescent="0.2">
      <c r="B181" s="876" t="s">
        <v>3109</v>
      </c>
      <c r="G181" s="632"/>
      <c r="H181" s="633"/>
      <c r="I181" s="633"/>
      <c r="J181" s="571"/>
      <c r="K181" s="571"/>
    </row>
    <row r="182" spans="2:11" x14ac:dyDescent="0.2">
      <c r="B182" s="876" t="s">
        <v>2568</v>
      </c>
      <c r="C182" s="669"/>
      <c r="D182" s="669"/>
      <c r="G182" s="632"/>
      <c r="H182" s="633"/>
      <c r="I182" s="633"/>
      <c r="J182" s="571"/>
      <c r="K182" s="571"/>
    </row>
    <row r="183" spans="2:11" x14ac:dyDescent="0.2">
      <c r="B183" s="876" t="s">
        <v>3193</v>
      </c>
      <c r="C183" s="669"/>
      <c r="D183" s="669"/>
      <c r="G183" s="632"/>
      <c r="H183" s="633"/>
      <c r="I183" s="633"/>
      <c r="J183" s="571"/>
      <c r="K183" s="571"/>
    </row>
    <row r="184" spans="2:11" x14ac:dyDescent="0.2">
      <c r="B184" s="588" t="s">
        <v>578</v>
      </c>
      <c r="C184" s="534"/>
      <c r="D184" s="534"/>
      <c r="E184" s="534"/>
      <c r="F184" s="535"/>
      <c r="G184" s="586"/>
      <c r="H184" s="587"/>
      <c r="I184" s="587"/>
      <c r="J184" s="534"/>
      <c r="K184" s="534"/>
    </row>
    <row r="185" spans="2:11" x14ac:dyDescent="0.2">
      <c r="B185" s="669" t="s">
        <v>3119</v>
      </c>
      <c r="G185" s="632"/>
      <c r="H185" s="633"/>
      <c r="I185" s="633"/>
      <c r="J185" s="571"/>
      <c r="K185" s="571"/>
    </row>
    <row r="186" spans="2:11" x14ac:dyDescent="0.2">
      <c r="B186" s="669" t="s">
        <v>3110</v>
      </c>
      <c r="G186" s="632"/>
      <c r="H186" s="633"/>
      <c r="I186" s="633"/>
      <c r="J186" s="571"/>
      <c r="K186" s="571"/>
    </row>
    <row r="187" spans="2:11" x14ac:dyDescent="0.2">
      <c r="G187" s="632"/>
      <c r="H187" s="633"/>
      <c r="I187" s="633"/>
      <c r="J187" s="571"/>
      <c r="K187" s="571"/>
    </row>
    <row r="188" spans="2:11" x14ac:dyDescent="0.2">
      <c r="B188" s="1130" t="s">
        <v>3111</v>
      </c>
      <c r="C188" s="534" t="str">
        <f>""&amp;A87&amp;""</f>
        <v>70</v>
      </c>
      <c r="G188" s="632"/>
      <c r="H188" s="633"/>
      <c r="I188" s="633"/>
      <c r="J188" s="571"/>
      <c r="K188" s="571"/>
    </row>
    <row r="189" spans="2:11" x14ac:dyDescent="0.2">
      <c r="B189" s="571"/>
      <c r="G189" s="632"/>
      <c r="H189" s="633"/>
      <c r="I189" s="633"/>
      <c r="J189" s="571"/>
      <c r="K189" s="571"/>
    </row>
    <row r="190" spans="2:11" x14ac:dyDescent="0.2">
      <c r="B190" s="635"/>
      <c r="C190" s="636" t="s">
        <v>1793</v>
      </c>
      <c r="D190" s="636" t="s">
        <v>174</v>
      </c>
      <c r="G190" s="632"/>
      <c r="H190" s="633"/>
      <c r="I190" s="633"/>
      <c r="J190" s="571"/>
      <c r="K190" s="571"/>
    </row>
    <row r="191" spans="2:11" x14ac:dyDescent="0.2">
      <c r="B191" s="1131" t="s">
        <v>3112</v>
      </c>
      <c r="C191" s="637">
        <f>D62/D83</f>
        <v>0.25647820194225024</v>
      </c>
      <c r="D191" s="635" t="str">
        <f>"Line "&amp;A62&amp;", Col 3 / Line "&amp;A83&amp;", Col 3"</f>
        <v>Line 52, Col 3 / Line 66, Col 3</v>
      </c>
      <c r="G191" s="632"/>
      <c r="H191" s="633"/>
      <c r="I191" s="633"/>
      <c r="J191" s="571"/>
      <c r="K191" s="571"/>
    </row>
    <row r="192" spans="2:11" x14ac:dyDescent="0.2">
      <c r="B192" s="1131" t="s">
        <v>3113</v>
      </c>
      <c r="C192" s="637">
        <f>D81/D83</f>
        <v>0.74352179805774965</v>
      </c>
      <c r="D192" s="635" t="str">
        <f>"Line "&amp;A81&amp;", Col 3 / Line "&amp;A83&amp;", Col 3"</f>
        <v>Line 64, Col 3 / Line 66, Col 3</v>
      </c>
      <c r="G192" s="632"/>
      <c r="H192" s="633"/>
      <c r="I192" s="633"/>
      <c r="J192" s="571"/>
      <c r="K192" s="571"/>
    </row>
    <row r="193" spans="2:12" x14ac:dyDescent="0.2">
      <c r="B193" s="571"/>
      <c r="G193" s="632"/>
      <c r="H193" s="633"/>
      <c r="I193" s="633"/>
      <c r="J193" s="571"/>
      <c r="K193" s="571"/>
    </row>
    <row r="194" spans="2:12" x14ac:dyDescent="0.2">
      <c r="B194" s="669" t="s">
        <v>3114</v>
      </c>
      <c r="G194" s="632"/>
      <c r="H194" s="633"/>
      <c r="I194" s="633"/>
      <c r="J194" s="571"/>
      <c r="K194" s="571"/>
      <c r="L194" s="571"/>
    </row>
    <row r="195" spans="2:12" x14ac:dyDescent="0.2">
      <c r="B195" s="669" t="s">
        <v>3115</v>
      </c>
      <c r="G195" s="632"/>
      <c r="H195" s="633"/>
      <c r="I195" s="633"/>
      <c r="J195" s="571"/>
      <c r="K195" s="571"/>
      <c r="L195" s="571"/>
    </row>
    <row r="196" spans="2:12" x14ac:dyDescent="0.2">
      <c r="B196" s="669" t="s">
        <v>2532</v>
      </c>
      <c r="C196" s="1132">
        <f>(SUM(H97:H145)/SUM(D97:D145))</f>
        <v>0.43140004827466272</v>
      </c>
      <c r="G196" s="632"/>
      <c r="H196" s="633"/>
      <c r="I196" s="633"/>
      <c r="J196" s="571"/>
      <c r="K196" s="571"/>
      <c r="L196" s="571"/>
    </row>
    <row r="197" spans="2:12" x14ac:dyDescent="0.2">
      <c r="B197" s="669" t="s">
        <v>2429</v>
      </c>
      <c r="G197" s="632"/>
      <c r="H197" s="633"/>
      <c r="I197" s="633"/>
      <c r="J197" s="571"/>
      <c r="K197" s="571"/>
      <c r="L197" s="571"/>
    </row>
    <row r="198" spans="2:12" x14ac:dyDescent="0.2">
      <c r="B198" s="669" t="s">
        <v>2721</v>
      </c>
      <c r="G198" s="632"/>
      <c r="H198" s="633"/>
      <c r="I198" s="633"/>
      <c r="J198" s="571"/>
      <c r="K198" s="571"/>
      <c r="L198" s="571"/>
    </row>
    <row r="199" spans="2:12" x14ac:dyDescent="0.2">
      <c r="B199" s="669"/>
      <c r="G199" s="632"/>
      <c r="H199" s="633"/>
      <c r="I199" s="633"/>
      <c r="J199" s="571"/>
      <c r="K199" s="571"/>
      <c r="L199" s="571"/>
    </row>
    <row r="200" spans="2:12" x14ac:dyDescent="0.2">
      <c r="B200" s="669" t="s">
        <v>2719</v>
      </c>
      <c r="G200" s="632"/>
      <c r="H200" s="633"/>
      <c r="I200" s="633"/>
      <c r="J200" s="571"/>
      <c r="K200" s="571"/>
      <c r="L200" s="571"/>
    </row>
    <row r="201" spans="2:12" x14ac:dyDescent="0.2">
      <c r="B201" s="1131" t="s">
        <v>2727</v>
      </c>
      <c r="G201" s="632"/>
      <c r="H201" s="633"/>
      <c r="I201" s="633"/>
      <c r="J201" s="1133" t="s">
        <v>2533</v>
      </c>
      <c r="K201" s="571"/>
      <c r="L201" s="571"/>
    </row>
    <row r="202" spans="2:12" x14ac:dyDescent="0.2">
      <c r="B202" s="1134" t="s">
        <v>2733</v>
      </c>
      <c r="G202" s="632"/>
      <c r="H202" s="633"/>
      <c r="I202" s="633"/>
      <c r="J202" s="1135">
        <f>SUM(H99:H109, H113, H116:H120,H132:H144)/SUM(D99:D109,D113,D116:D120,D132:D144)</f>
        <v>0.43346348236451843</v>
      </c>
      <c r="K202" s="571"/>
      <c r="L202" s="571"/>
    </row>
    <row r="203" spans="2:12" x14ac:dyDescent="0.2">
      <c r="B203" s="1134" t="s">
        <v>3198</v>
      </c>
      <c r="G203" s="632"/>
      <c r="H203" s="633"/>
      <c r="I203" s="633"/>
      <c r="J203" s="1135"/>
      <c r="K203" s="571"/>
      <c r="L203" s="571"/>
    </row>
    <row r="204" spans="2:12" x14ac:dyDescent="0.2">
      <c r="B204" s="1131" t="s">
        <v>2738</v>
      </c>
      <c r="G204" s="632"/>
      <c r="H204" s="633"/>
      <c r="I204" s="633"/>
      <c r="J204" s="571"/>
      <c r="K204" s="571"/>
      <c r="L204" s="571"/>
    </row>
    <row r="205" spans="2:12" x14ac:dyDescent="0.2">
      <c r="B205" s="1134" t="s">
        <v>2534</v>
      </c>
      <c r="G205" s="632"/>
      <c r="H205" s="633"/>
      <c r="I205" s="633"/>
      <c r="J205" s="1135">
        <f>SUM(H104:H107, H132:H137)/SUM(D104:D107,D132:D137)</f>
        <v>0.24973513615946913</v>
      </c>
      <c r="K205" s="571"/>
      <c r="L205" s="571"/>
    </row>
    <row r="206" spans="2:12" x14ac:dyDescent="0.2">
      <c r="B206" s="1131" t="s">
        <v>2740</v>
      </c>
      <c r="G206" s="632"/>
      <c r="H206" s="633"/>
      <c r="I206" s="633"/>
      <c r="J206" s="571"/>
      <c r="K206" s="571"/>
      <c r="L206" s="571"/>
    </row>
    <row r="207" spans="2:12" x14ac:dyDescent="0.2">
      <c r="B207" s="1134" t="s">
        <v>2535</v>
      </c>
      <c r="G207" s="632"/>
      <c r="H207" s="633"/>
      <c r="I207" s="633"/>
      <c r="J207" s="1135">
        <f>SUM(H132:H134,H136)/SUM(D132:D134,D136)</f>
        <v>0.32276688290579075</v>
      </c>
      <c r="K207" s="571"/>
      <c r="L207" s="571"/>
    </row>
    <row r="208" spans="2:12" x14ac:dyDescent="0.2">
      <c r="B208" s="1136" t="s">
        <v>1619</v>
      </c>
      <c r="G208" s="632"/>
      <c r="H208" s="633"/>
      <c r="I208" s="633"/>
      <c r="J208" s="571"/>
      <c r="K208" s="571"/>
      <c r="L208" s="571"/>
    </row>
    <row r="209" spans="2:12" x14ac:dyDescent="0.2">
      <c r="B209" s="1137" t="s">
        <v>2362</v>
      </c>
      <c r="G209" s="632"/>
      <c r="H209" s="633"/>
      <c r="I209" s="633"/>
      <c r="J209" s="571"/>
      <c r="K209" s="571"/>
      <c r="L209" s="571"/>
    </row>
    <row r="210" spans="2:12" x14ac:dyDescent="0.2">
      <c r="B210" s="1137" t="s">
        <v>1621</v>
      </c>
      <c r="G210" s="632"/>
      <c r="H210" s="633"/>
      <c r="I210" s="633"/>
      <c r="J210" s="571"/>
      <c r="K210" s="571"/>
      <c r="L210" s="571"/>
    </row>
    <row r="211" spans="2:12" x14ac:dyDescent="0.2">
      <c r="B211" s="1136" t="s">
        <v>1620</v>
      </c>
      <c r="G211" s="632"/>
      <c r="H211" s="633"/>
      <c r="I211" s="633"/>
      <c r="J211" s="571"/>
      <c r="K211" s="571"/>
      <c r="L211" s="571"/>
    </row>
    <row r="212" spans="2:12" x14ac:dyDescent="0.2">
      <c r="B212" s="1131" t="s">
        <v>2739</v>
      </c>
      <c r="G212" s="632"/>
      <c r="H212" s="633"/>
      <c r="I212" s="633"/>
      <c r="J212" s="571"/>
      <c r="K212" s="571"/>
      <c r="L212" s="571"/>
    </row>
    <row r="213" spans="2:12" x14ac:dyDescent="0.2">
      <c r="B213" s="1134" t="s">
        <v>2735</v>
      </c>
      <c r="G213" s="632"/>
      <c r="H213" s="633"/>
      <c r="I213" s="633"/>
      <c r="J213" s="1132">
        <f>SUM(H161:H163)/SUM(D161:D163)</f>
        <v>2.8839914751975594E-2</v>
      </c>
      <c r="K213" s="571"/>
      <c r="L213" s="571"/>
    </row>
    <row r="214" spans="2:12" x14ac:dyDescent="0.2">
      <c r="B214" s="1138" t="s">
        <v>2734</v>
      </c>
      <c r="G214" s="632"/>
      <c r="H214" s="633"/>
      <c r="I214" s="633"/>
      <c r="J214" s="571"/>
      <c r="K214" s="571"/>
      <c r="L214" s="571"/>
    </row>
    <row r="215" spans="2:12" x14ac:dyDescent="0.2">
      <c r="B215" s="669" t="s">
        <v>2745</v>
      </c>
      <c r="G215" s="632"/>
      <c r="H215" s="633"/>
      <c r="I215" s="633"/>
      <c r="J215" s="571"/>
      <c r="K215" s="571"/>
      <c r="L215" s="571"/>
    </row>
    <row r="216" spans="2:12" x14ac:dyDescent="0.2">
      <c r="B216" s="571"/>
      <c r="G216" s="632"/>
      <c r="H216" s="633"/>
      <c r="I216" s="633"/>
      <c r="J216" s="571"/>
      <c r="K216" s="571"/>
      <c r="L216" s="571"/>
    </row>
  </sheetData>
  <mergeCells count="14">
    <mergeCell ref="J8:L8"/>
    <mergeCell ref="B68:B69"/>
    <mergeCell ref="C68:E68"/>
    <mergeCell ref="G68:I68"/>
    <mergeCell ref="J68:L68"/>
    <mergeCell ref="G154:I154"/>
    <mergeCell ref="G94:I94"/>
    <mergeCell ref="B8:B9"/>
    <mergeCell ref="C8:E8"/>
    <mergeCell ref="G8:I8"/>
    <mergeCell ref="B94:B95"/>
    <mergeCell ref="C94:E94"/>
    <mergeCell ref="B154:B155"/>
    <mergeCell ref="C154:E154"/>
  </mergeCells>
  <pageMargins left="0.7" right="0.7" top="0.75" bottom="0.75" header="0.3" footer="0.3"/>
  <pageSetup scale="60" orientation="landscape" cellComments="asDisplayed" r:id="rId1"/>
  <headerFooter>
    <oddHeader>&amp;CSchedule 19
Operations and Maintenance
&amp;"Arial,Bold"Exhibit G-1</oddHeader>
    <oddFooter>&amp;R&amp;A</oddFooter>
  </headerFooter>
  <rowBreaks count="3" manualBreakCount="3">
    <brk id="64" max="11" man="1"/>
    <brk id="88" max="16383" man="1"/>
    <brk id="150"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election sqref="A1:C1"/>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18.7109375" customWidth="1"/>
    <col min="10" max="10" width="14.7109375" customWidth="1"/>
    <col min="11" max="11" width="11" bestFit="1" customWidth="1"/>
  </cols>
  <sheetData>
    <row r="1" spans="1:24" x14ac:dyDescent="0.2">
      <c r="A1" s="1" t="s">
        <v>319</v>
      </c>
      <c r="F1" s="44" t="s">
        <v>18</v>
      </c>
      <c r="G1" s="101"/>
      <c r="H1" s="63"/>
      <c r="I1" s="63"/>
    </row>
    <row r="2" spans="1:24" x14ac:dyDescent="0.2">
      <c r="E2" s="88" t="s">
        <v>406</v>
      </c>
      <c r="F2" s="88" t="s">
        <v>390</v>
      </c>
      <c r="G2" s="88" t="s">
        <v>391</v>
      </c>
      <c r="H2" s="88" t="s">
        <v>392</v>
      </c>
      <c r="I2" s="63"/>
    </row>
    <row r="3" spans="1:24" x14ac:dyDescent="0.2">
      <c r="G3" s="63" t="s">
        <v>247</v>
      </c>
    </row>
    <row r="4" spans="1:24" x14ac:dyDescent="0.2">
      <c r="E4" s="2" t="s">
        <v>543</v>
      </c>
      <c r="F4" s="26" t="s">
        <v>224</v>
      </c>
      <c r="G4" s="2" t="s">
        <v>1722</v>
      </c>
      <c r="I4" s="2"/>
    </row>
    <row r="5" spans="1:24" x14ac:dyDescent="0.2">
      <c r="A5" s="55" t="s">
        <v>362</v>
      </c>
      <c r="B5" s="3"/>
      <c r="C5" s="3" t="s">
        <v>129</v>
      </c>
      <c r="D5" s="3" t="s">
        <v>114</v>
      </c>
      <c r="E5" s="3" t="s">
        <v>205</v>
      </c>
      <c r="F5" s="25" t="s">
        <v>209</v>
      </c>
      <c r="G5" s="3" t="s">
        <v>130</v>
      </c>
      <c r="H5" s="3" t="s">
        <v>301</v>
      </c>
      <c r="I5" s="3" t="s">
        <v>198</v>
      </c>
      <c r="K5" s="3"/>
      <c r="L5" s="3"/>
      <c r="M5" s="3"/>
      <c r="N5" s="3"/>
      <c r="O5" s="3"/>
      <c r="P5" s="3"/>
      <c r="Q5" s="3"/>
      <c r="R5" s="3"/>
      <c r="S5" s="3"/>
      <c r="T5" s="3"/>
      <c r="U5" s="3"/>
      <c r="V5" s="3"/>
      <c r="W5" s="3"/>
      <c r="X5" s="3"/>
    </row>
    <row r="6" spans="1:24" x14ac:dyDescent="0.2">
      <c r="A6" s="2">
        <v>1</v>
      </c>
      <c r="C6" s="63">
        <v>920</v>
      </c>
      <c r="D6" t="s">
        <v>116</v>
      </c>
      <c r="E6" s="83">
        <v>518112367</v>
      </c>
      <c r="F6" s="63" t="s">
        <v>131</v>
      </c>
      <c r="G6" s="65">
        <f>D37</f>
        <v>115716617</v>
      </c>
      <c r="H6" s="7">
        <f t="shared" ref="H6:H19" si="0">E6-G6</f>
        <v>402395750</v>
      </c>
    </row>
    <row r="7" spans="1:24" x14ac:dyDescent="0.2">
      <c r="A7" s="2">
        <f>A6+1</f>
        <v>2</v>
      </c>
      <c r="C7" s="63">
        <v>921</v>
      </c>
      <c r="D7" t="s">
        <v>117</v>
      </c>
      <c r="E7" s="83">
        <v>157316945</v>
      </c>
      <c r="F7" s="63" t="s">
        <v>132</v>
      </c>
      <c r="G7" s="65">
        <f t="shared" ref="G7:G19" si="1">D38</f>
        <v>2226766</v>
      </c>
      <c r="H7" s="7">
        <f t="shared" si="0"/>
        <v>155090179</v>
      </c>
    </row>
    <row r="8" spans="1:24" x14ac:dyDescent="0.2">
      <c r="A8" s="2">
        <f>A7+1</f>
        <v>3</v>
      </c>
      <c r="C8" s="63">
        <v>922</v>
      </c>
      <c r="D8" t="s">
        <v>118</v>
      </c>
      <c r="E8" s="83">
        <v>-118317094</v>
      </c>
      <c r="F8" s="63" t="s">
        <v>133</v>
      </c>
      <c r="G8" s="65">
        <f t="shared" si="1"/>
        <v>-22085622</v>
      </c>
      <c r="H8" s="7">
        <f t="shared" si="0"/>
        <v>-96231472</v>
      </c>
      <c r="I8" s="120" t="s">
        <v>2575</v>
      </c>
    </row>
    <row r="9" spans="1:24" x14ac:dyDescent="0.2">
      <c r="A9" s="2">
        <f t="shared" ref="A9:A20" si="2">A8+1</f>
        <v>4</v>
      </c>
      <c r="B9" s="2"/>
      <c r="C9" s="63">
        <v>923</v>
      </c>
      <c r="D9" t="s">
        <v>119</v>
      </c>
      <c r="E9" s="83">
        <v>59636851</v>
      </c>
      <c r="F9" s="63" t="s">
        <v>134</v>
      </c>
      <c r="G9" s="65">
        <f t="shared" si="1"/>
        <v>6829396</v>
      </c>
      <c r="H9" s="7">
        <f t="shared" si="0"/>
        <v>52807455</v>
      </c>
    </row>
    <row r="10" spans="1:24" x14ac:dyDescent="0.2">
      <c r="A10" s="2">
        <f t="shared" si="2"/>
        <v>5</v>
      </c>
      <c r="B10" s="2"/>
      <c r="C10" s="63">
        <v>924</v>
      </c>
      <c r="D10" t="s">
        <v>120</v>
      </c>
      <c r="E10" s="83">
        <v>15199255</v>
      </c>
      <c r="F10" s="63" t="s">
        <v>135</v>
      </c>
      <c r="G10" s="65">
        <f t="shared" si="1"/>
        <v>375</v>
      </c>
      <c r="H10" s="7">
        <f t="shared" si="0"/>
        <v>15198880</v>
      </c>
    </row>
    <row r="11" spans="1:24" x14ac:dyDescent="0.2">
      <c r="A11" s="2">
        <f t="shared" si="2"/>
        <v>6</v>
      </c>
      <c r="B11" s="2"/>
      <c r="C11" s="63">
        <v>925</v>
      </c>
      <c r="D11" t="s">
        <v>121</v>
      </c>
      <c r="E11" s="83">
        <v>74691620</v>
      </c>
      <c r="F11" s="63" t="s">
        <v>136</v>
      </c>
      <c r="G11" s="65">
        <f t="shared" si="1"/>
        <v>6250</v>
      </c>
      <c r="H11" s="7">
        <f t="shared" si="0"/>
        <v>74685370</v>
      </c>
    </row>
    <row r="12" spans="1:24" x14ac:dyDescent="0.2">
      <c r="A12" s="2">
        <f t="shared" si="2"/>
        <v>7</v>
      </c>
      <c r="B12" s="2"/>
      <c r="C12" s="63">
        <v>926</v>
      </c>
      <c r="D12" t="s">
        <v>122</v>
      </c>
      <c r="E12" s="83">
        <v>234543869</v>
      </c>
      <c r="F12" s="63" t="s">
        <v>137</v>
      </c>
      <c r="G12" s="65">
        <f t="shared" si="1"/>
        <v>2354420</v>
      </c>
      <c r="H12" s="7">
        <f t="shared" si="0"/>
        <v>232189449</v>
      </c>
    </row>
    <row r="13" spans="1:24" x14ac:dyDescent="0.2">
      <c r="A13" s="2">
        <f t="shared" si="2"/>
        <v>8</v>
      </c>
      <c r="B13" s="2"/>
      <c r="C13" s="63">
        <v>927</v>
      </c>
      <c r="D13" t="s">
        <v>123</v>
      </c>
      <c r="E13" s="83">
        <v>104645264</v>
      </c>
      <c r="F13" s="63" t="s">
        <v>138</v>
      </c>
      <c r="G13" s="65">
        <f t="shared" si="1"/>
        <v>104645264</v>
      </c>
      <c r="H13" s="7">
        <f t="shared" si="0"/>
        <v>0</v>
      </c>
    </row>
    <row r="14" spans="1:24" x14ac:dyDescent="0.2">
      <c r="A14" s="2">
        <f t="shared" si="2"/>
        <v>9</v>
      </c>
      <c r="B14" s="2"/>
      <c r="C14" s="63">
        <v>928</v>
      </c>
      <c r="D14" s="12" t="s">
        <v>124</v>
      </c>
      <c r="E14" s="83">
        <v>16887995</v>
      </c>
      <c r="F14" s="63" t="s">
        <v>139</v>
      </c>
      <c r="G14" s="65">
        <f t="shared" si="1"/>
        <v>10781897</v>
      </c>
      <c r="H14" s="7">
        <f t="shared" si="0"/>
        <v>6106098</v>
      </c>
    </row>
    <row r="15" spans="1:24" x14ac:dyDescent="0.2">
      <c r="A15" s="2">
        <f t="shared" si="2"/>
        <v>10</v>
      </c>
      <c r="B15" s="2"/>
      <c r="C15" s="63">
        <v>929</v>
      </c>
      <c r="D15" t="s">
        <v>125</v>
      </c>
      <c r="E15" s="83">
        <v>0</v>
      </c>
      <c r="F15" s="63" t="s">
        <v>140</v>
      </c>
      <c r="G15" s="65">
        <f t="shared" si="1"/>
        <v>0</v>
      </c>
      <c r="H15" s="7">
        <f t="shared" si="0"/>
        <v>0</v>
      </c>
    </row>
    <row r="16" spans="1:24" x14ac:dyDescent="0.2">
      <c r="A16" s="2">
        <f t="shared" si="2"/>
        <v>11</v>
      </c>
      <c r="B16" s="2"/>
      <c r="C16" s="63">
        <v>930.1</v>
      </c>
      <c r="D16" t="s">
        <v>126</v>
      </c>
      <c r="E16" s="83">
        <v>295701</v>
      </c>
      <c r="F16" s="63" t="s">
        <v>141</v>
      </c>
      <c r="G16" s="65">
        <f t="shared" si="1"/>
        <v>-3425</v>
      </c>
      <c r="H16" s="7">
        <f t="shared" si="0"/>
        <v>299126</v>
      </c>
    </row>
    <row r="17" spans="1:8" x14ac:dyDescent="0.2">
      <c r="A17" s="2">
        <f t="shared" si="2"/>
        <v>12</v>
      </c>
      <c r="B17" s="2"/>
      <c r="C17" s="63">
        <v>930.2</v>
      </c>
      <c r="D17" t="s">
        <v>102</v>
      </c>
      <c r="E17" s="83">
        <v>14691509</v>
      </c>
      <c r="F17" s="63" t="s">
        <v>142</v>
      </c>
      <c r="G17" s="65">
        <f t="shared" si="1"/>
        <v>10542720</v>
      </c>
      <c r="H17" s="7">
        <f t="shared" si="0"/>
        <v>4148789</v>
      </c>
    </row>
    <row r="18" spans="1:8" x14ac:dyDescent="0.2">
      <c r="A18" s="2">
        <f t="shared" si="2"/>
        <v>13</v>
      </c>
      <c r="B18" s="2"/>
      <c r="C18" s="63">
        <v>931</v>
      </c>
      <c r="D18" t="s">
        <v>127</v>
      </c>
      <c r="E18" s="83">
        <v>16386135</v>
      </c>
      <c r="F18" s="63" t="s">
        <v>143</v>
      </c>
      <c r="G18" s="65">
        <f t="shared" si="1"/>
        <v>688</v>
      </c>
      <c r="H18" s="7">
        <f t="shared" si="0"/>
        <v>16385447</v>
      </c>
    </row>
    <row r="19" spans="1:8" x14ac:dyDescent="0.2">
      <c r="A19" s="2">
        <f t="shared" si="2"/>
        <v>14</v>
      </c>
      <c r="B19" s="2"/>
      <c r="C19" s="63">
        <v>935</v>
      </c>
      <c r="D19" t="s">
        <v>128</v>
      </c>
      <c r="E19" s="84">
        <v>13731598</v>
      </c>
      <c r="F19" s="63" t="s">
        <v>144</v>
      </c>
      <c r="G19" s="65">
        <f t="shared" si="1"/>
        <v>0</v>
      </c>
      <c r="H19" s="95">
        <f t="shared" si="0"/>
        <v>13731598</v>
      </c>
    </row>
    <row r="20" spans="1:8" x14ac:dyDescent="0.2">
      <c r="A20" s="2">
        <f t="shared" si="2"/>
        <v>15</v>
      </c>
      <c r="E20" s="7">
        <f>SUM(E6:E19)</f>
        <v>1107822015</v>
      </c>
      <c r="G20" s="37" t="s">
        <v>145</v>
      </c>
      <c r="H20" s="107">
        <f>SUM(H6:H19)</f>
        <v>876806669</v>
      </c>
    </row>
    <row r="22" spans="1:8" x14ac:dyDescent="0.2">
      <c r="F22" s="3" t="s">
        <v>205</v>
      </c>
      <c r="G22" s="3" t="s">
        <v>209</v>
      </c>
    </row>
    <row r="23" spans="1:8" x14ac:dyDescent="0.2">
      <c r="A23" s="2">
        <f>A20+1</f>
        <v>16</v>
      </c>
      <c r="E23" s="1052" t="s">
        <v>3087</v>
      </c>
      <c r="F23" s="65">
        <f>H20</f>
        <v>876806669</v>
      </c>
      <c r="G23" s="47" t="str">
        <f>"Line "&amp;A20&amp;""</f>
        <v>Line 15</v>
      </c>
    </row>
    <row r="24" spans="1:8" x14ac:dyDescent="0.2">
      <c r="A24" s="2">
        <f t="shared" ref="A24:A30" si="3">A23+1</f>
        <v>17</v>
      </c>
      <c r="E24" s="390" t="s">
        <v>335</v>
      </c>
      <c r="F24" s="118">
        <f>E10</f>
        <v>15199255</v>
      </c>
      <c r="G24" s="47" t="str">
        <f>"Line "&amp;A10&amp;""</f>
        <v>Line 5</v>
      </c>
    </row>
    <row r="25" spans="1:8" x14ac:dyDescent="0.2">
      <c r="A25" s="2">
        <f t="shared" si="3"/>
        <v>18</v>
      </c>
      <c r="E25" s="390" t="s">
        <v>1717</v>
      </c>
      <c r="F25" s="65">
        <f>F23-F24</f>
        <v>861607414</v>
      </c>
      <c r="G25" s="47" t="str">
        <f>"Line "&amp;A23&amp;" - Line "&amp;A24&amp;""</f>
        <v>Line 16 - Line 17</v>
      </c>
    </row>
    <row r="26" spans="1:8" x14ac:dyDescent="0.2">
      <c r="A26" s="2">
        <f t="shared" si="3"/>
        <v>19</v>
      </c>
      <c r="E26" s="82" t="s">
        <v>146</v>
      </c>
      <c r="F26" s="1139">
        <f>'27-Allocators'!G15</f>
        <v>4.0090597826729017E-2</v>
      </c>
      <c r="G26" s="47" t="str">
        <f>"27-Allocators, Line "&amp;'27-Allocators'!A15&amp;""</f>
        <v>27-Allocators, Line 9</v>
      </c>
    </row>
    <row r="27" spans="1:8" x14ac:dyDescent="0.2">
      <c r="A27" s="2">
        <f t="shared" si="3"/>
        <v>20</v>
      </c>
      <c r="E27" s="390" t="s">
        <v>1718</v>
      </c>
      <c r="F27" s="65">
        <f>F25*F26</f>
        <v>34542356.319202006</v>
      </c>
      <c r="G27" s="47" t="str">
        <f>"Line "&amp;A25&amp;" * Line "&amp;A26&amp;""</f>
        <v>Line 18 * Line 19</v>
      </c>
    </row>
    <row r="28" spans="1:8" x14ac:dyDescent="0.2">
      <c r="A28" s="2">
        <f t="shared" si="3"/>
        <v>21</v>
      </c>
      <c r="E28" s="390" t="s">
        <v>108</v>
      </c>
      <c r="F28" s="70">
        <f>'27-Allocators'!G28</f>
        <v>0.1006119155303325</v>
      </c>
      <c r="G28" s="120" t="str">
        <f>"27-Allocators, Line "&amp;'27-Allocators'!A28&amp;""</f>
        <v>27-Allocators, Line 22</v>
      </c>
    </row>
    <row r="29" spans="1:8" x14ac:dyDescent="0.2">
      <c r="A29" s="2">
        <f t="shared" si="3"/>
        <v>22</v>
      </c>
      <c r="E29" s="390" t="s">
        <v>336</v>
      </c>
      <c r="F29" s="118">
        <f>H10*F28</f>
        <v>1529188.4307156599</v>
      </c>
      <c r="G29" s="47" t="str">
        <f>"Line "&amp;A10&amp;" Col 4 * Line "&amp;A28&amp;""</f>
        <v>Line 5 Col 4 * Line 21</v>
      </c>
    </row>
    <row r="30" spans="1:8" x14ac:dyDescent="0.2">
      <c r="A30" s="2">
        <f t="shared" si="3"/>
        <v>23</v>
      </c>
      <c r="E30" s="390" t="s">
        <v>337</v>
      </c>
      <c r="F30" s="709">
        <f>F27+F29</f>
        <v>36071544.749917664</v>
      </c>
      <c r="G30" s="47" t="str">
        <f>"Line "&amp;A27&amp;" + Line "&amp;A29&amp;""</f>
        <v>Line 20 + Line 22</v>
      </c>
    </row>
    <row r="32" spans="1:8" x14ac:dyDescent="0.2">
      <c r="B32" s="1" t="s">
        <v>551</v>
      </c>
      <c r="E32" s="88" t="s">
        <v>406</v>
      </c>
      <c r="F32" s="88" t="s">
        <v>390</v>
      </c>
      <c r="G32" s="88" t="s">
        <v>391</v>
      </c>
      <c r="H32" s="88" t="s">
        <v>392</v>
      </c>
    </row>
    <row r="33" spans="1:11" x14ac:dyDescent="0.2">
      <c r="B33" s="1"/>
      <c r="E33" s="117" t="s">
        <v>545</v>
      </c>
      <c r="F33" s="385"/>
      <c r="G33" s="385"/>
      <c r="H33" s="88"/>
    </row>
    <row r="34" spans="1:11" x14ac:dyDescent="0.2">
      <c r="E34" s="117" t="s">
        <v>619</v>
      </c>
      <c r="F34" s="14"/>
      <c r="G34" s="14"/>
    </row>
    <row r="35" spans="1:11" x14ac:dyDescent="0.2">
      <c r="D35" s="2" t="s">
        <v>544</v>
      </c>
      <c r="E35" s="117" t="s">
        <v>618</v>
      </c>
      <c r="F35" s="117" t="s">
        <v>546</v>
      </c>
      <c r="G35" s="117"/>
      <c r="H35" s="2"/>
    </row>
    <row r="36" spans="1:11" x14ac:dyDescent="0.2">
      <c r="C36" s="3" t="s">
        <v>129</v>
      </c>
      <c r="D36" s="88" t="s">
        <v>1245</v>
      </c>
      <c r="E36" s="131" t="s">
        <v>1581</v>
      </c>
      <c r="F36" s="131" t="s">
        <v>547</v>
      </c>
      <c r="G36" s="131" t="s">
        <v>3088</v>
      </c>
      <c r="H36" s="3" t="s">
        <v>548</v>
      </c>
      <c r="I36" s="3" t="s">
        <v>198</v>
      </c>
    </row>
    <row r="37" spans="1:11" x14ac:dyDescent="0.2">
      <c r="A37" s="2">
        <f>A30+1</f>
        <v>24</v>
      </c>
      <c r="C37" s="63">
        <v>920</v>
      </c>
      <c r="D37" s="149">
        <f>SUM(E37:H37)</f>
        <v>115716617</v>
      </c>
      <c r="E37" s="738">
        <v>28184927</v>
      </c>
      <c r="F37" s="738">
        <v>0</v>
      </c>
      <c r="G37" s="709">
        <f>G58</f>
        <v>87531690</v>
      </c>
      <c r="H37" s="738">
        <v>0</v>
      </c>
      <c r="I37" s="648" t="s">
        <v>2601</v>
      </c>
      <c r="J37" s="14"/>
    </row>
    <row r="38" spans="1:11" x14ac:dyDescent="0.2">
      <c r="A38" s="2">
        <f>A37+1</f>
        <v>25</v>
      </c>
      <c r="C38" s="63">
        <v>921</v>
      </c>
      <c r="D38" s="149">
        <f t="shared" ref="D38:D50" si="4">SUM(E38:H38)</f>
        <v>2226766</v>
      </c>
      <c r="E38" s="738">
        <v>2226766</v>
      </c>
      <c r="F38" s="738">
        <v>0</v>
      </c>
      <c r="G38" s="738">
        <v>0</v>
      </c>
      <c r="H38" s="738">
        <v>0</v>
      </c>
      <c r="I38" s="16"/>
    </row>
    <row r="39" spans="1:11" x14ac:dyDescent="0.2">
      <c r="A39" s="2">
        <f t="shared" ref="A39:A50" si="5">A38+1</f>
        <v>26</v>
      </c>
      <c r="C39" s="63">
        <v>922</v>
      </c>
      <c r="D39" s="149">
        <f t="shared" si="4"/>
        <v>-22085622</v>
      </c>
      <c r="E39" s="738">
        <v>0</v>
      </c>
      <c r="F39" s="738">
        <v>0</v>
      </c>
      <c r="G39" s="893">
        <v>-22085622</v>
      </c>
      <c r="H39" s="738">
        <v>0</v>
      </c>
      <c r="I39" s="16"/>
    </row>
    <row r="40" spans="1:11" x14ac:dyDescent="0.2">
      <c r="A40" s="2">
        <f t="shared" si="5"/>
        <v>27</v>
      </c>
      <c r="C40" s="63">
        <v>923</v>
      </c>
      <c r="D40" s="149">
        <f t="shared" si="4"/>
        <v>6829396</v>
      </c>
      <c r="E40" s="738">
        <v>6829396</v>
      </c>
      <c r="F40" s="738">
        <v>0</v>
      </c>
      <c r="G40" s="738">
        <v>0</v>
      </c>
      <c r="H40" s="738">
        <v>0</v>
      </c>
      <c r="I40" s="16"/>
      <c r="J40" s="3"/>
      <c r="K40" s="3"/>
    </row>
    <row r="41" spans="1:11" x14ac:dyDescent="0.2">
      <c r="A41" s="2">
        <f t="shared" si="5"/>
        <v>28</v>
      </c>
      <c r="C41" s="63">
        <v>924</v>
      </c>
      <c r="D41" s="149">
        <f t="shared" si="4"/>
        <v>375</v>
      </c>
      <c r="E41" s="738">
        <v>375</v>
      </c>
      <c r="F41" s="738">
        <v>0</v>
      </c>
      <c r="G41" s="738">
        <v>0</v>
      </c>
      <c r="H41" s="738">
        <v>0</v>
      </c>
      <c r="I41" s="16"/>
      <c r="K41" s="7"/>
    </row>
    <row r="42" spans="1:11" x14ac:dyDescent="0.2">
      <c r="A42" s="2">
        <f t="shared" si="5"/>
        <v>29</v>
      </c>
      <c r="C42" s="63">
        <v>925</v>
      </c>
      <c r="D42" s="149">
        <f t="shared" si="4"/>
        <v>6250</v>
      </c>
      <c r="E42" s="738">
        <v>6250</v>
      </c>
      <c r="F42" s="738">
        <v>0</v>
      </c>
      <c r="G42" s="738">
        <v>0</v>
      </c>
      <c r="H42" s="738">
        <v>0</v>
      </c>
      <c r="I42" s="13"/>
      <c r="K42" s="7"/>
    </row>
    <row r="43" spans="1:11" x14ac:dyDescent="0.2">
      <c r="A43" s="2">
        <f t="shared" si="5"/>
        <v>30</v>
      </c>
      <c r="C43" s="63">
        <v>926</v>
      </c>
      <c r="D43" s="149">
        <f t="shared" si="4"/>
        <v>2354420</v>
      </c>
      <c r="E43" s="738">
        <f>1910555+443865</f>
        <v>2354420</v>
      </c>
      <c r="F43" s="738">
        <v>0</v>
      </c>
      <c r="G43" s="738">
        <v>0</v>
      </c>
      <c r="H43" s="709">
        <f>E70</f>
        <v>0</v>
      </c>
      <c r="I43" s="13" t="s">
        <v>323</v>
      </c>
      <c r="K43" s="7"/>
    </row>
    <row r="44" spans="1:11" x14ac:dyDescent="0.2">
      <c r="A44" s="2">
        <f t="shared" si="5"/>
        <v>31</v>
      </c>
      <c r="C44" s="63">
        <v>927</v>
      </c>
      <c r="D44" s="149">
        <f t="shared" si="4"/>
        <v>104645264</v>
      </c>
      <c r="E44" s="709">
        <v>0</v>
      </c>
      <c r="F44" s="1140">
        <f>E13</f>
        <v>104645264</v>
      </c>
      <c r="G44" s="709">
        <v>0</v>
      </c>
      <c r="H44" s="709">
        <v>0</v>
      </c>
      <c r="I44" s="16" t="s">
        <v>1061</v>
      </c>
      <c r="K44" s="7"/>
    </row>
    <row r="45" spans="1:11" x14ac:dyDescent="0.2">
      <c r="A45" s="2">
        <f t="shared" si="5"/>
        <v>32</v>
      </c>
      <c r="C45" s="63">
        <v>928</v>
      </c>
      <c r="D45" s="149">
        <f t="shared" si="4"/>
        <v>10781897</v>
      </c>
      <c r="E45" s="738">
        <v>10781897</v>
      </c>
      <c r="F45" s="738">
        <v>0</v>
      </c>
      <c r="G45" s="738">
        <v>0</v>
      </c>
      <c r="H45" s="738">
        <v>0</v>
      </c>
      <c r="I45" s="16"/>
      <c r="K45" s="7"/>
    </row>
    <row r="46" spans="1:11" x14ac:dyDescent="0.2">
      <c r="A46" s="2">
        <f t="shared" si="5"/>
        <v>33</v>
      </c>
      <c r="C46" s="63">
        <v>929</v>
      </c>
      <c r="D46" s="149">
        <f t="shared" si="4"/>
        <v>0</v>
      </c>
      <c r="E46" s="738">
        <v>0</v>
      </c>
      <c r="F46" s="738">
        <v>0</v>
      </c>
      <c r="G46" s="738">
        <v>0</v>
      </c>
      <c r="H46" s="738">
        <v>0</v>
      </c>
      <c r="I46" s="16"/>
      <c r="K46" s="7"/>
    </row>
    <row r="47" spans="1:11" x14ac:dyDescent="0.2">
      <c r="A47" s="2">
        <f t="shared" si="5"/>
        <v>34</v>
      </c>
      <c r="C47" s="63">
        <v>930.1</v>
      </c>
      <c r="D47" s="149">
        <f t="shared" si="4"/>
        <v>-3425</v>
      </c>
      <c r="E47" s="738">
        <v>-3425</v>
      </c>
      <c r="F47" s="738">
        <v>0</v>
      </c>
      <c r="G47" s="738">
        <v>0</v>
      </c>
      <c r="H47" s="738">
        <v>0</v>
      </c>
      <c r="I47" s="16"/>
      <c r="K47" s="7"/>
    </row>
    <row r="48" spans="1:11" x14ac:dyDescent="0.2">
      <c r="A48" s="2">
        <f t="shared" si="5"/>
        <v>35</v>
      </c>
      <c r="C48" s="63">
        <v>930.2</v>
      </c>
      <c r="D48" s="149">
        <f t="shared" si="4"/>
        <v>10542720</v>
      </c>
      <c r="E48" s="738">
        <v>10542720</v>
      </c>
      <c r="F48" s="738">
        <v>0</v>
      </c>
      <c r="G48" s="738">
        <v>0</v>
      </c>
      <c r="H48" s="738">
        <v>0</v>
      </c>
      <c r="I48" s="16"/>
      <c r="J48" s="659"/>
    </row>
    <row r="49" spans="1:10" x14ac:dyDescent="0.2">
      <c r="A49" s="2">
        <f t="shared" si="5"/>
        <v>36</v>
      </c>
      <c r="C49" s="63">
        <v>931</v>
      </c>
      <c r="D49" s="149">
        <f t="shared" si="4"/>
        <v>688</v>
      </c>
      <c r="E49" s="738">
        <v>688</v>
      </c>
      <c r="F49" s="738">
        <v>0</v>
      </c>
      <c r="G49" s="738">
        <v>0</v>
      </c>
      <c r="H49" s="738">
        <v>0</v>
      </c>
      <c r="I49" s="16"/>
      <c r="J49" s="7"/>
    </row>
    <row r="50" spans="1:10" x14ac:dyDescent="0.2">
      <c r="A50" s="2">
        <f t="shared" si="5"/>
        <v>37</v>
      </c>
      <c r="C50" s="63">
        <v>935</v>
      </c>
      <c r="D50" s="149">
        <f t="shared" si="4"/>
        <v>0</v>
      </c>
      <c r="E50" s="738">
        <v>0</v>
      </c>
      <c r="F50" s="738">
        <v>0</v>
      </c>
      <c r="G50" s="738">
        <v>0</v>
      </c>
      <c r="H50" s="738">
        <v>0</v>
      </c>
      <c r="I50" s="16"/>
    </row>
    <row r="51" spans="1:10" x14ac:dyDescent="0.2">
      <c r="B51" s="1" t="s">
        <v>3089</v>
      </c>
      <c r="C51" s="14"/>
      <c r="D51" s="14"/>
      <c r="E51" s="14"/>
      <c r="F51" s="14"/>
      <c r="G51" s="14"/>
      <c r="H51" s="14"/>
    </row>
    <row r="52" spans="1:10" x14ac:dyDescent="0.2">
      <c r="B52" s="1"/>
      <c r="C52" s="14" t="s">
        <v>3090</v>
      </c>
      <c r="D52" s="14"/>
      <c r="E52" s="14"/>
      <c r="F52" s="14"/>
      <c r="G52" s="14"/>
      <c r="H52" s="14"/>
    </row>
    <row r="53" spans="1:10" x14ac:dyDescent="0.2">
      <c r="B53" s="1"/>
      <c r="C53" s="651" t="s">
        <v>3091</v>
      </c>
      <c r="D53" s="14"/>
      <c r="E53" s="14"/>
      <c r="F53" s="14"/>
      <c r="G53" s="117"/>
      <c r="H53" s="117"/>
    </row>
    <row r="54" spans="1:10" x14ac:dyDescent="0.2">
      <c r="B54" s="1"/>
      <c r="C54" s="895" t="s">
        <v>3181</v>
      </c>
      <c r="D54" s="877"/>
      <c r="E54" s="877"/>
      <c r="F54" s="14"/>
      <c r="G54" s="117"/>
      <c r="H54" s="117"/>
    </row>
    <row r="55" spans="1:10" x14ac:dyDescent="0.2">
      <c r="B55" s="1"/>
      <c r="G55" s="3" t="s">
        <v>205</v>
      </c>
      <c r="H55" s="3" t="s">
        <v>209</v>
      </c>
    </row>
    <row r="56" spans="1:10" x14ac:dyDescent="0.2">
      <c r="A56" s="2"/>
      <c r="B56" s="839" t="s">
        <v>2462</v>
      </c>
      <c r="E56" s="14"/>
      <c r="F56" s="1052" t="s">
        <v>3092</v>
      </c>
      <c r="G56" s="738">
        <v>122697901</v>
      </c>
      <c r="H56" s="648" t="s">
        <v>35</v>
      </c>
    </row>
    <row r="57" spans="1:10" x14ac:dyDescent="0.2">
      <c r="A57" s="2"/>
      <c r="B57" s="839" t="s">
        <v>2463</v>
      </c>
      <c r="C57" s="12"/>
      <c r="E57" s="14"/>
      <c r="F57" s="1052" t="s">
        <v>3093</v>
      </c>
      <c r="G57" s="108">
        <f>E61</f>
        <v>35166211</v>
      </c>
      <c r="H57" s="653" t="str">
        <f>"Note 2, "&amp;B61&amp;""</f>
        <v>Note 2, d</v>
      </c>
    </row>
    <row r="58" spans="1:10" x14ac:dyDescent="0.2">
      <c r="A58" s="2"/>
      <c r="B58" s="839" t="s">
        <v>2464</v>
      </c>
      <c r="F58" s="647" t="s">
        <v>2468</v>
      </c>
      <c r="G58" s="7">
        <f>G56-G57</f>
        <v>87531690</v>
      </c>
    </row>
    <row r="59" spans="1:10" x14ac:dyDescent="0.2">
      <c r="A59" s="2"/>
      <c r="C59" s="895" t="s">
        <v>3182</v>
      </c>
      <c r="D59" s="877"/>
      <c r="E59" s="877"/>
      <c r="G59" s="7"/>
    </row>
    <row r="60" spans="1:10" x14ac:dyDescent="0.2">
      <c r="A60" s="2"/>
      <c r="D60" s="53" t="s">
        <v>1719</v>
      </c>
      <c r="E60" s="3" t="s">
        <v>205</v>
      </c>
      <c r="F60" s="64" t="s">
        <v>209</v>
      </c>
      <c r="G60" s="7"/>
    </row>
    <row r="61" spans="1:10" x14ac:dyDescent="0.2">
      <c r="A61" s="2"/>
      <c r="B61" s="839" t="s">
        <v>2465</v>
      </c>
      <c r="D61" t="s">
        <v>1720</v>
      </c>
      <c r="E61" s="893">
        <v>35166211</v>
      </c>
      <c r="F61" s="648" t="s">
        <v>3079</v>
      </c>
      <c r="G61" s="65"/>
      <c r="I61" s="14"/>
    </row>
    <row r="62" spans="1:10" x14ac:dyDescent="0.2">
      <c r="A62" s="2"/>
      <c r="B62" s="839" t="s">
        <v>2466</v>
      </c>
      <c r="D62" s="651" t="s">
        <v>404</v>
      </c>
      <c r="E62" s="893">
        <v>30629762</v>
      </c>
      <c r="F62" s="648" t="s">
        <v>3079</v>
      </c>
      <c r="G62" s="65"/>
      <c r="I62" s="881"/>
    </row>
    <row r="63" spans="1:10" x14ac:dyDescent="0.2">
      <c r="A63" s="2"/>
      <c r="B63" s="839" t="s">
        <v>2467</v>
      </c>
      <c r="D63" s="649" t="s">
        <v>1721</v>
      </c>
      <c r="E63" s="1141">
        <v>36274122</v>
      </c>
      <c r="F63" s="648" t="s">
        <v>3079</v>
      </c>
      <c r="G63" s="65"/>
      <c r="I63" s="65"/>
    </row>
    <row r="64" spans="1:10" x14ac:dyDescent="0.2">
      <c r="A64" s="2"/>
      <c r="B64" s="117" t="s">
        <v>2469</v>
      </c>
      <c r="D64" s="98" t="s">
        <v>5</v>
      </c>
      <c r="E64" s="7">
        <f>SUM(E61:E63)</f>
        <v>102070095</v>
      </c>
      <c r="F64" s="13" t="str">
        <f>"Sum of "&amp;B61&amp;" to "&amp;B63&amp;""</f>
        <v>Sum of d to f</v>
      </c>
      <c r="G64" s="7"/>
      <c r="I64" s="14"/>
    </row>
    <row r="66" spans="1:11" x14ac:dyDescent="0.2">
      <c r="B66" s="1" t="s">
        <v>553</v>
      </c>
    </row>
    <row r="67" spans="1:11" x14ac:dyDescent="0.2">
      <c r="E67" s="3" t="s">
        <v>205</v>
      </c>
      <c r="F67" s="53" t="s">
        <v>273</v>
      </c>
    </row>
    <row r="68" spans="1:11" x14ac:dyDescent="0.2">
      <c r="A68" s="2"/>
      <c r="B68" s="839" t="s">
        <v>2462</v>
      </c>
      <c r="D68" s="98" t="s">
        <v>549</v>
      </c>
      <c r="E68" s="111">
        <v>52707000</v>
      </c>
      <c r="F68" s="13" t="s">
        <v>555</v>
      </c>
    </row>
    <row r="69" spans="1:11" x14ac:dyDescent="0.2">
      <c r="A69" s="2"/>
      <c r="B69" s="839" t="s">
        <v>2463</v>
      </c>
      <c r="D69" s="98" t="s">
        <v>550</v>
      </c>
      <c r="E69" s="151">
        <v>52707000</v>
      </c>
      <c r="F69" s="648" t="s">
        <v>35</v>
      </c>
    </row>
    <row r="70" spans="1:11" x14ac:dyDescent="0.2">
      <c r="A70" s="2"/>
      <c r="B70" s="839" t="s">
        <v>2464</v>
      </c>
      <c r="D70" s="98" t="s">
        <v>552</v>
      </c>
      <c r="E70" s="150">
        <f>E69-E68</f>
        <v>0</v>
      </c>
      <c r="F70" s="13" t="str">
        <f>""&amp;B69&amp;" - "&amp;B68&amp;""</f>
        <v>b - a</v>
      </c>
    </row>
    <row r="71" spans="1:11" x14ac:dyDescent="0.2">
      <c r="A71" s="641"/>
      <c r="B71" s="1" t="s">
        <v>1808</v>
      </c>
      <c r="D71" s="98"/>
      <c r="E71" s="150"/>
      <c r="F71" s="13"/>
    </row>
    <row r="72" spans="1:11" x14ac:dyDescent="0.2">
      <c r="A72" s="641"/>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98"/>
      <c r="E72" s="150"/>
      <c r="F72" s="13"/>
    </row>
    <row r="73" spans="1:11" x14ac:dyDescent="0.2">
      <c r="A73" s="641"/>
      <c r="B73" s="1"/>
      <c r="C73" s="12" t="s">
        <v>1809</v>
      </c>
      <c r="D73" s="98"/>
      <c r="E73" s="150"/>
      <c r="F73" s="13"/>
    </row>
    <row r="75" spans="1:11" x14ac:dyDescent="0.2">
      <c r="B75" s="1" t="s">
        <v>433</v>
      </c>
    </row>
    <row r="76" spans="1:11" x14ac:dyDescent="0.2">
      <c r="C76" s="12" t="str">
        <f>"1) Enter amounts of A&amp;G expenses from FERC Form 1 in Lines "&amp;A6&amp;" to "&amp;A19&amp;"."</f>
        <v>1) Enter amounts of A&amp;G expenses from FERC Form 1 in Lines 1 to 14.</v>
      </c>
    </row>
    <row r="77" spans="1:11" x14ac:dyDescent="0.2">
      <c r="C77" s="651" t="s">
        <v>3094</v>
      </c>
      <c r="D77" s="14"/>
      <c r="E77" s="14"/>
      <c r="F77" s="14"/>
      <c r="G77" s="14" t="str">
        <f>"Column 3, Line "&amp;A37&amp;""</f>
        <v>Column 3, Line 24</v>
      </c>
      <c r="H77" s="14"/>
      <c r="I77" s="14"/>
      <c r="J77" s="14"/>
      <c r="K77" s="14"/>
    </row>
    <row r="78" spans="1:11" x14ac:dyDescent="0.2">
      <c r="C78" s="648" t="str">
        <f>"is calculated in Note 2.  The PBOPs exclusion in Column 4, Line "&amp;A43&amp;" is calculated in Note 3."</f>
        <v>is calculated in Note 2.  The PBOPs exclusion in Column 4, Line 30 is calculated in Note 3.</v>
      </c>
      <c r="D78" s="14"/>
      <c r="E78" s="14"/>
      <c r="F78" s="14"/>
      <c r="G78" s="15"/>
      <c r="H78" s="14"/>
      <c r="I78" s="14"/>
      <c r="J78" s="14"/>
      <c r="K78" s="14"/>
    </row>
    <row r="79" spans="1:11" x14ac:dyDescent="0.2">
      <c r="C79" s="648" t="s">
        <v>2431</v>
      </c>
      <c r="D79" s="14"/>
      <c r="E79" s="14"/>
      <c r="F79" s="14"/>
      <c r="G79" s="14"/>
      <c r="H79" s="14"/>
      <c r="I79" s="14"/>
      <c r="J79" s="14"/>
      <c r="K79" s="14"/>
    </row>
    <row r="80" spans="1:11" x14ac:dyDescent="0.2">
      <c r="C80" s="648" t="s">
        <v>2573</v>
      </c>
      <c r="D80" s="390"/>
      <c r="E80" s="644"/>
      <c r="F80" s="47"/>
      <c r="G80" s="14"/>
      <c r="H80" s="14"/>
      <c r="I80" s="14"/>
      <c r="J80" s="14"/>
      <c r="K80" s="14"/>
    </row>
    <row r="81" spans="3:11" x14ac:dyDescent="0.2">
      <c r="C81" s="648" t="s">
        <v>2569</v>
      </c>
      <c r="D81" s="390"/>
      <c r="E81" s="644"/>
      <c r="F81" s="47"/>
      <c r="G81" s="14"/>
      <c r="H81" s="14"/>
      <c r="I81" s="14"/>
      <c r="J81" s="14"/>
      <c r="K81" s="14"/>
    </row>
    <row r="82" spans="3:11" x14ac:dyDescent="0.2">
      <c r="C82" s="648" t="s">
        <v>2570</v>
      </c>
      <c r="D82" s="14"/>
      <c r="E82" s="14"/>
      <c r="F82" s="14"/>
      <c r="G82" s="14"/>
      <c r="H82" s="14"/>
      <c r="I82" s="14"/>
      <c r="J82" s="14"/>
      <c r="K82" s="14"/>
    </row>
    <row r="83" spans="3:11" x14ac:dyDescent="0.2">
      <c r="C83" s="47" t="s">
        <v>554</v>
      </c>
      <c r="D83" s="14"/>
      <c r="E83" s="14"/>
      <c r="F83" s="14"/>
      <c r="G83" s="14"/>
      <c r="H83" s="14"/>
      <c r="I83" s="14"/>
      <c r="J83" s="14"/>
      <c r="K83" s="14"/>
    </row>
    <row r="84" spans="3:11" x14ac:dyDescent="0.2">
      <c r="C84" s="648" t="s">
        <v>2571</v>
      </c>
      <c r="D84" s="14"/>
      <c r="E84" s="14"/>
      <c r="F84" s="14"/>
      <c r="G84" s="14"/>
      <c r="H84" s="14"/>
      <c r="I84" s="14"/>
      <c r="J84" s="14"/>
      <c r="K84" s="14"/>
    </row>
    <row r="85" spans="3:11" x14ac:dyDescent="0.2">
      <c r="C85" s="648" t="s">
        <v>1907</v>
      </c>
      <c r="D85" s="14"/>
      <c r="E85" s="14"/>
      <c r="F85" s="14"/>
      <c r="G85" s="14"/>
      <c r="H85" s="14"/>
      <c r="I85" s="14"/>
      <c r="J85" s="14"/>
      <c r="K85" s="14"/>
    </row>
    <row r="86" spans="3:11" x14ac:dyDescent="0.2">
      <c r="C86" s="648" t="s">
        <v>2572</v>
      </c>
      <c r="D86" s="14"/>
      <c r="E86" s="14"/>
      <c r="F86" s="14"/>
      <c r="G86" s="14"/>
      <c r="H86" s="14"/>
      <c r="I86" s="14"/>
      <c r="J86" s="14"/>
      <c r="K86" s="14"/>
    </row>
    <row r="87" spans="3:11" x14ac:dyDescent="0.2">
      <c r="C87" s="648" t="s">
        <v>2620</v>
      </c>
      <c r="D87" s="651"/>
      <c r="E87" s="1142"/>
      <c r="F87" s="1142"/>
      <c r="G87" s="1142"/>
      <c r="H87" s="14"/>
      <c r="I87" s="14"/>
      <c r="J87" s="14"/>
      <c r="K87" s="14"/>
    </row>
    <row r="88" spans="3:11" x14ac:dyDescent="0.2">
      <c r="C88" s="1061" t="s">
        <v>2618</v>
      </c>
      <c r="D88" s="651"/>
      <c r="E88" s="1142"/>
      <c r="F88" s="1142"/>
      <c r="G88" s="1142"/>
      <c r="H88" s="14"/>
      <c r="I88" s="14"/>
      <c r="J88" s="14"/>
      <c r="K88" s="14"/>
    </row>
    <row r="89" spans="3:11" x14ac:dyDescent="0.2">
      <c r="C89" s="1061" t="s">
        <v>2619</v>
      </c>
      <c r="D89" s="651"/>
      <c r="E89" s="1142"/>
      <c r="F89" s="1142"/>
      <c r="G89" s="1142"/>
      <c r="H89" s="14"/>
      <c r="I89" s="14"/>
      <c r="J89" s="14"/>
      <c r="K89" s="14"/>
    </row>
    <row r="90" spans="3:11" x14ac:dyDescent="0.2">
      <c r="C90" s="1061" t="s">
        <v>2621</v>
      </c>
      <c r="D90" s="651"/>
      <c r="E90" s="1142"/>
      <c r="F90" s="1142"/>
      <c r="G90" s="1142"/>
      <c r="H90" s="14"/>
      <c r="I90" s="14"/>
      <c r="J90" s="14"/>
      <c r="K90" s="14"/>
    </row>
    <row r="91" spans="3:11" x14ac:dyDescent="0.2">
      <c r="C91" s="648" t="s">
        <v>2796</v>
      </c>
      <c r="D91" s="651"/>
      <c r="E91" s="1142"/>
      <c r="F91" s="1142"/>
      <c r="G91" s="1142"/>
      <c r="H91" s="14"/>
      <c r="I91" s="14"/>
      <c r="J91" s="14"/>
      <c r="K91" s="14"/>
    </row>
    <row r="92" spans="3:11" x14ac:dyDescent="0.2">
      <c r="C92" s="1061" t="s">
        <v>2794</v>
      </c>
      <c r="D92" s="651"/>
      <c r="E92" s="1142"/>
      <c r="F92" s="1142"/>
      <c r="G92" s="1142"/>
      <c r="H92" s="14"/>
      <c r="I92" s="14"/>
      <c r="J92" s="14"/>
      <c r="K92" s="14"/>
    </row>
    <row r="93" spans="3:11" x14ac:dyDescent="0.2">
      <c r="C93" s="1061" t="s">
        <v>2795</v>
      </c>
      <c r="D93" s="651"/>
      <c r="E93" s="1142"/>
      <c r="F93" s="1142"/>
      <c r="G93" s="1142"/>
      <c r="H93" s="14"/>
      <c r="I93" s="14"/>
      <c r="J93" s="14"/>
      <c r="K93" s="14"/>
    </row>
    <row r="94" spans="3:11" x14ac:dyDescent="0.2">
      <c r="C94" s="1061" t="s">
        <v>2797</v>
      </c>
      <c r="D94" s="651"/>
      <c r="E94" s="1142"/>
      <c r="F94" s="1142"/>
      <c r="G94" s="1142"/>
      <c r="H94" s="14"/>
      <c r="I94" s="14"/>
      <c r="J94" s="14"/>
      <c r="K94" s="14"/>
    </row>
    <row r="95" spans="3:11" x14ac:dyDescent="0.2">
      <c r="C95" s="1061" t="s">
        <v>2798</v>
      </c>
      <c r="D95" s="651"/>
      <c r="E95" s="1142"/>
      <c r="F95" s="1142"/>
      <c r="G95" s="1142"/>
      <c r="H95" s="14"/>
      <c r="I95" s="14"/>
      <c r="J95" s="14"/>
      <c r="K95" s="14"/>
    </row>
    <row r="96" spans="3:11" x14ac:dyDescent="0.2">
      <c r="C96" s="648" t="s">
        <v>2799</v>
      </c>
      <c r="D96" s="651"/>
      <c r="E96" s="1142"/>
      <c r="F96" s="1142"/>
      <c r="G96" s="1142"/>
      <c r="H96" s="1142"/>
      <c r="I96" s="14"/>
      <c r="J96" s="14"/>
      <c r="K96" s="14"/>
    </row>
    <row r="97" spans="3:11" x14ac:dyDescent="0.2">
      <c r="C97" s="1061" t="s">
        <v>2800</v>
      </c>
      <c r="D97" s="651"/>
      <c r="E97" s="1142"/>
      <c r="F97" s="1142"/>
      <c r="G97" s="1142"/>
      <c r="H97" s="14"/>
      <c r="I97" s="14"/>
      <c r="J97" s="14"/>
      <c r="K97" s="14"/>
    </row>
    <row r="98" spans="3:11" x14ac:dyDescent="0.2">
      <c r="C98" s="1143" t="s">
        <v>3095</v>
      </c>
      <c r="D98" s="651"/>
      <c r="E98" s="1142"/>
      <c r="F98" s="1142"/>
      <c r="G98" s="1142"/>
      <c r="H98" s="14"/>
      <c r="I98" s="14"/>
      <c r="J98" s="14"/>
      <c r="K98" s="14"/>
    </row>
    <row r="99" spans="3:11" x14ac:dyDescent="0.2">
      <c r="C99" s="1143" t="s">
        <v>3096</v>
      </c>
      <c r="D99" s="651"/>
      <c r="E99" s="1142"/>
      <c r="F99" s="1142"/>
      <c r="G99" s="1142"/>
      <c r="H99" s="14"/>
      <c r="I99" s="14"/>
      <c r="J99" s="14"/>
      <c r="K99" s="14"/>
    </row>
    <row r="100" spans="3:11" x14ac:dyDescent="0.2">
      <c r="C100" s="1143" t="s">
        <v>3097</v>
      </c>
      <c r="D100" s="651"/>
      <c r="E100" s="1142"/>
      <c r="F100" s="1142"/>
      <c r="G100" s="1142"/>
      <c r="H100" s="14"/>
      <c r="I100" s="14"/>
      <c r="J100" s="14"/>
      <c r="K100" s="14"/>
    </row>
    <row r="101" spans="3:11" x14ac:dyDescent="0.2">
      <c r="C101" s="1143" t="s">
        <v>3096</v>
      </c>
      <c r="D101" s="651"/>
      <c r="E101" s="1142"/>
      <c r="F101" s="1142"/>
      <c r="G101" s="1142"/>
      <c r="H101" s="14"/>
      <c r="I101" s="14"/>
      <c r="J101" s="14"/>
      <c r="K101" s="14"/>
    </row>
    <row r="102" spans="3:11" x14ac:dyDescent="0.2">
      <c r="C102" s="1143" t="s">
        <v>3098</v>
      </c>
      <c r="D102" s="651"/>
      <c r="E102" s="1142"/>
      <c r="F102" s="1142"/>
      <c r="G102" s="1142"/>
      <c r="H102" s="14"/>
      <c r="I102" s="14"/>
      <c r="J102" s="14"/>
      <c r="K102" s="14"/>
    </row>
    <row r="103" spans="3:11" x14ac:dyDescent="0.2">
      <c r="C103" s="1061" t="s">
        <v>3099</v>
      </c>
      <c r="D103" s="651"/>
      <c r="E103" s="1142"/>
      <c r="F103" s="1142"/>
      <c r="G103" s="1142"/>
      <c r="H103" s="14"/>
      <c r="I103" s="14"/>
      <c r="J103" s="14"/>
      <c r="K103" s="14"/>
    </row>
    <row r="104" spans="3:11" x14ac:dyDescent="0.2">
      <c r="C104" s="1061" t="s">
        <v>3100</v>
      </c>
      <c r="D104" s="651"/>
      <c r="E104" s="1142"/>
      <c r="F104" s="1142"/>
      <c r="G104" s="1142"/>
      <c r="H104" s="14"/>
      <c r="I104" s="14"/>
      <c r="J104" s="14"/>
      <c r="K104" s="14"/>
    </row>
    <row r="105" spans="3:11" x14ac:dyDescent="0.2">
      <c r="C105" s="1144" t="s">
        <v>3101</v>
      </c>
      <c r="D105" s="877"/>
      <c r="E105" s="877"/>
      <c r="F105" s="877"/>
      <c r="G105" s="877"/>
      <c r="H105" s="877"/>
      <c r="I105" s="877"/>
      <c r="J105" s="877"/>
      <c r="K105" s="14"/>
    </row>
    <row r="106" spans="3:11" x14ac:dyDescent="0.2">
      <c r="C106" s="651" t="s">
        <v>3102</v>
      </c>
      <c r="D106" s="14"/>
      <c r="E106" s="14"/>
      <c r="F106" s="14"/>
      <c r="G106" s="14"/>
      <c r="H106" s="14"/>
      <c r="I106" s="14"/>
      <c r="J106" s="14"/>
      <c r="K106" s="14"/>
    </row>
    <row r="107" spans="3:11" x14ac:dyDescent="0.2">
      <c r="C107" s="1144" t="s">
        <v>3103</v>
      </c>
      <c r="D107" s="895"/>
      <c r="E107" s="895"/>
      <c r="F107" s="895"/>
      <c r="G107" s="895"/>
      <c r="H107" s="895"/>
      <c r="I107" s="895"/>
      <c r="J107" s="14"/>
      <c r="K107" s="14"/>
    </row>
    <row r="108" spans="3:11" x14ac:dyDescent="0.2">
      <c r="C108" s="15" t="str">
        <f>"4) Determine the PBOPs exclusion.  The authorized amount of PBOPs expense (line "&amp;B68&amp;") may only be revised"</f>
        <v>4) Determine the PBOPs exclusion.  The authorized amount of PBOPs expense (line a) may only be revised</v>
      </c>
      <c r="D108" s="14"/>
      <c r="E108" s="14"/>
      <c r="F108" s="14"/>
      <c r="G108" s="14"/>
      <c r="H108" s="14"/>
      <c r="I108" s="14"/>
      <c r="J108" s="14"/>
      <c r="K108" s="14"/>
    </row>
    <row r="109" spans="3:11" x14ac:dyDescent="0.2">
      <c r="C109" s="15" t="s">
        <v>1244</v>
      </c>
      <c r="D109" s="14"/>
      <c r="E109" s="14"/>
      <c r="F109" s="14"/>
      <c r="G109" s="14"/>
      <c r="H109" s="14"/>
      <c r="I109" s="14"/>
      <c r="J109" s="14"/>
      <c r="K109" s="14"/>
    </row>
    <row r="110" spans="3:11" x14ac:dyDescent="0.2">
      <c r="C110" s="15" t="s">
        <v>1265</v>
      </c>
      <c r="D110" s="14"/>
      <c r="E110" s="14"/>
      <c r="F110" s="14"/>
      <c r="G110" s="14"/>
      <c r="H110" s="14"/>
      <c r="I110" s="14"/>
      <c r="J110" s="14"/>
      <c r="K110" s="14"/>
    </row>
    <row r="111" spans="3:11" x14ac:dyDescent="0.2">
      <c r="C111" s="649" t="s">
        <v>2536</v>
      </c>
      <c r="E111" s="14"/>
      <c r="F111" s="14"/>
      <c r="G111" s="14"/>
      <c r="H111" s="14"/>
      <c r="I111" s="667" t="s">
        <v>2537</v>
      </c>
      <c r="J111" s="101"/>
    </row>
    <row r="112" spans="3:11" x14ac:dyDescent="0.2">
      <c r="C112" s="651" t="s">
        <v>2746</v>
      </c>
      <c r="D112" s="14"/>
      <c r="E112" s="14"/>
      <c r="F112" s="14"/>
      <c r="G112" s="14"/>
      <c r="H112" s="14"/>
      <c r="I112" s="14"/>
    </row>
  </sheetData>
  <phoneticPr fontId="10" type="noConversion"/>
  <pageMargins left="0.75" right="0.75" top="1" bottom="1" header="0.5" footer="0.5"/>
  <pageSetup scale="75" orientation="landscape" cellComments="asDisplayed" r:id="rId1"/>
  <headerFooter alignWithMargins="0">
    <oddHeader>&amp;CSchedule 20
Administrative and General Expenses
&amp;"Arial,Bold"Exhibit G-1</oddHeader>
    <oddFooter>&amp;R&amp;A</oddFooter>
  </headerFooter>
  <rowBreaks count="2" manualBreakCount="2">
    <brk id="50" max="9" man="1"/>
    <brk id="7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33"/>
  <sheetViews>
    <sheetView zoomScale="70" zoomScaleNormal="70" zoomScalePageLayoutView="80" workbookViewId="0">
      <selection activeCell="A4" sqref="A4"/>
    </sheetView>
  </sheetViews>
  <sheetFormatPr defaultRowHeight="12.75" x14ac:dyDescent="0.2"/>
  <cols>
    <col min="1" max="1" width="6.28515625" style="237" customWidth="1"/>
    <col min="2" max="2" width="8.5703125" style="41" customWidth="1"/>
    <col min="3" max="3" width="9.85546875" style="237" customWidth="1"/>
    <col min="4" max="4" width="51.5703125" style="41" customWidth="1"/>
    <col min="5" max="5" width="16.28515625" style="384" customWidth="1"/>
    <col min="6" max="6" width="16.140625" style="384" customWidth="1"/>
    <col min="7" max="7" width="18.42578125" style="384" bestFit="1" customWidth="1"/>
    <col min="8" max="8" width="15.85546875" style="235" bestFit="1" customWidth="1"/>
    <col min="9" max="9" width="16.85546875" style="235" bestFit="1" customWidth="1"/>
    <col min="10" max="10" width="15.7109375" style="384" customWidth="1"/>
    <col min="11" max="11" width="6.5703125" style="339" customWidth="1"/>
    <col min="12" max="12" width="16.42578125" style="325" customWidth="1"/>
    <col min="13" max="13" width="17.140625" style="227" bestFit="1" customWidth="1"/>
    <col min="14" max="14" width="18.42578125" style="384" bestFit="1" customWidth="1"/>
    <col min="15" max="15" width="8.5703125" style="227" customWidth="1"/>
  </cols>
  <sheetData>
    <row r="1" spans="1:15" x14ac:dyDescent="0.2">
      <c r="A1" s="361"/>
      <c r="B1" s="206" t="s">
        <v>628</v>
      </c>
      <c r="C1" s="207" t="s">
        <v>629</v>
      </c>
      <c r="D1" s="206" t="s">
        <v>630</v>
      </c>
      <c r="E1" s="207" t="s">
        <v>631</v>
      </c>
      <c r="F1" s="206" t="s">
        <v>632</v>
      </c>
      <c r="G1" s="207" t="s">
        <v>633</v>
      </c>
      <c r="H1" s="206" t="s">
        <v>634</v>
      </c>
      <c r="I1" s="207" t="s">
        <v>635</v>
      </c>
      <c r="J1" s="206" t="s">
        <v>636</v>
      </c>
      <c r="K1" s="207" t="s">
        <v>637</v>
      </c>
      <c r="L1" s="206" t="s">
        <v>638</v>
      </c>
      <c r="M1" s="207" t="s">
        <v>639</v>
      </c>
      <c r="N1" s="206" t="s">
        <v>640</v>
      </c>
      <c r="O1" s="207" t="s">
        <v>641</v>
      </c>
    </row>
    <row r="2" spans="1:15" x14ac:dyDescent="0.2">
      <c r="A2" s="358"/>
      <c r="B2" s="359"/>
      <c r="C2" s="359"/>
      <c r="D2" s="359"/>
      <c r="E2" s="360"/>
      <c r="F2" s="360"/>
      <c r="G2" s="1220" t="s">
        <v>642</v>
      </c>
      <c r="H2" s="1221"/>
      <c r="I2" s="1222"/>
      <c r="J2" s="1220" t="s">
        <v>643</v>
      </c>
      <c r="K2" s="1221"/>
      <c r="L2" s="1221"/>
      <c r="M2" s="1222"/>
      <c r="N2" s="342" t="s">
        <v>644</v>
      </c>
      <c r="O2" s="358"/>
    </row>
    <row r="3" spans="1:15" ht="25.5" x14ac:dyDescent="0.2">
      <c r="A3" s="208" t="s">
        <v>372</v>
      </c>
      <c r="B3" s="209" t="s">
        <v>645</v>
      </c>
      <c r="C3" s="210" t="s">
        <v>646</v>
      </c>
      <c r="D3" s="209" t="s">
        <v>647</v>
      </c>
      <c r="E3" s="315" t="s">
        <v>648</v>
      </c>
      <c r="F3" s="316" t="s">
        <v>649</v>
      </c>
      <c r="G3" s="316" t="s">
        <v>226</v>
      </c>
      <c r="H3" s="211" t="s">
        <v>491</v>
      </c>
      <c r="I3" s="211" t="s">
        <v>650</v>
      </c>
      <c r="J3" s="315" t="s">
        <v>226</v>
      </c>
      <c r="K3" s="338" t="s">
        <v>651</v>
      </c>
      <c r="L3" s="318" t="s">
        <v>652</v>
      </c>
      <c r="M3" s="212" t="s">
        <v>339</v>
      </c>
      <c r="N3" s="315" t="s">
        <v>226</v>
      </c>
      <c r="O3" s="212" t="s">
        <v>198</v>
      </c>
    </row>
    <row r="4" spans="1:15" x14ac:dyDescent="0.2">
      <c r="A4" s="213" t="s">
        <v>653</v>
      </c>
      <c r="B4" s="214">
        <v>450</v>
      </c>
      <c r="C4" s="214" t="s">
        <v>654</v>
      </c>
      <c r="D4" s="215" t="s">
        <v>1476</v>
      </c>
      <c r="E4" s="327">
        <v>6706790.3899999997</v>
      </c>
      <c r="F4" s="323" t="str">
        <f>$G$2</f>
        <v>Traditional OOR</v>
      </c>
      <c r="G4" s="323">
        <f>IF(F4=$G$2,E4,0)</f>
        <v>6706790.3899999997</v>
      </c>
      <c r="H4" s="216">
        <v>0</v>
      </c>
      <c r="I4" s="217">
        <f>G4-H4</f>
        <v>6706790.3899999997</v>
      </c>
      <c r="J4" s="323">
        <f>IF(F4=$J$2,E4,0)</f>
        <v>0</v>
      </c>
      <c r="K4" s="317"/>
      <c r="L4" s="327">
        <v>0</v>
      </c>
      <c r="M4" s="218">
        <f>J4-L4</f>
        <v>0</v>
      </c>
      <c r="N4" s="323">
        <f>IF(F4=$N$2,E4,0)</f>
        <v>0</v>
      </c>
      <c r="O4" s="216">
        <v>1</v>
      </c>
    </row>
    <row r="5" spans="1:15" x14ac:dyDescent="0.2">
      <c r="A5" s="219" t="s">
        <v>655</v>
      </c>
      <c r="B5" s="214">
        <v>450</v>
      </c>
      <c r="C5" s="220" t="s">
        <v>656</v>
      </c>
      <c r="D5" s="215" t="s">
        <v>657</v>
      </c>
      <c r="E5" s="327">
        <v>10485785.77</v>
      </c>
      <c r="F5" s="323" t="str">
        <f>$G$2</f>
        <v>Traditional OOR</v>
      </c>
      <c r="G5" s="323">
        <f>IF(F5=$G$2,E5,0)</f>
        <v>10485785.77</v>
      </c>
      <c r="H5" s="216">
        <v>0</v>
      </c>
      <c r="I5" s="217">
        <f>G5-H5</f>
        <v>10485785.77</v>
      </c>
      <c r="J5" s="323">
        <f>IF(F5=$J$2,E5,0)</f>
        <v>0</v>
      </c>
      <c r="K5" s="317"/>
      <c r="L5" s="327">
        <v>0</v>
      </c>
      <c r="M5" s="218">
        <f>J5-L5</f>
        <v>0</v>
      </c>
      <c r="N5" s="323">
        <f>IF(F5=$N$2,E5,0)</f>
        <v>0</v>
      </c>
      <c r="O5" s="221">
        <v>1</v>
      </c>
    </row>
    <row r="6" spans="1:15" x14ac:dyDescent="0.2">
      <c r="A6" s="219" t="s">
        <v>658</v>
      </c>
      <c r="B6" s="214">
        <v>450</v>
      </c>
      <c r="C6" s="220" t="s">
        <v>659</v>
      </c>
      <c r="D6" s="215" t="s">
        <v>660</v>
      </c>
      <c r="E6" s="624">
        <v>416.03</v>
      </c>
      <c r="F6" s="323" t="str">
        <f>$G$2</f>
        <v>Traditional OOR</v>
      </c>
      <c r="G6" s="323">
        <f>IF(F6=$G$2,E6,0)</f>
        <v>416.03</v>
      </c>
      <c r="H6" s="216">
        <v>0</v>
      </c>
      <c r="I6" s="217">
        <f>G6-H6</f>
        <v>416.03</v>
      </c>
      <c r="J6" s="323">
        <f>IF(F6=$J$2,E6,0)</f>
        <v>0</v>
      </c>
      <c r="K6" s="317"/>
      <c r="L6" s="327">
        <v>0</v>
      </c>
      <c r="M6" s="218">
        <f>J6-L6</f>
        <v>0</v>
      </c>
      <c r="N6" s="323">
        <f>IF(F6=$N$2,E6,0)</f>
        <v>0</v>
      </c>
      <c r="O6" s="221">
        <v>1</v>
      </c>
    </row>
    <row r="7" spans="1:15" x14ac:dyDescent="0.2">
      <c r="A7" s="357"/>
      <c r="B7" s="353"/>
      <c r="C7" s="352"/>
      <c r="D7" s="354"/>
      <c r="E7" s="332"/>
      <c r="F7" s="332"/>
      <c r="G7" s="327"/>
      <c r="H7" s="328"/>
      <c r="I7" s="329"/>
      <c r="J7" s="327"/>
      <c r="K7" s="331"/>
      <c r="L7" s="327"/>
      <c r="M7" s="329"/>
      <c r="N7" s="327"/>
      <c r="O7" s="328"/>
    </row>
    <row r="8" spans="1:15" x14ac:dyDescent="0.2">
      <c r="A8" s="357"/>
      <c r="B8" s="353"/>
      <c r="C8" s="352"/>
      <c r="D8" s="354"/>
      <c r="E8" s="332"/>
      <c r="F8" s="332"/>
      <c r="G8" s="327"/>
      <c r="H8" s="328"/>
      <c r="I8" s="329"/>
      <c r="J8" s="327"/>
      <c r="K8" s="331"/>
      <c r="L8" s="327"/>
      <c r="M8" s="329"/>
      <c r="N8" s="327"/>
      <c r="O8" s="328"/>
    </row>
    <row r="9" spans="1:15" x14ac:dyDescent="0.2">
      <c r="A9" s="219">
        <v>2</v>
      </c>
      <c r="B9" s="1231" t="s">
        <v>661</v>
      </c>
      <c r="C9" s="1229"/>
      <c r="D9" s="1230"/>
      <c r="E9" s="320">
        <f>SUM(E4:E8)</f>
        <v>17192992.190000001</v>
      </c>
      <c r="F9" s="345"/>
      <c r="G9" s="320">
        <f>SUM(G4:G8)</f>
        <v>17192992.190000001</v>
      </c>
      <c r="H9" s="207">
        <f>SUM(H4:H8)</f>
        <v>0</v>
      </c>
      <c r="I9" s="336">
        <f>SUM(I4:I8)</f>
        <v>17192992.190000001</v>
      </c>
      <c r="J9" s="320">
        <f>SUM(J4:J8)</f>
        <v>0</v>
      </c>
      <c r="K9" s="345"/>
      <c r="L9" s="320">
        <f>SUM(L4:L8)</f>
        <v>0</v>
      </c>
      <c r="M9" s="320">
        <f>SUM(M4:M8)</f>
        <v>0</v>
      </c>
      <c r="N9" s="320">
        <f>SUM(N4:N8)</f>
        <v>0</v>
      </c>
      <c r="O9" s="221"/>
    </row>
    <row r="10" spans="1:15" ht="12.75" customHeight="1" x14ac:dyDescent="0.2">
      <c r="A10" s="219">
        <v>3</v>
      </c>
      <c r="B10" s="1223" t="s">
        <v>1533</v>
      </c>
      <c r="C10" s="1224"/>
      <c r="D10" s="1225"/>
      <c r="E10" s="333">
        <v>17192992</v>
      </c>
      <c r="F10" s="335"/>
      <c r="G10" s="321"/>
      <c r="H10" s="335"/>
      <c r="I10" s="335"/>
      <c r="J10" s="321"/>
      <c r="K10" s="335"/>
      <c r="L10" s="321"/>
      <c r="M10" s="321"/>
      <c r="N10" s="321"/>
      <c r="O10" s="205"/>
    </row>
    <row r="11" spans="1:15" x14ac:dyDescent="0.2">
      <c r="A11" s="222"/>
      <c r="B11" s="223"/>
      <c r="C11" s="224"/>
      <c r="D11" s="225"/>
      <c r="E11" s="321"/>
      <c r="F11" s="321"/>
      <c r="G11" s="321"/>
      <c r="H11" s="335"/>
      <c r="I11" s="335"/>
      <c r="J11" s="321"/>
      <c r="K11" s="335"/>
      <c r="L11" s="321"/>
      <c r="M11" s="321"/>
      <c r="N11" s="321"/>
      <c r="O11" s="205"/>
    </row>
    <row r="12" spans="1:15" x14ac:dyDescent="0.2">
      <c r="A12" s="219" t="s">
        <v>662</v>
      </c>
      <c r="B12" s="214">
        <v>451</v>
      </c>
      <c r="C12" s="220" t="s">
        <v>663</v>
      </c>
      <c r="D12" s="215" t="s">
        <v>664</v>
      </c>
      <c r="E12" s="327">
        <v>367311.27</v>
      </c>
      <c r="F12" s="323" t="str">
        <f t="shared" ref="F12:F18" si="0">$G$2</f>
        <v>Traditional OOR</v>
      </c>
      <c r="G12" s="323">
        <f t="shared" ref="G12:G20" si="1">IF(F12=$G$2,E12,0)</f>
        <v>367311.27</v>
      </c>
      <c r="H12" s="216">
        <v>0</v>
      </c>
      <c r="I12" s="217">
        <f t="shared" ref="I12:I20" si="2">G12-H12</f>
        <v>367311.27</v>
      </c>
      <c r="J12" s="323">
        <f t="shared" ref="J12:J20" si="3">IF(F12=$J$2,E12,0)</f>
        <v>0</v>
      </c>
      <c r="K12" s="323"/>
      <c r="L12" s="329">
        <v>0</v>
      </c>
      <c r="M12" s="218">
        <f t="shared" ref="M12:M18" si="4">J12-L12</f>
        <v>0</v>
      </c>
      <c r="N12" s="323">
        <f t="shared" ref="N12:N20" si="5">IF(F12=$N$2,E12,0)</f>
        <v>0</v>
      </c>
      <c r="O12" s="221">
        <v>1</v>
      </c>
    </row>
    <row r="13" spans="1:15" x14ac:dyDescent="0.2">
      <c r="A13" s="219" t="s">
        <v>665</v>
      </c>
      <c r="B13" s="214">
        <v>451</v>
      </c>
      <c r="C13" s="220" t="s">
        <v>666</v>
      </c>
      <c r="D13" s="215" t="s">
        <v>667</v>
      </c>
      <c r="E13" s="327">
        <v>1852444.3</v>
      </c>
      <c r="F13" s="323" t="str">
        <f t="shared" si="0"/>
        <v>Traditional OOR</v>
      </c>
      <c r="G13" s="323">
        <f t="shared" si="1"/>
        <v>1852444.3</v>
      </c>
      <c r="H13" s="216">
        <v>0</v>
      </c>
      <c r="I13" s="217">
        <f t="shared" si="2"/>
        <v>1852444.3</v>
      </c>
      <c r="J13" s="323">
        <f t="shared" si="3"/>
        <v>0</v>
      </c>
      <c r="K13" s="323"/>
      <c r="L13" s="329">
        <v>0</v>
      </c>
      <c r="M13" s="218">
        <f t="shared" si="4"/>
        <v>0</v>
      </c>
      <c r="N13" s="323">
        <f t="shared" si="5"/>
        <v>0</v>
      </c>
      <c r="O13" s="221">
        <v>1</v>
      </c>
    </row>
    <row r="14" spans="1:15" x14ac:dyDescent="0.2">
      <c r="A14" s="219" t="s">
        <v>668</v>
      </c>
      <c r="B14" s="214">
        <v>451</v>
      </c>
      <c r="C14" s="220" t="s">
        <v>669</v>
      </c>
      <c r="D14" s="215" t="s">
        <v>670</v>
      </c>
      <c r="E14" s="327">
        <v>14262</v>
      </c>
      <c r="F14" s="323" t="str">
        <f t="shared" si="0"/>
        <v>Traditional OOR</v>
      </c>
      <c r="G14" s="323">
        <f t="shared" si="1"/>
        <v>14262</v>
      </c>
      <c r="H14" s="216">
        <v>0</v>
      </c>
      <c r="I14" s="217">
        <f t="shared" si="2"/>
        <v>14262</v>
      </c>
      <c r="J14" s="323">
        <f t="shared" si="3"/>
        <v>0</v>
      </c>
      <c r="K14" s="323"/>
      <c r="L14" s="329">
        <v>0</v>
      </c>
      <c r="M14" s="218">
        <f t="shared" si="4"/>
        <v>0</v>
      </c>
      <c r="N14" s="323">
        <f t="shared" si="5"/>
        <v>0</v>
      </c>
      <c r="O14" s="221">
        <v>1</v>
      </c>
    </row>
    <row r="15" spans="1:15" x14ac:dyDescent="0.2">
      <c r="A15" s="219" t="s">
        <v>671</v>
      </c>
      <c r="B15" s="214">
        <v>451</v>
      </c>
      <c r="C15" s="220" t="s">
        <v>672</v>
      </c>
      <c r="D15" s="215" t="s">
        <v>673</v>
      </c>
      <c r="E15" s="327">
        <v>1355016.85</v>
      </c>
      <c r="F15" s="323" t="str">
        <f t="shared" si="0"/>
        <v>Traditional OOR</v>
      </c>
      <c r="G15" s="323">
        <f t="shared" si="1"/>
        <v>1355016.85</v>
      </c>
      <c r="H15" s="216">
        <v>0</v>
      </c>
      <c r="I15" s="217">
        <f t="shared" si="2"/>
        <v>1355016.85</v>
      </c>
      <c r="J15" s="323">
        <f t="shared" si="3"/>
        <v>0</v>
      </c>
      <c r="K15" s="323"/>
      <c r="L15" s="329">
        <v>0</v>
      </c>
      <c r="M15" s="218">
        <f t="shared" si="4"/>
        <v>0</v>
      </c>
      <c r="N15" s="323">
        <f t="shared" si="5"/>
        <v>0</v>
      </c>
      <c r="O15" s="221">
        <v>1</v>
      </c>
    </row>
    <row r="16" spans="1:15" x14ac:dyDescent="0.2">
      <c r="A16" s="219" t="s">
        <v>674</v>
      </c>
      <c r="B16" s="214">
        <v>451</v>
      </c>
      <c r="C16" s="220" t="s">
        <v>675</v>
      </c>
      <c r="D16" s="215" t="s">
        <v>676</v>
      </c>
      <c r="E16" s="327">
        <v>6230081.0199999996</v>
      </c>
      <c r="F16" s="323" t="str">
        <f t="shared" si="0"/>
        <v>Traditional OOR</v>
      </c>
      <c r="G16" s="323">
        <f t="shared" si="1"/>
        <v>6230081.0199999996</v>
      </c>
      <c r="H16" s="216">
        <v>0</v>
      </c>
      <c r="I16" s="217">
        <f t="shared" si="2"/>
        <v>6230081.0199999996</v>
      </c>
      <c r="J16" s="323">
        <f t="shared" si="3"/>
        <v>0</v>
      </c>
      <c r="K16" s="323"/>
      <c r="L16" s="329">
        <v>0</v>
      </c>
      <c r="M16" s="218">
        <f t="shared" si="4"/>
        <v>0</v>
      </c>
      <c r="N16" s="323">
        <f t="shared" si="5"/>
        <v>0</v>
      </c>
      <c r="O16" s="221">
        <v>1</v>
      </c>
    </row>
    <row r="17" spans="1:15" x14ac:dyDescent="0.2">
      <c r="A17" s="219" t="s">
        <v>677</v>
      </c>
      <c r="B17" s="214">
        <v>451</v>
      </c>
      <c r="C17" s="220" t="s">
        <v>678</v>
      </c>
      <c r="D17" s="215" t="s">
        <v>679</v>
      </c>
      <c r="E17" s="327">
        <v>16672008.98</v>
      </c>
      <c r="F17" s="323" t="str">
        <f t="shared" si="0"/>
        <v>Traditional OOR</v>
      </c>
      <c r="G17" s="323">
        <f t="shared" si="1"/>
        <v>16672008.98</v>
      </c>
      <c r="H17" s="216">
        <v>0</v>
      </c>
      <c r="I17" s="217">
        <f t="shared" si="2"/>
        <v>16672008.98</v>
      </c>
      <c r="J17" s="323">
        <f t="shared" si="3"/>
        <v>0</v>
      </c>
      <c r="K17" s="323"/>
      <c r="L17" s="329">
        <v>0</v>
      </c>
      <c r="M17" s="218">
        <f t="shared" si="4"/>
        <v>0</v>
      </c>
      <c r="N17" s="323">
        <f t="shared" si="5"/>
        <v>0</v>
      </c>
      <c r="O17" s="221">
        <v>1</v>
      </c>
    </row>
    <row r="18" spans="1:15" x14ac:dyDescent="0.2">
      <c r="A18" s="219" t="s">
        <v>680</v>
      </c>
      <c r="B18" s="214">
        <v>451</v>
      </c>
      <c r="C18" s="220" t="s">
        <v>681</v>
      </c>
      <c r="D18" s="215" t="s">
        <v>682</v>
      </c>
      <c r="E18" s="327">
        <v>7041772.5700000003</v>
      </c>
      <c r="F18" s="323" t="str">
        <f t="shared" si="0"/>
        <v>Traditional OOR</v>
      </c>
      <c r="G18" s="323">
        <f t="shared" si="1"/>
        <v>7041772.5700000003</v>
      </c>
      <c r="H18" s="216">
        <v>0</v>
      </c>
      <c r="I18" s="217">
        <f t="shared" si="2"/>
        <v>7041772.5700000003</v>
      </c>
      <c r="J18" s="323">
        <f t="shared" si="3"/>
        <v>0</v>
      </c>
      <c r="K18" s="323"/>
      <c r="L18" s="329">
        <v>0</v>
      </c>
      <c r="M18" s="218">
        <f t="shared" si="4"/>
        <v>0</v>
      </c>
      <c r="N18" s="323">
        <f t="shared" si="5"/>
        <v>0</v>
      </c>
      <c r="O18" s="221">
        <v>1</v>
      </c>
    </row>
    <row r="19" spans="1:15" x14ac:dyDescent="0.2">
      <c r="A19" s="219" t="s">
        <v>683</v>
      </c>
      <c r="B19" s="214">
        <v>451</v>
      </c>
      <c r="C19" s="220" t="s">
        <v>684</v>
      </c>
      <c r="D19" s="215" t="s">
        <v>685</v>
      </c>
      <c r="E19" s="327">
        <v>6653676.9100000001</v>
      </c>
      <c r="F19" s="323" t="str">
        <f>$J$2</f>
        <v>GRSM</v>
      </c>
      <c r="G19" s="323">
        <f t="shared" si="1"/>
        <v>0</v>
      </c>
      <c r="H19" s="216">
        <v>0</v>
      </c>
      <c r="I19" s="217">
        <f t="shared" si="2"/>
        <v>0</v>
      </c>
      <c r="J19" s="323">
        <f t="shared" si="3"/>
        <v>6653676.9100000001</v>
      </c>
      <c r="K19" s="362" t="s">
        <v>686</v>
      </c>
      <c r="L19" s="329">
        <f>428732.49+487350.14+248577.98</f>
        <v>1164660.6100000001</v>
      </c>
      <c r="M19" s="218">
        <f>J19-L19</f>
        <v>5489016.2999999998</v>
      </c>
      <c r="N19" s="323">
        <f t="shared" si="5"/>
        <v>0</v>
      </c>
      <c r="O19" s="221">
        <v>2</v>
      </c>
    </row>
    <row r="20" spans="1:15" x14ac:dyDescent="0.2">
      <c r="A20" s="219" t="s">
        <v>687</v>
      </c>
      <c r="B20" s="214">
        <v>451</v>
      </c>
      <c r="C20" s="220" t="s">
        <v>688</v>
      </c>
      <c r="D20" s="215" t="s">
        <v>689</v>
      </c>
      <c r="E20" s="327">
        <v>228326.58</v>
      </c>
      <c r="F20" s="323" t="str">
        <f>$N$2</f>
        <v>Other Ratemaking</v>
      </c>
      <c r="G20" s="323">
        <f t="shared" si="1"/>
        <v>0</v>
      </c>
      <c r="H20" s="216">
        <v>0</v>
      </c>
      <c r="I20" s="217">
        <f t="shared" si="2"/>
        <v>0</v>
      </c>
      <c r="J20" s="323">
        <f t="shared" si="3"/>
        <v>0</v>
      </c>
      <c r="K20" s="323"/>
      <c r="L20" s="329">
        <v>0</v>
      </c>
      <c r="M20" s="218">
        <f>J20-L20</f>
        <v>0</v>
      </c>
      <c r="N20" s="323">
        <f t="shared" si="5"/>
        <v>228326.58</v>
      </c>
      <c r="O20" s="221">
        <v>6</v>
      </c>
    </row>
    <row r="21" spans="1:15" x14ac:dyDescent="0.2">
      <c r="A21" s="357"/>
      <c r="B21" s="353"/>
      <c r="C21" s="352"/>
      <c r="D21" s="354"/>
      <c r="E21" s="327"/>
      <c r="F21" s="327"/>
      <c r="G21" s="331"/>
      <c r="H21" s="328"/>
      <c r="I21" s="329"/>
      <c r="J21" s="327"/>
      <c r="K21" s="327"/>
      <c r="L21" s="329"/>
      <c r="M21" s="329"/>
      <c r="N21" s="327"/>
      <c r="O21" s="328"/>
    </row>
    <row r="22" spans="1:15" x14ac:dyDescent="0.2">
      <c r="A22" s="357"/>
      <c r="B22" s="353"/>
      <c r="C22" s="352"/>
      <c r="D22" s="354"/>
      <c r="E22" s="327"/>
      <c r="F22" s="327"/>
      <c r="G22" s="331"/>
      <c r="H22" s="328"/>
      <c r="I22" s="329"/>
      <c r="J22" s="327"/>
      <c r="K22" s="327"/>
      <c r="L22" s="329"/>
      <c r="M22" s="329"/>
      <c r="N22" s="327"/>
      <c r="O22" s="328"/>
    </row>
    <row r="23" spans="1:15" x14ac:dyDescent="0.2">
      <c r="A23" s="219">
        <v>5</v>
      </c>
      <c r="B23" s="1231" t="s">
        <v>690</v>
      </c>
      <c r="C23" s="1229"/>
      <c r="D23" s="1230"/>
      <c r="E23" s="320">
        <f>SUM(E12:E22)</f>
        <v>40414900.480000004</v>
      </c>
      <c r="F23" s="345"/>
      <c r="G23" s="320">
        <f>SUM(G12:G22)</f>
        <v>33532896.990000002</v>
      </c>
      <c r="H23" s="207">
        <f>SUM(H12:H22)</f>
        <v>0</v>
      </c>
      <c r="I23" s="336">
        <f>SUM(I12:I22)</f>
        <v>33532896.990000002</v>
      </c>
      <c r="J23" s="320">
        <f>SUM(J12:J22)</f>
        <v>6653676.9100000001</v>
      </c>
      <c r="K23" s="345"/>
      <c r="L23" s="320">
        <f>SUM(L12:L22)</f>
        <v>1164660.6100000001</v>
      </c>
      <c r="M23" s="320">
        <f>SUM(M12:M22)</f>
        <v>5489016.2999999998</v>
      </c>
      <c r="N23" s="320">
        <f>SUM(N12:N22)</f>
        <v>228326.58</v>
      </c>
      <c r="O23" s="221"/>
    </row>
    <row r="24" spans="1:15" ht="25.5" customHeight="1" x14ac:dyDescent="0.2">
      <c r="A24" s="219">
        <v>6</v>
      </c>
      <c r="B24" s="1223" t="s">
        <v>1534</v>
      </c>
      <c r="C24" s="1224"/>
      <c r="D24" s="1225"/>
      <c r="E24" s="333">
        <v>40414900</v>
      </c>
      <c r="F24" s="335"/>
      <c r="G24" s="321"/>
      <c r="H24" s="226"/>
      <c r="I24" s="226"/>
      <c r="J24" s="321"/>
      <c r="K24" s="335"/>
      <c r="L24" s="321"/>
      <c r="M24" s="321"/>
      <c r="N24" s="321"/>
    </row>
    <row r="25" spans="1:15" x14ac:dyDescent="0.2">
      <c r="A25" s="228"/>
      <c r="B25" s="223"/>
      <c r="C25" s="224"/>
      <c r="D25" s="225"/>
      <c r="E25" s="321"/>
      <c r="F25" s="321"/>
      <c r="G25" s="321"/>
      <c r="H25" s="226"/>
      <c r="I25" s="226"/>
      <c r="J25" s="321"/>
      <c r="K25" s="335"/>
      <c r="L25" s="321"/>
      <c r="M25" s="321"/>
      <c r="N25" s="321"/>
    </row>
    <row r="26" spans="1:15" x14ac:dyDescent="0.2">
      <c r="A26" s="219" t="s">
        <v>691</v>
      </c>
      <c r="B26" s="214">
        <v>453</v>
      </c>
      <c r="C26" s="220" t="s">
        <v>694</v>
      </c>
      <c r="D26" s="215" t="s">
        <v>695</v>
      </c>
      <c r="E26" s="327">
        <v>61900</v>
      </c>
      <c r="F26" s="323" t="str">
        <f>$G$2</f>
        <v>Traditional OOR</v>
      </c>
      <c r="G26" s="323">
        <f>IF(F26=$G$2,E26,0)</f>
        <v>61900</v>
      </c>
      <c r="H26" s="216">
        <v>0</v>
      </c>
      <c r="I26" s="217">
        <f>G26-H26</f>
        <v>61900</v>
      </c>
      <c r="J26" s="323">
        <f>IF(F26=$J$2,E26,0)</f>
        <v>0</v>
      </c>
      <c r="K26" s="323"/>
      <c r="L26" s="329">
        <v>0</v>
      </c>
      <c r="M26" s="218">
        <f>J26-L26</f>
        <v>0</v>
      </c>
      <c r="N26" s="323">
        <f>IF(F26=$N$2,E26,0)</f>
        <v>0</v>
      </c>
      <c r="O26" s="221">
        <v>3</v>
      </c>
    </row>
    <row r="27" spans="1:15" x14ac:dyDescent="0.2">
      <c r="A27" s="219" t="s">
        <v>692</v>
      </c>
      <c r="B27" s="214">
        <v>453</v>
      </c>
      <c r="C27" s="220" t="s">
        <v>696</v>
      </c>
      <c r="D27" s="215" t="s">
        <v>697</v>
      </c>
      <c r="E27" s="327">
        <v>417456</v>
      </c>
      <c r="F27" s="323" t="str">
        <f>$G$2</f>
        <v>Traditional OOR</v>
      </c>
      <c r="G27" s="323">
        <f>IF(F27=$G$2,E27,0)</f>
        <v>417456</v>
      </c>
      <c r="H27" s="216">
        <v>0</v>
      </c>
      <c r="I27" s="217">
        <f>G27-H27</f>
        <v>417456</v>
      </c>
      <c r="J27" s="323">
        <f>IF(F27=$J$2,E27,0)</f>
        <v>0</v>
      </c>
      <c r="K27" s="323"/>
      <c r="L27" s="329">
        <v>0</v>
      </c>
      <c r="M27" s="218">
        <f>J27-L27</f>
        <v>0</v>
      </c>
      <c r="N27" s="323">
        <f>IF(F27=$N$2,E27,0)</f>
        <v>0</v>
      </c>
      <c r="O27" s="221">
        <v>3</v>
      </c>
    </row>
    <row r="28" spans="1:15" x14ac:dyDescent="0.2">
      <c r="A28" s="219" t="s">
        <v>693</v>
      </c>
      <c r="B28" s="214">
        <v>453</v>
      </c>
      <c r="C28" s="219" t="s">
        <v>1727</v>
      </c>
      <c r="D28" s="215" t="s">
        <v>1726</v>
      </c>
      <c r="E28" s="327">
        <v>175.33</v>
      </c>
      <c r="F28" s="323" t="str">
        <f>$G$2</f>
        <v>Traditional OOR</v>
      </c>
      <c r="G28" s="323">
        <f>IF(F28=$G$2,E28,0)</f>
        <v>175.33</v>
      </c>
      <c r="H28" s="216">
        <v>0</v>
      </c>
      <c r="I28" s="217">
        <f>G28-H28</f>
        <v>175.33</v>
      </c>
      <c r="J28" s="323">
        <f>IF(F28=$J$2,E28,0)</f>
        <v>0</v>
      </c>
      <c r="K28" s="323"/>
      <c r="L28" s="329">
        <v>0</v>
      </c>
      <c r="M28" s="218">
        <f>J28-L28</f>
        <v>0</v>
      </c>
      <c r="N28" s="323">
        <f>IF(F28=$N$2,E28,0)</f>
        <v>0</v>
      </c>
      <c r="O28" s="221">
        <v>3</v>
      </c>
    </row>
    <row r="29" spans="1:15" x14ac:dyDescent="0.2">
      <c r="A29" s="357"/>
      <c r="B29" s="353"/>
      <c r="C29" s="352"/>
      <c r="D29" s="354"/>
      <c r="E29" s="327"/>
      <c r="F29" s="327"/>
      <c r="G29" s="331"/>
      <c r="H29" s="328"/>
      <c r="I29" s="329"/>
      <c r="J29" s="327"/>
      <c r="K29" s="327"/>
      <c r="L29" s="329"/>
      <c r="M29" s="329"/>
      <c r="N29" s="327"/>
      <c r="O29" s="328"/>
    </row>
    <row r="30" spans="1:15" x14ac:dyDescent="0.2">
      <c r="A30" s="357"/>
      <c r="B30" s="353"/>
      <c r="C30" s="352"/>
      <c r="D30" s="354"/>
      <c r="E30" s="327"/>
      <c r="F30" s="327"/>
      <c r="G30" s="331"/>
      <c r="H30" s="328"/>
      <c r="I30" s="329"/>
      <c r="J30" s="327"/>
      <c r="K30" s="327"/>
      <c r="L30" s="329"/>
      <c r="M30" s="329"/>
      <c r="N30" s="327"/>
      <c r="O30" s="328"/>
    </row>
    <row r="31" spans="1:15" x14ac:dyDescent="0.2">
      <c r="A31" s="219">
        <v>8</v>
      </c>
      <c r="B31" s="1231" t="s">
        <v>698</v>
      </c>
      <c r="C31" s="1229"/>
      <c r="D31" s="1230"/>
      <c r="E31" s="336">
        <f>SUM(E26:E30)</f>
        <v>479531.33</v>
      </c>
      <c r="F31" s="345"/>
      <c r="G31" s="336">
        <f>SUM(G26:G30)</f>
        <v>479531.33</v>
      </c>
      <c r="H31" s="207">
        <f>SUM(H26:H30)</f>
        <v>0</v>
      </c>
      <c r="I31" s="336">
        <f>SUM(I26:I30)</f>
        <v>479531.33</v>
      </c>
      <c r="J31" s="336">
        <f>SUM(J26:J30)</f>
        <v>0</v>
      </c>
      <c r="K31" s="345"/>
      <c r="L31" s="336">
        <f>SUM(L26:L30)</f>
        <v>0</v>
      </c>
      <c r="M31" s="336">
        <f>SUM(M26:M30)</f>
        <v>0</v>
      </c>
      <c r="N31" s="336">
        <f>SUM(N26:N30)</f>
        <v>0</v>
      </c>
      <c r="O31" s="207"/>
    </row>
    <row r="32" spans="1:15" ht="25.5" customHeight="1" x14ac:dyDescent="0.2">
      <c r="A32" s="219">
        <v>9</v>
      </c>
      <c r="B32" s="1226" t="s">
        <v>1535</v>
      </c>
      <c r="C32" s="1227"/>
      <c r="D32" s="1227"/>
      <c r="E32" s="348">
        <v>479531</v>
      </c>
      <c r="F32" s="335"/>
      <c r="G32" s="321"/>
      <c r="H32" s="226"/>
      <c r="I32" s="230"/>
      <c r="J32" s="321"/>
      <c r="K32" s="335"/>
      <c r="L32" s="321"/>
      <c r="M32" s="321"/>
      <c r="N32" s="321"/>
      <c r="O32" s="205"/>
    </row>
    <row r="33" spans="1:15" x14ac:dyDescent="0.2">
      <c r="A33" s="222"/>
      <c r="B33" s="223"/>
      <c r="C33" s="224"/>
      <c r="D33" s="225"/>
      <c r="E33" s="321"/>
      <c r="F33" s="321"/>
      <c r="G33" s="321"/>
      <c r="H33" s="226"/>
      <c r="I33" s="230"/>
      <c r="J33" s="321"/>
      <c r="K33" s="335"/>
      <c r="L33" s="321"/>
      <c r="M33" s="321"/>
      <c r="N33" s="321"/>
      <c r="O33" s="205"/>
    </row>
    <row r="34" spans="1:15" x14ac:dyDescent="0.2">
      <c r="A34" s="219" t="s">
        <v>699</v>
      </c>
      <c r="B34" s="214">
        <v>454</v>
      </c>
      <c r="C34" s="215" t="s">
        <v>703</v>
      </c>
      <c r="D34" s="215" t="s">
        <v>704</v>
      </c>
      <c r="E34" s="327">
        <v>273420.53999999998</v>
      </c>
      <c r="F34" s="323" t="str">
        <f t="shared" ref="F34:F39" si="6">$G$2</f>
        <v>Traditional OOR</v>
      </c>
      <c r="G34" s="323">
        <f>IF(F34=$G$2,E34,0)</f>
        <v>273420.53999999998</v>
      </c>
      <c r="H34" s="217">
        <v>0</v>
      </c>
      <c r="I34" s="217">
        <f t="shared" ref="I34:I44" si="7">G34-H34</f>
        <v>273420.53999999998</v>
      </c>
      <c r="J34" s="323">
        <f t="shared" ref="J34:J56" si="8">IF(F34=$J$2,E34,0)</f>
        <v>0</v>
      </c>
      <c r="K34" s="323"/>
      <c r="L34" s="329">
        <v>0</v>
      </c>
      <c r="M34" s="217">
        <f t="shared" ref="M34:M39" si="9">J34-L34</f>
        <v>0</v>
      </c>
      <c r="N34" s="323">
        <f t="shared" ref="N34:N56" si="10">IF(F34=$N$2,E34,0)</f>
        <v>0</v>
      </c>
      <c r="O34" s="216">
        <v>4</v>
      </c>
    </row>
    <row r="35" spans="1:15" x14ac:dyDescent="0.2">
      <c r="A35" s="219" t="s">
        <v>700</v>
      </c>
      <c r="B35" s="214">
        <v>454</v>
      </c>
      <c r="C35" s="220" t="s">
        <v>706</v>
      </c>
      <c r="D35" s="215" t="s">
        <v>707</v>
      </c>
      <c r="E35" s="327">
        <v>2201128.2200000002</v>
      </c>
      <c r="F35" s="323" t="str">
        <f t="shared" si="6"/>
        <v>Traditional OOR</v>
      </c>
      <c r="G35" s="323">
        <f t="shared" ref="G35:G56" si="11">IF(F35=$G$2,E35,0)</f>
        <v>2201128.2200000002</v>
      </c>
      <c r="H35" s="217">
        <v>0</v>
      </c>
      <c r="I35" s="217">
        <f t="shared" si="7"/>
        <v>2201128.2200000002</v>
      </c>
      <c r="J35" s="323">
        <f t="shared" si="8"/>
        <v>0</v>
      </c>
      <c r="K35" s="323"/>
      <c r="L35" s="329">
        <v>0</v>
      </c>
      <c r="M35" s="218">
        <f t="shared" si="9"/>
        <v>0</v>
      </c>
      <c r="N35" s="323">
        <f t="shared" si="10"/>
        <v>0</v>
      </c>
      <c r="O35" s="221">
        <v>4</v>
      </c>
    </row>
    <row r="36" spans="1:15" x14ac:dyDescent="0.2">
      <c r="A36" s="219" t="s">
        <v>701</v>
      </c>
      <c r="B36" s="214">
        <v>454</v>
      </c>
      <c r="C36" s="220" t="s">
        <v>709</v>
      </c>
      <c r="D36" s="215" t="s">
        <v>710</v>
      </c>
      <c r="E36" s="327">
        <v>601705.52</v>
      </c>
      <c r="F36" s="323" t="str">
        <f t="shared" si="6"/>
        <v>Traditional OOR</v>
      </c>
      <c r="G36" s="323">
        <f t="shared" si="11"/>
        <v>601705.52</v>
      </c>
      <c r="H36" s="217">
        <v>0</v>
      </c>
      <c r="I36" s="217">
        <f t="shared" si="7"/>
        <v>601705.52</v>
      </c>
      <c r="J36" s="323">
        <f t="shared" si="8"/>
        <v>0</v>
      </c>
      <c r="K36" s="323"/>
      <c r="L36" s="329">
        <v>0</v>
      </c>
      <c r="M36" s="218">
        <f t="shared" si="9"/>
        <v>0</v>
      </c>
      <c r="N36" s="323">
        <f t="shared" si="10"/>
        <v>0</v>
      </c>
      <c r="O36" s="221">
        <v>4</v>
      </c>
    </row>
    <row r="37" spans="1:15" x14ac:dyDescent="0.2">
      <c r="A37" s="219" t="s">
        <v>702</v>
      </c>
      <c r="B37" s="214">
        <v>454</v>
      </c>
      <c r="C37" s="220" t="s">
        <v>712</v>
      </c>
      <c r="D37" s="215" t="s">
        <v>713</v>
      </c>
      <c r="E37" s="327">
        <v>-9559.4699999999993</v>
      </c>
      <c r="F37" s="323" t="str">
        <f t="shared" si="6"/>
        <v>Traditional OOR</v>
      </c>
      <c r="G37" s="323">
        <f t="shared" si="11"/>
        <v>-9559.4699999999993</v>
      </c>
      <c r="H37" s="217">
        <v>0</v>
      </c>
      <c r="I37" s="217">
        <f t="shared" si="7"/>
        <v>-9559.4699999999993</v>
      </c>
      <c r="J37" s="323">
        <f t="shared" si="8"/>
        <v>0</v>
      </c>
      <c r="K37" s="323"/>
      <c r="L37" s="329">
        <v>0</v>
      </c>
      <c r="M37" s="218">
        <f t="shared" si="9"/>
        <v>0</v>
      </c>
      <c r="N37" s="323">
        <f t="shared" si="10"/>
        <v>0</v>
      </c>
      <c r="O37" s="221">
        <v>4</v>
      </c>
    </row>
    <row r="38" spans="1:15" x14ac:dyDescent="0.2">
      <c r="A38" s="219" t="s">
        <v>705</v>
      </c>
      <c r="B38" s="214">
        <v>454</v>
      </c>
      <c r="C38" s="220" t="s">
        <v>715</v>
      </c>
      <c r="D38" s="215" t="s">
        <v>716</v>
      </c>
      <c r="E38" s="327">
        <v>76224</v>
      </c>
      <c r="F38" s="323" t="str">
        <f t="shared" si="6"/>
        <v>Traditional OOR</v>
      </c>
      <c r="G38" s="323">
        <f t="shared" si="11"/>
        <v>76224</v>
      </c>
      <c r="H38" s="217">
        <v>0</v>
      </c>
      <c r="I38" s="217">
        <f t="shared" si="7"/>
        <v>76224</v>
      </c>
      <c r="J38" s="323">
        <f t="shared" si="8"/>
        <v>0</v>
      </c>
      <c r="K38" s="323"/>
      <c r="L38" s="329">
        <v>0</v>
      </c>
      <c r="M38" s="218">
        <f t="shared" si="9"/>
        <v>0</v>
      </c>
      <c r="N38" s="323">
        <f t="shared" si="10"/>
        <v>0</v>
      </c>
      <c r="O38" s="221">
        <v>4</v>
      </c>
    </row>
    <row r="39" spans="1:15" x14ac:dyDescent="0.2">
      <c r="A39" s="219" t="s">
        <v>708</v>
      </c>
      <c r="B39" s="214">
        <v>454</v>
      </c>
      <c r="C39" s="231">
        <v>4184120</v>
      </c>
      <c r="D39" s="215" t="s">
        <v>1724</v>
      </c>
      <c r="E39" s="327">
        <v>33706</v>
      </c>
      <c r="F39" s="323" t="str">
        <f t="shared" si="6"/>
        <v>Traditional OOR</v>
      </c>
      <c r="G39" s="323">
        <f>IF(F39=$G$2,E39,0)</f>
        <v>33706</v>
      </c>
      <c r="H39" s="217">
        <v>0</v>
      </c>
      <c r="I39" s="217">
        <f>G39-H39</f>
        <v>33706</v>
      </c>
      <c r="J39" s="323">
        <f t="shared" si="8"/>
        <v>0</v>
      </c>
      <c r="K39" s="323"/>
      <c r="L39" s="329">
        <v>0</v>
      </c>
      <c r="M39" s="218">
        <f t="shared" si="9"/>
        <v>0</v>
      </c>
      <c r="N39" s="323">
        <f t="shared" si="10"/>
        <v>0</v>
      </c>
      <c r="O39" s="221">
        <v>4</v>
      </c>
    </row>
    <row r="40" spans="1:15" x14ac:dyDescent="0.2">
      <c r="A40" s="219" t="s">
        <v>711</v>
      </c>
      <c r="B40" s="214">
        <v>454</v>
      </c>
      <c r="C40" s="220" t="s">
        <v>718</v>
      </c>
      <c r="D40" s="215" t="s">
        <v>719</v>
      </c>
      <c r="E40" s="327">
        <v>121019.22</v>
      </c>
      <c r="F40" s="323" t="str">
        <f>$J$2</f>
        <v>GRSM</v>
      </c>
      <c r="G40" s="323">
        <f t="shared" si="11"/>
        <v>0</v>
      </c>
      <c r="H40" s="217">
        <v>0</v>
      </c>
      <c r="I40" s="217">
        <f t="shared" si="7"/>
        <v>0</v>
      </c>
      <c r="J40" s="323">
        <f t="shared" si="8"/>
        <v>121019.22</v>
      </c>
      <c r="K40" s="362" t="s">
        <v>686</v>
      </c>
      <c r="L40" s="330">
        <v>18773.39</v>
      </c>
      <c r="M40" s="218">
        <f>J40-L40</f>
        <v>102245.83</v>
      </c>
      <c r="N40" s="323">
        <f t="shared" si="10"/>
        <v>0</v>
      </c>
      <c r="O40" s="221">
        <v>2</v>
      </c>
    </row>
    <row r="41" spans="1:15" x14ac:dyDescent="0.2">
      <c r="A41" s="219" t="s">
        <v>714</v>
      </c>
      <c r="B41" s="214">
        <v>454</v>
      </c>
      <c r="C41" s="220" t="s">
        <v>721</v>
      </c>
      <c r="D41" s="215" t="s">
        <v>722</v>
      </c>
      <c r="E41" s="327">
        <v>5920</v>
      </c>
      <c r="F41" s="323" t="str">
        <f>$J$2</f>
        <v>GRSM</v>
      </c>
      <c r="G41" s="323">
        <f t="shared" si="11"/>
        <v>0</v>
      </c>
      <c r="H41" s="217">
        <v>0</v>
      </c>
      <c r="I41" s="217">
        <f t="shared" si="7"/>
        <v>0</v>
      </c>
      <c r="J41" s="323">
        <f t="shared" si="8"/>
        <v>5920</v>
      </c>
      <c r="K41" s="362" t="s">
        <v>686</v>
      </c>
      <c r="L41" s="330">
        <v>5920</v>
      </c>
      <c r="M41" s="218">
        <f t="shared" ref="M41:M56" si="12">J41-L41</f>
        <v>0</v>
      </c>
      <c r="N41" s="323">
        <f t="shared" si="10"/>
        <v>0</v>
      </c>
      <c r="O41" s="221">
        <v>2</v>
      </c>
    </row>
    <row r="42" spans="1:15" x14ac:dyDescent="0.2">
      <c r="A42" s="219" t="s">
        <v>717</v>
      </c>
      <c r="B42" s="214">
        <v>454</v>
      </c>
      <c r="C42" s="220" t="s">
        <v>724</v>
      </c>
      <c r="D42" s="215" t="s">
        <v>725</v>
      </c>
      <c r="E42" s="327">
        <v>1392</v>
      </c>
      <c r="F42" s="323" t="str">
        <f>$J$2</f>
        <v>GRSM</v>
      </c>
      <c r="G42" s="323">
        <f t="shared" si="11"/>
        <v>0</v>
      </c>
      <c r="H42" s="217">
        <v>0</v>
      </c>
      <c r="I42" s="217">
        <f t="shared" si="7"/>
        <v>0</v>
      </c>
      <c r="J42" s="323">
        <f t="shared" si="8"/>
        <v>1392</v>
      </c>
      <c r="K42" s="362" t="s">
        <v>686</v>
      </c>
      <c r="L42" s="330">
        <v>855.54</v>
      </c>
      <c r="M42" s="218">
        <f t="shared" si="12"/>
        <v>536.46</v>
      </c>
      <c r="N42" s="323">
        <f t="shared" si="10"/>
        <v>0</v>
      </c>
      <c r="O42" s="221">
        <v>2</v>
      </c>
    </row>
    <row r="43" spans="1:15" x14ac:dyDescent="0.2">
      <c r="A43" s="219" t="s">
        <v>720</v>
      </c>
      <c r="B43" s="214">
        <v>454</v>
      </c>
      <c r="C43" s="231" t="s">
        <v>727</v>
      </c>
      <c r="D43" s="215" t="s">
        <v>728</v>
      </c>
      <c r="E43" s="327">
        <v>36017.519999999997</v>
      </c>
      <c r="F43" s="323" t="str">
        <f>$J$2</f>
        <v>GRSM</v>
      </c>
      <c r="G43" s="323">
        <f t="shared" si="11"/>
        <v>0</v>
      </c>
      <c r="H43" s="217">
        <v>0</v>
      </c>
      <c r="I43" s="217">
        <f t="shared" si="7"/>
        <v>0</v>
      </c>
      <c r="J43" s="323">
        <f t="shared" si="8"/>
        <v>36017.519999999997</v>
      </c>
      <c r="K43" s="362" t="s">
        <v>686</v>
      </c>
      <c r="L43" s="330">
        <v>6712.8</v>
      </c>
      <c r="M43" s="218">
        <f t="shared" si="12"/>
        <v>29304.719999999998</v>
      </c>
      <c r="N43" s="323">
        <f t="shared" si="10"/>
        <v>0</v>
      </c>
      <c r="O43" s="216">
        <v>2</v>
      </c>
    </row>
    <row r="44" spans="1:15" x14ac:dyDescent="0.2">
      <c r="A44" s="219" t="s">
        <v>723</v>
      </c>
      <c r="B44" s="214">
        <v>454</v>
      </c>
      <c r="C44" s="215" t="s">
        <v>730</v>
      </c>
      <c r="D44" s="215" t="s">
        <v>1531</v>
      </c>
      <c r="E44" s="327">
        <v>1557828.96</v>
      </c>
      <c r="F44" s="323" t="str">
        <f>$G$2</f>
        <v>Traditional OOR</v>
      </c>
      <c r="G44" s="323">
        <f t="shared" si="11"/>
        <v>1557828.96</v>
      </c>
      <c r="H44" s="217">
        <v>0</v>
      </c>
      <c r="I44" s="217">
        <f t="shared" si="7"/>
        <v>1557828.96</v>
      </c>
      <c r="J44" s="323">
        <f t="shared" si="8"/>
        <v>0</v>
      </c>
      <c r="K44" s="323"/>
      <c r="L44" s="329">
        <v>0</v>
      </c>
      <c r="M44" s="218">
        <f t="shared" si="12"/>
        <v>0</v>
      </c>
      <c r="N44" s="323">
        <f t="shared" si="10"/>
        <v>0</v>
      </c>
      <c r="O44" s="216">
        <v>4</v>
      </c>
    </row>
    <row r="45" spans="1:15" x14ac:dyDescent="0.2">
      <c r="A45" s="219" t="s">
        <v>726</v>
      </c>
      <c r="B45" s="214">
        <v>454</v>
      </c>
      <c r="C45" s="220" t="s">
        <v>732</v>
      </c>
      <c r="D45" s="215" t="s">
        <v>733</v>
      </c>
      <c r="E45" s="327">
        <v>1489069.86</v>
      </c>
      <c r="F45" s="323" t="str">
        <f>$N$2</f>
        <v>Other Ratemaking</v>
      </c>
      <c r="G45" s="323">
        <f>I45+H45</f>
        <v>68631.229847399998</v>
      </c>
      <c r="H45" s="217">
        <f>E45*$D$224</f>
        <v>68631.229847399998</v>
      </c>
      <c r="I45" s="217">
        <v>0</v>
      </c>
      <c r="J45" s="323">
        <f t="shared" si="8"/>
        <v>0</v>
      </c>
      <c r="K45" s="323"/>
      <c r="L45" s="329">
        <v>0</v>
      </c>
      <c r="M45" s="218">
        <f t="shared" si="12"/>
        <v>0</v>
      </c>
      <c r="N45" s="323">
        <f>IF(F45=$N$2,E45-H45,0)</f>
        <v>1420438.6301526001</v>
      </c>
      <c r="O45" s="221" t="s">
        <v>734</v>
      </c>
    </row>
    <row r="46" spans="1:15" x14ac:dyDescent="0.2">
      <c r="A46" s="219" t="s">
        <v>729</v>
      </c>
      <c r="B46" s="214">
        <v>454</v>
      </c>
      <c r="C46" s="220" t="s">
        <v>736</v>
      </c>
      <c r="D46" s="215" t="s">
        <v>737</v>
      </c>
      <c r="E46" s="327">
        <v>1251.3399999999999</v>
      </c>
      <c r="F46" s="323" t="str">
        <f>$G$2</f>
        <v>Traditional OOR</v>
      </c>
      <c r="G46" s="323">
        <f t="shared" si="11"/>
        <v>1251.3399999999999</v>
      </c>
      <c r="H46" s="217">
        <f>E46*$D$224</f>
        <v>57.674260599999997</v>
      </c>
      <c r="I46" s="217">
        <f>G46-H46</f>
        <v>1193.6657393999999</v>
      </c>
      <c r="J46" s="323">
        <f t="shared" si="8"/>
        <v>0</v>
      </c>
      <c r="K46" s="323"/>
      <c r="L46" s="329">
        <v>0</v>
      </c>
      <c r="M46" s="218">
        <f t="shared" si="12"/>
        <v>0</v>
      </c>
      <c r="N46" s="323">
        <f t="shared" si="10"/>
        <v>0</v>
      </c>
      <c r="O46" s="221">
        <v>7</v>
      </c>
    </row>
    <row r="47" spans="1:15" x14ac:dyDescent="0.2">
      <c r="A47" s="219" t="s">
        <v>731</v>
      </c>
      <c r="B47" s="214">
        <v>454</v>
      </c>
      <c r="C47" s="215" t="s">
        <v>739</v>
      </c>
      <c r="D47" s="215" t="s">
        <v>740</v>
      </c>
      <c r="E47" s="327">
        <v>1363342.89</v>
      </c>
      <c r="F47" s="323" t="str">
        <f>$N$2</f>
        <v>Other Ratemaking</v>
      </c>
      <c r="G47" s="323">
        <f>I47+H47</f>
        <v>62836.473800099993</v>
      </c>
      <c r="H47" s="217">
        <f>E47*$D$224</f>
        <v>62836.473800099993</v>
      </c>
      <c r="I47" s="217">
        <v>0</v>
      </c>
      <c r="J47" s="323">
        <f t="shared" si="8"/>
        <v>0</v>
      </c>
      <c r="K47" s="323"/>
      <c r="L47" s="329">
        <v>0</v>
      </c>
      <c r="M47" s="217">
        <f t="shared" si="12"/>
        <v>0</v>
      </c>
      <c r="N47" s="323">
        <f>IF(F47=$N$2,E47-H47,0)</f>
        <v>1300506.4161999</v>
      </c>
      <c r="O47" s="216" t="s">
        <v>734</v>
      </c>
    </row>
    <row r="48" spans="1:15" x14ac:dyDescent="0.2">
      <c r="A48" s="219" t="s">
        <v>735</v>
      </c>
      <c r="B48" s="214">
        <v>454</v>
      </c>
      <c r="C48" s="220" t="s">
        <v>742</v>
      </c>
      <c r="D48" s="215" t="s">
        <v>743</v>
      </c>
      <c r="E48" s="327">
        <v>1061.6400000000001</v>
      </c>
      <c r="F48" s="323" t="str">
        <f t="shared" ref="F48:F53" si="13">$G$2</f>
        <v>Traditional OOR</v>
      </c>
      <c r="G48" s="323">
        <f t="shared" si="11"/>
        <v>1061.6400000000001</v>
      </c>
      <c r="H48" s="217">
        <f>E48*$D$218</f>
        <v>48.930987600000002</v>
      </c>
      <c r="I48" s="217">
        <f t="shared" ref="I48:I56" si="14">G48-H48</f>
        <v>1012.7090124000001</v>
      </c>
      <c r="J48" s="323">
        <f t="shared" si="8"/>
        <v>0</v>
      </c>
      <c r="K48" s="323"/>
      <c r="L48" s="329">
        <v>0</v>
      </c>
      <c r="M48" s="218">
        <f t="shared" si="12"/>
        <v>0</v>
      </c>
      <c r="N48" s="323">
        <f t="shared" si="10"/>
        <v>0</v>
      </c>
      <c r="O48" s="221">
        <v>7</v>
      </c>
    </row>
    <row r="49" spans="1:15" x14ac:dyDescent="0.2">
      <c r="A49" s="219" t="s">
        <v>738</v>
      </c>
      <c r="B49" s="214">
        <v>454</v>
      </c>
      <c r="C49" s="220" t="s">
        <v>745</v>
      </c>
      <c r="D49" s="215" t="s">
        <v>746</v>
      </c>
      <c r="E49" s="327">
        <v>5712</v>
      </c>
      <c r="F49" s="323" t="str">
        <f t="shared" si="13"/>
        <v>Traditional OOR</v>
      </c>
      <c r="G49" s="323">
        <f t="shared" si="11"/>
        <v>5712</v>
      </c>
      <c r="H49" s="217">
        <v>0</v>
      </c>
      <c r="I49" s="217">
        <f t="shared" si="14"/>
        <v>5712</v>
      </c>
      <c r="J49" s="323">
        <f t="shared" si="8"/>
        <v>0</v>
      </c>
      <c r="K49" s="323"/>
      <c r="L49" s="329">
        <v>0</v>
      </c>
      <c r="M49" s="218">
        <f t="shared" si="12"/>
        <v>0</v>
      </c>
      <c r="N49" s="323">
        <f t="shared" si="10"/>
        <v>0</v>
      </c>
      <c r="O49" s="221">
        <v>1</v>
      </c>
    </row>
    <row r="50" spans="1:15" x14ac:dyDescent="0.2">
      <c r="A50" s="219" t="s">
        <v>741</v>
      </c>
      <c r="B50" s="214">
        <v>454</v>
      </c>
      <c r="C50" s="220" t="s">
        <v>748</v>
      </c>
      <c r="D50" s="215" t="s">
        <v>749</v>
      </c>
      <c r="E50" s="327">
        <v>10623418.939999999</v>
      </c>
      <c r="F50" s="323" t="str">
        <f t="shared" si="13"/>
        <v>Traditional OOR</v>
      </c>
      <c r="G50" s="323">
        <f t="shared" si="11"/>
        <v>10623418.939999999</v>
      </c>
      <c r="H50" s="217">
        <v>0</v>
      </c>
      <c r="I50" s="217">
        <f t="shared" si="14"/>
        <v>10623418.939999999</v>
      </c>
      <c r="J50" s="323">
        <f t="shared" si="8"/>
        <v>0</v>
      </c>
      <c r="K50" s="323"/>
      <c r="L50" s="329">
        <v>0</v>
      </c>
      <c r="M50" s="218">
        <f t="shared" si="12"/>
        <v>0</v>
      </c>
      <c r="N50" s="323">
        <f t="shared" si="10"/>
        <v>0</v>
      </c>
      <c r="O50" s="221">
        <v>4</v>
      </c>
    </row>
    <row r="51" spans="1:15" x14ac:dyDescent="0.2">
      <c r="A51" s="219" t="s">
        <v>744</v>
      </c>
      <c r="B51" s="214">
        <v>454</v>
      </c>
      <c r="C51" s="220" t="s">
        <v>751</v>
      </c>
      <c r="D51" s="215" t="s">
        <v>752</v>
      </c>
      <c r="E51" s="327">
        <v>734289.42</v>
      </c>
      <c r="F51" s="323" t="str">
        <f t="shared" si="13"/>
        <v>Traditional OOR</v>
      </c>
      <c r="G51" s="323">
        <f t="shared" si="11"/>
        <v>734289.42</v>
      </c>
      <c r="H51" s="217">
        <v>0</v>
      </c>
      <c r="I51" s="217">
        <f>G51-H51</f>
        <v>734289.42</v>
      </c>
      <c r="J51" s="323">
        <f t="shared" si="8"/>
        <v>0</v>
      </c>
      <c r="K51" s="323"/>
      <c r="L51" s="329">
        <v>0</v>
      </c>
      <c r="M51" s="218">
        <f t="shared" si="12"/>
        <v>0</v>
      </c>
      <c r="N51" s="323">
        <f t="shared" si="10"/>
        <v>0</v>
      </c>
      <c r="O51" s="221">
        <v>4</v>
      </c>
    </row>
    <row r="52" spans="1:15" x14ac:dyDescent="0.2">
      <c r="A52" s="219" t="s">
        <v>747</v>
      </c>
      <c r="B52" s="214">
        <v>454</v>
      </c>
      <c r="C52" s="220" t="s">
        <v>754</v>
      </c>
      <c r="D52" s="215" t="s">
        <v>755</v>
      </c>
      <c r="E52" s="327">
        <v>22132084.93</v>
      </c>
      <c r="F52" s="323" t="str">
        <f t="shared" si="13"/>
        <v>Traditional OOR</v>
      </c>
      <c r="G52" s="323">
        <f t="shared" si="11"/>
        <v>22132084.93</v>
      </c>
      <c r="H52" s="217">
        <v>0</v>
      </c>
      <c r="I52" s="217">
        <f t="shared" si="14"/>
        <v>22132084.93</v>
      </c>
      <c r="J52" s="323">
        <f t="shared" si="8"/>
        <v>0</v>
      </c>
      <c r="K52" s="323"/>
      <c r="L52" s="329">
        <v>0</v>
      </c>
      <c r="M52" s="218">
        <f t="shared" si="12"/>
        <v>0</v>
      </c>
      <c r="N52" s="323">
        <f t="shared" si="10"/>
        <v>0</v>
      </c>
      <c r="O52" s="221">
        <v>4</v>
      </c>
    </row>
    <row r="53" spans="1:15" x14ac:dyDescent="0.2">
      <c r="A53" s="219" t="s">
        <v>750</v>
      </c>
      <c r="B53" s="214">
        <v>454</v>
      </c>
      <c r="C53" s="220" t="s">
        <v>757</v>
      </c>
      <c r="D53" s="215" t="s">
        <v>758</v>
      </c>
      <c r="E53" s="327">
        <v>14328398.359999999</v>
      </c>
      <c r="F53" s="323" t="str">
        <f t="shared" si="13"/>
        <v>Traditional OOR</v>
      </c>
      <c r="G53" s="323">
        <f t="shared" si="11"/>
        <v>14328398.359999999</v>
      </c>
      <c r="H53" s="1145">
        <v>2118385.7999999998</v>
      </c>
      <c r="I53" s="217">
        <f>G53-H53</f>
        <v>12210012.559999999</v>
      </c>
      <c r="J53" s="323">
        <f t="shared" si="8"/>
        <v>0</v>
      </c>
      <c r="K53" s="323"/>
      <c r="L53" s="329">
        <v>0</v>
      </c>
      <c r="M53" s="218">
        <f t="shared" si="12"/>
        <v>0</v>
      </c>
      <c r="N53" s="323">
        <f t="shared" si="10"/>
        <v>0</v>
      </c>
      <c r="O53" s="221">
        <v>8</v>
      </c>
    </row>
    <row r="54" spans="1:15" x14ac:dyDescent="0.2">
      <c r="A54" s="219" t="s">
        <v>753</v>
      </c>
      <c r="B54" s="214">
        <v>454</v>
      </c>
      <c r="C54" s="215" t="s">
        <v>760</v>
      </c>
      <c r="D54" s="215" t="s">
        <v>761</v>
      </c>
      <c r="E54" s="730">
        <v>16350910.289999999</v>
      </c>
      <c r="F54" s="323" t="str">
        <f>$J$2</f>
        <v>GRSM</v>
      </c>
      <c r="G54" s="323">
        <f t="shared" si="11"/>
        <v>0</v>
      </c>
      <c r="H54" s="217">
        <v>0</v>
      </c>
      <c r="I54" s="217">
        <f t="shared" si="14"/>
        <v>0</v>
      </c>
      <c r="J54" s="323">
        <f t="shared" si="8"/>
        <v>16350910.289999999</v>
      </c>
      <c r="K54" s="362" t="s">
        <v>686</v>
      </c>
      <c r="L54" s="330">
        <v>2883931.36</v>
      </c>
      <c r="M54" s="218">
        <f t="shared" si="12"/>
        <v>13466978.93</v>
      </c>
      <c r="N54" s="323">
        <f t="shared" si="10"/>
        <v>0</v>
      </c>
      <c r="O54" s="216">
        <v>2</v>
      </c>
    </row>
    <row r="55" spans="1:15" x14ac:dyDescent="0.2">
      <c r="A55" s="219" t="s">
        <v>756</v>
      </c>
      <c r="B55" s="214">
        <v>454</v>
      </c>
      <c r="C55" s="220" t="s">
        <v>762</v>
      </c>
      <c r="D55" s="215" t="s">
        <v>763</v>
      </c>
      <c r="E55" s="327">
        <v>344218.1</v>
      </c>
      <c r="F55" s="323" t="str">
        <f>$G$2</f>
        <v>Traditional OOR</v>
      </c>
      <c r="G55" s="323">
        <f t="shared" si="11"/>
        <v>344218.1</v>
      </c>
      <c r="H55" s="217">
        <v>0</v>
      </c>
      <c r="I55" s="217">
        <f t="shared" si="14"/>
        <v>344218.1</v>
      </c>
      <c r="J55" s="323">
        <f t="shared" si="8"/>
        <v>0</v>
      </c>
      <c r="K55" s="323"/>
      <c r="L55" s="329">
        <v>0</v>
      </c>
      <c r="M55" s="218">
        <f t="shared" si="12"/>
        <v>0</v>
      </c>
      <c r="N55" s="323">
        <f t="shared" si="10"/>
        <v>0</v>
      </c>
      <c r="O55" s="216">
        <v>4</v>
      </c>
    </row>
    <row r="56" spans="1:15" x14ac:dyDescent="0.2">
      <c r="A56" s="219" t="s">
        <v>759</v>
      </c>
      <c r="B56" s="214">
        <v>454</v>
      </c>
      <c r="C56" s="213" t="s">
        <v>1727</v>
      </c>
      <c r="D56" s="215" t="s">
        <v>1726</v>
      </c>
      <c r="E56" s="327">
        <v>-12043.53</v>
      </c>
      <c r="F56" s="323" t="str">
        <f>$G$2</f>
        <v>Traditional OOR</v>
      </c>
      <c r="G56" s="323">
        <f t="shared" si="11"/>
        <v>-12043.53</v>
      </c>
      <c r="H56" s="217">
        <v>0</v>
      </c>
      <c r="I56" s="217">
        <f t="shared" si="14"/>
        <v>-12043.53</v>
      </c>
      <c r="J56" s="323">
        <f t="shared" si="8"/>
        <v>0</v>
      </c>
      <c r="K56" s="323"/>
      <c r="L56" s="329">
        <v>0</v>
      </c>
      <c r="M56" s="218">
        <f t="shared" si="12"/>
        <v>0</v>
      </c>
      <c r="N56" s="323">
        <f t="shared" si="10"/>
        <v>0</v>
      </c>
      <c r="O56" s="216">
        <v>1</v>
      </c>
    </row>
    <row r="57" spans="1:15" x14ac:dyDescent="0.2">
      <c r="A57" s="357"/>
      <c r="B57" s="353"/>
      <c r="C57" s="352"/>
      <c r="D57" s="354"/>
      <c r="E57" s="327"/>
      <c r="F57" s="327"/>
      <c r="G57" s="331"/>
      <c r="H57" s="329"/>
      <c r="I57" s="329"/>
      <c r="J57" s="327"/>
      <c r="K57" s="327"/>
      <c r="L57" s="329"/>
      <c r="M57" s="329"/>
      <c r="N57" s="327"/>
      <c r="O57" s="328"/>
    </row>
    <row r="58" spans="1:15" x14ac:dyDescent="0.2">
      <c r="A58" s="357"/>
      <c r="B58" s="353"/>
      <c r="C58" s="352"/>
      <c r="D58" s="354"/>
      <c r="E58" s="327"/>
      <c r="F58" s="327"/>
      <c r="G58" s="331"/>
      <c r="H58" s="329"/>
      <c r="I58" s="329"/>
      <c r="J58" s="327"/>
      <c r="K58" s="327"/>
      <c r="L58" s="329"/>
      <c r="M58" s="329"/>
      <c r="N58" s="327"/>
      <c r="O58" s="328"/>
    </row>
    <row r="59" spans="1:15" x14ac:dyDescent="0.2">
      <c r="A59" s="219">
        <v>11</v>
      </c>
      <c r="B59" s="1231" t="s">
        <v>764</v>
      </c>
      <c r="C59" s="1229"/>
      <c r="D59" s="1230"/>
      <c r="E59" s="320">
        <f>SUM(E34:E58)</f>
        <v>72260516.75</v>
      </c>
      <c r="F59" s="345"/>
      <c r="G59" s="320">
        <f>SUM(G34:G58)</f>
        <v>53024312.673647501</v>
      </c>
      <c r="H59" s="336">
        <f>SUM(H34:H58)</f>
        <v>2249960.1088957</v>
      </c>
      <c r="I59" s="336">
        <f>SUM(I34:I58)</f>
        <v>50774352.564751796</v>
      </c>
      <c r="J59" s="320">
        <f>SUM(J34:J58)</f>
        <v>16515259.029999999</v>
      </c>
      <c r="K59" s="345"/>
      <c r="L59" s="320">
        <f>SUM(L34:L58)</f>
        <v>2916193.09</v>
      </c>
      <c r="M59" s="320">
        <f>SUM(M34:M58)</f>
        <v>13599065.939999999</v>
      </c>
      <c r="N59" s="320">
        <f>SUM(N34:N58)</f>
        <v>2720945.0463525001</v>
      </c>
      <c r="O59" s="206"/>
    </row>
    <row r="60" spans="1:15" ht="24.75" customHeight="1" x14ac:dyDescent="0.2">
      <c r="A60" s="219">
        <v>12</v>
      </c>
      <c r="B60" s="1223" t="s">
        <v>1536</v>
      </c>
      <c r="C60" s="1224"/>
      <c r="D60" s="1225"/>
      <c r="E60" s="333">
        <v>72260517</v>
      </c>
      <c r="F60" s="335"/>
      <c r="G60" s="351"/>
      <c r="H60" s="335"/>
      <c r="I60" s="335"/>
      <c r="J60" s="321"/>
      <c r="K60" s="335"/>
      <c r="L60" s="321"/>
      <c r="M60" s="321"/>
      <c r="N60" s="321"/>
      <c r="O60" s="205"/>
    </row>
    <row r="61" spans="1:15" x14ac:dyDescent="0.2">
      <c r="A61" s="222"/>
      <c r="B61" s="223"/>
      <c r="C61" s="224"/>
      <c r="D61" s="225"/>
      <c r="E61" s="321"/>
      <c r="F61" s="321"/>
      <c r="G61" s="321"/>
      <c r="H61" s="335"/>
      <c r="I61" s="335"/>
      <c r="J61" s="321"/>
      <c r="K61" s="335"/>
      <c r="L61" s="321"/>
      <c r="M61" s="321"/>
      <c r="N61" s="321"/>
      <c r="O61" s="205"/>
    </row>
    <row r="62" spans="1:15" x14ac:dyDescent="0.2">
      <c r="A62" s="219" t="s">
        <v>765</v>
      </c>
      <c r="B62" s="214">
        <v>456</v>
      </c>
      <c r="C62" s="220" t="s">
        <v>769</v>
      </c>
      <c r="D62" s="215" t="s">
        <v>770</v>
      </c>
      <c r="E62" s="327">
        <v>5810450.3799999999</v>
      </c>
      <c r="F62" s="323" t="str">
        <f t="shared" ref="F62:F70" si="15">$G$2</f>
        <v>Traditional OOR</v>
      </c>
      <c r="G62" s="323">
        <f t="shared" ref="G62:G115" si="16">IF(F62=$G$2,E62,0)</f>
        <v>5810450.3799999999</v>
      </c>
      <c r="H62" s="217">
        <v>0</v>
      </c>
      <c r="I62" s="217">
        <f t="shared" ref="I62:I115" si="17">G62-H62</f>
        <v>5810450.3799999999</v>
      </c>
      <c r="J62" s="323">
        <f t="shared" ref="J62:J115" si="18">IF(F62=$J$2,E62,0)</f>
        <v>0</v>
      </c>
      <c r="K62" s="323"/>
      <c r="L62" s="329">
        <v>0</v>
      </c>
      <c r="M62" s="218">
        <f t="shared" ref="M62:M113" si="19">J62-L62</f>
        <v>0</v>
      </c>
      <c r="N62" s="323">
        <f t="shared" ref="N62:N115" si="20">IF(F62=$N$2,E62,0)</f>
        <v>0</v>
      </c>
      <c r="O62" s="221">
        <v>1</v>
      </c>
    </row>
    <row r="63" spans="1:15" x14ac:dyDescent="0.2">
      <c r="A63" s="219" t="s">
        <v>766</v>
      </c>
      <c r="B63" s="214">
        <v>456</v>
      </c>
      <c r="C63" s="220" t="s">
        <v>771</v>
      </c>
      <c r="D63" s="215" t="s">
        <v>772</v>
      </c>
      <c r="E63" s="327">
        <v>1588965.39</v>
      </c>
      <c r="F63" s="323" t="str">
        <f t="shared" si="15"/>
        <v>Traditional OOR</v>
      </c>
      <c r="G63" s="323">
        <f t="shared" si="16"/>
        <v>1588965.39</v>
      </c>
      <c r="H63" s="217">
        <v>0</v>
      </c>
      <c r="I63" s="217">
        <f t="shared" si="17"/>
        <v>1588965.39</v>
      </c>
      <c r="J63" s="323">
        <f t="shared" si="18"/>
        <v>0</v>
      </c>
      <c r="K63" s="323"/>
      <c r="L63" s="329">
        <v>0</v>
      </c>
      <c r="M63" s="218">
        <f t="shared" si="19"/>
        <v>0</v>
      </c>
      <c r="N63" s="323">
        <f t="shared" si="20"/>
        <v>0</v>
      </c>
      <c r="O63" s="221">
        <v>4</v>
      </c>
    </row>
    <row r="64" spans="1:15" x14ac:dyDescent="0.2">
      <c r="A64" s="219" t="s">
        <v>767</v>
      </c>
      <c r="B64" s="214">
        <v>456</v>
      </c>
      <c r="C64" s="220" t="s">
        <v>773</v>
      </c>
      <c r="D64" s="215" t="s">
        <v>774</v>
      </c>
      <c r="E64" s="327">
        <v>442830.76</v>
      </c>
      <c r="F64" s="323" t="str">
        <f t="shared" si="15"/>
        <v>Traditional OOR</v>
      </c>
      <c r="G64" s="323">
        <f t="shared" si="16"/>
        <v>442830.76</v>
      </c>
      <c r="H64" s="217">
        <v>0</v>
      </c>
      <c r="I64" s="217">
        <f t="shared" si="17"/>
        <v>442830.76</v>
      </c>
      <c r="J64" s="323">
        <f t="shared" si="18"/>
        <v>0</v>
      </c>
      <c r="K64" s="323"/>
      <c r="L64" s="329">
        <v>0</v>
      </c>
      <c r="M64" s="218">
        <f t="shared" si="19"/>
        <v>0</v>
      </c>
      <c r="N64" s="323">
        <f t="shared" si="20"/>
        <v>0</v>
      </c>
      <c r="O64" s="221">
        <v>4</v>
      </c>
    </row>
    <row r="65" spans="1:15" x14ac:dyDescent="0.2">
      <c r="A65" s="219" t="s">
        <v>768</v>
      </c>
      <c r="B65" s="214">
        <v>456</v>
      </c>
      <c r="C65" s="220" t="s">
        <v>776</v>
      </c>
      <c r="D65" s="215" t="s">
        <v>777</v>
      </c>
      <c r="E65" s="327">
        <v>6073.4</v>
      </c>
      <c r="F65" s="323" t="str">
        <f t="shared" si="15"/>
        <v>Traditional OOR</v>
      </c>
      <c r="G65" s="323">
        <f t="shared" si="16"/>
        <v>6073.4</v>
      </c>
      <c r="H65" s="217">
        <v>0</v>
      </c>
      <c r="I65" s="217">
        <f t="shared" si="17"/>
        <v>6073.4</v>
      </c>
      <c r="J65" s="323">
        <f t="shared" si="18"/>
        <v>0</v>
      </c>
      <c r="K65" s="323"/>
      <c r="L65" s="329">
        <v>0</v>
      </c>
      <c r="M65" s="218">
        <f t="shared" si="19"/>
        <v>0</v>
      </c>
      <c r="N65" s="323">
        <f t="shared" si="20"/>
        <v>0</v>
      </c>
      <c r="O65" s="221">
        <v>3</v>
      </c>
    </row>
    <row r="66" spans="1:15" x14ac:dyDescent="0.2">
      <c r="A66" s="213" t="s">
        <v>775</v>
      </c>
      <c r="B66" s="214">
        <v>456</v>
      </c>
      <c r="C66" s="215" t="s">
        <v>779</v>
      </c>
      <c r="D66" s="215" t="s">
        <v>780</v>
      </c>
      <c r="E66" s="327">
        <v>0</v>
      </c>
      <c r="F66" s="323" t="str">
        <f t="shared" si="15"/>
        <v>Traditional OOR</v>
      </c>
      <c r="G66" s="323">
        <f t="shared" si="16"/>
        <v>0</v>
      </c>
      <c r="H66" s="217">
        <v>0</v>
      </c>
      <c r="I66" s="217">
        <f t="shared" si="17"/>
        <v>0</v>
      </c>
      <c r="J66" s="323">
        <f t="shared" si="18"/>
        <v>0</v>
      </c>
      <c r="K66" s="323"/>
      <c r="L66" s="329">
        <v>0</v>
      </c>
      <c r="M66" s="218">
        <f t="shared" si="19"/>
        <v>0</v>
      </c>
      <c r="N66" s="323">
        <f t="shared" si="20"/>
        <v>0</v>
      </c>
      <c r="O66" s="221">
        <v>1</v>
      </c>
    </row>
    <row r="67" spans="1:15" x14ac:dyDescent="0.2">
      <c r="A67" s="213" t="s">
        <v>778</v>
      </c>
      <c r="B67" s="214">
        <v>456</v>
      </c>
      <c r="C67" s="215" t="s">
        <v>782</v>
      </c>
      <c r="D67" s="215" t="s">
        <v>783</v>
      </c>
      <c r="E67" s="327">
        <v>851485.01</v>
      </c>
      <c r="F67" s="323" t="str">
        <f t="shared" si="15"/>
        <v>Traditional OOR</v>
      </c>
      <c r="G67" s="323">
        <f t="shared" si="16"/>
        <v>851485.01</v>
      </c>
      <c r="H67" s="217">
        <v>0</v>
      </c>
      <c r="I67" s="217">
        <f t="shared" si="17"/>
        <v>851485.01</v>
      </c>
      <c r="J67" s="323">
        <f t="shared" si="18"/>
        <v>0</v>
      </c>
      <c r="K67" s="323"/>
      <c r="L67" s="329">
        <v>0</v>
      </c>
      <c r="M67" s="218">
        <f t="shared" si="19"/>
        <v>0</v>
      </c>
      <c r="N67" s="323">
        <f t="shared" si="20"/>
        <v>0</v>
      </c>
      <c r="O67" s="221">
        <v>1</v>
      </c>
    </row>
    <row r="68" spans="1:15" x14ac:dyDescent="0.2">
      <c r="A68" s="213" t="s">
        <v>781</v>
      </c>
      <c r="B68" s="214">
        <v>456</v>
      </c>
      <c r="C68" s="215" t="s">
        <v>785</v>
      </c>
      <c r="D68" s="215" t="s">
        <v>786</v>
      </c>
      <c r="E68" s="327">
        <v>600</v>
      </c>
      <c r="F68" s="323" t="str">
        <f t="shared" si="15"/>
        <v>Traditional OOR</v>
      </c>
      <c r="G68" s="323">
        <f t="shared" si="16"/>
        <v>600</v>
      </c>
      <c r="H68" s="217">
        <v>0</v>
      </c>
      <c r="I68" s="217">
        <f t="shared" si="17"/>
        <v>600</v>
      </c>
      <c r="J68" s="323">
        <f t="shared" si="18"/>
        <v>0</v>
      </c>
      <c r="K68" s="323"/>
      <c r="L68" s="329">
        <v>0</v>
      </c>
      <c r="M68" s="218">
        <f t="shared" si="19"/>
        <v>0</v>
      </c>
      <c r="N68" s="323">
        <f t="shared" si="20"/>
        <v>0</v>
      </c>
      <c r="O68" s="221">
        <v>3</v>
      </c>
    </row>
    <row r="69" spans="1:15" x14ac:dyDescent="0.2">
      <c r="A69" s="213" t="s">
        <v>784</v>
      </c>
      <c r="B69" s="214">
        <v>456</v>
      </c>
      <c r="C69" s="214">
        <v>4186142</v>
      </c>
      <c r="D69" s="215" t="s">
        <v>1725</v>
      </c>
      <c r="E69" s="327">
        <v>6846.34</v>
      </c>
      <c r="F69" s="323" t="str">
        <f t="shared" si="15"/>
        <v>Traditional OOR</v>
      </c>
      <c r="G69" s="323">
        <f>IF(F69=$G$2,E69,0)</f>
        <v>6846.34</v>
      </c>
      <c r="H69" s="217">
        <v>0</v>
      </c>
      <c r="I69" s="217">
        <f>G69-H69</f>
        <v>6846.34</v>
      </c>
      <c r="J69" s="323">
        <f t="shared" si="18"/>
        <v>0</v>
      </c>
      <c r="K69" s="323"/>
      <c r="L69" s="329">
        <v>0</v>
      </c>
      <c r="M69" s="218">
        <f t="shared" si="19"/>
        <v>0</v>
      </c>
      <c r="N69" s="323">
        <f t="shared" si="20"/>
        <v>0</v>
      </c>
      <c r="O69" s="221">
        <v>4</v>
      </c>
    </row>
    <row r="70" spans="1:15" x14ac:dyDescent="0.2">
      <c r="A70" s="213" t="s">
        <v>787</v>
      </c>
      <c r="B70" s="214">
        <v>456</v>
      </c>
      <c r="C70" s="215" t="s">
        <v>788</v>
      </c>
      <c r="D70" s="215" t="s">
        <v>789</v>
      </c>
      <c r="E70" s="327">
        <v>259.61</v>
      </c>
      <c r="F70" s="323" t="str">
        <f t="shared" si="15"/>
        <v>Traditional OOR</v>
      </c>
      <c r="G70" s="323">
        <f t="shared" si="16"/>
        <v>259.61</v>
      </c>
      <c r="H70" s="217">
        <f>E70*$D$218</f>
        <v>11.9654249</v>
      </c>
      <c r="I70" s="217">
        <f t="shared" si="17"/>
        <v>247.64457510000003</v>
      </c>
      <c r="J70" s="323">
        <f t="shared" si="18"/>
        <v>0</v>
      </c>
      <c r="K70" s="323"/>
      <c r="L70" s="329">
        <v>0</v>
      </c>
      <c r="M70" s="218">
        <f t="shared" si="19"/>
        <v>0</v>
      </c>
      <c r="N70" s="323">
        <f t="shared" si="20"/>
        <v>0</v>
      </c>
      <c r="O70" s="221">
        <v>7</v>
      </c>
    </row>
    <row r="71" spans="1:15" x14ac:dyDescent="0.2">
      <c r="A71" s="213" t="s">
        <v>790</v>
      </c>
      <c r="B71" s="214">
        <v>456</v>
      </c>
      <c r="C71" s="215" t="s">
        <v>791</v>
      </c>
      <c r="D71" s="215" t="s">
        <v>792</v>
      </c>
      <c r="E71" s="327">
        <v>277940.87</v>
      </c>
      <c r="F71" s="323" t="str">
        <f>$N$2</f>
        <v>Other Ratemaking</v>
      </c>
      <c r="G71" s="323">
        <f>I71+H71</f>
        <v>12810.2946983</v>
      </c>
      <c r="H71" s="217">
        <f>E71*$D$224</f>
        <v>12810.2946983</v>
      </c>
      <c r="I71" s="217">
        <v>0</v>
      </c>
      <c r="J71" s="323">
        <f t="shared" si="18"/>
        <v>0</v>
      </c>
      <c r="K71" s="323"/>
      <c r="L71" s="329">
        <v>0</v>
      </c>
      <c r="M71" s="218">
        <f t="shared" si="19"/>
        <v>0</v>
      </c>
      <c r="N71" s="323">
        <f>IF(F71=$N$2,E71-H71,0)</f>
        <v>265130.57530169998</v>
      </c>
      <c r="O71" s="221" t="s">
        <v>734</v>
      </c>
    </row>
    <row r="72" spans="1:15" x14ac:dyDescent="0.2">
      <c r="A72" s="213" t="s">
        <v>793</v>
      </c>
      <c r="B72" s="214">
        <v>456</v>
      </c>
      <c r="C72" s="215" t="s">
        <v>794</v>
      </c>
      <c r="D72" s="215" t="s">
        <v>795</v>
      </c>
      <c r="E72" s="327">
        <v>1446.92</v>
      </c>
      <c r="F72" s="323" t="str">
        <f t="shared" ref="F72:F77" si="21">$G$2</f>
        <v>Traditional OOR</v>
      </c>
      <c r="G72" s="323">
        <f t="shared" si="16"/>
        <v>1446.92</v>
      </c>
      <c r="H72" s="217">
        <v>0</v>
      </c>
      <c r="I72" s="217">
        <f t="shared" si="17"/>
        <v>1446.92</v>
      </c>
      <c r="J72" s="323">
        <f t="shared" si="18"/>
        <v>0</v>
      </c>
      <c r="K72" s="323"/>
      <c r="L72" s="329">
        <v>0</v>
      </c>
      <c r="M72" s="218">
        <f t="shared" si="19"/>
        <v>0</v>
      </c>
      <c r="N72" s="323">
        <f t="shared" si="20"/>
        <v>0</v>
      </c>
      <c r="O72" s="221">
        <v>4</v>
      </c>
    </row>
    <row r="73" spans="1:15" x14ac:dyDescent="0.2">
      <c r="A73" s="213" t="s">
        <v>796</v>
      </c>
      <c r="B73" s="214">
        <v>456</v>
      </c>
      <c r="C73" s="215" t="s">
        <v>797</v>
      </c>
      <c r="D73" s="215" t="s">
        <v>798</v>
      </c>
      <c r="E73" s="327">
        <v>14522</v>
      </c>
      <c r="F73" s="323" t="str">
        <f t="shared" si="21"/>
        <v>Traditional OOR</v>
      </c>
      <c r="G73" s="323">
        <f t="shared" si="16"/>
        <v>14522</v>
      </c>
      <c r="H73" s="217">
        <v>0</v>
      </c>
      <c r="I73" s="217">
        <f t="shared" si="17"/>
        <v>14522</v>
      </c>
      <c r="J73" s="323">
        <f t="shared" si="18"/>
        <v>0</v>
      </c>
      <c r="K73" s="323"/>
      <c r="L73" s="329">
        <v>0</v>
      </c>
      <c r="M73" s="218">
        <f t="shared" si="19"/>
        <v>0</v>
      </c>
      <c r="N73" s="323">
        <f t="shared" si="20"/>
        <v>0</v>
      </c>
      <c r="O73" s="221">
        <v>4</v>
      </c>
    </row>
    <row r="74" spans="1:15" x14ac:dyDescent="0.2">
      <c r="A74" s="213" t="s">
        <v>799</v>
      </c>
      <c r="B74" s="214">
        <v>456</v>
      </c>
      <c r="C74" s="215" t="s">
        <v>800</v>
      </c>
      <c r="D74" s="215" t="s">
        <v>801</v>
      </c>
      <c r="E74" s="327">
        <v>4388</v>
      </c>
      <c r="F74" s="323" t="str">
        <f t="shared" si="21"/>
        <v>Traditional OOR</v>
      </c>
      <c r="G74" s="323">
        <f t="shared" si="16"/>
        <v>4388</v>
      </c>
      <c r="H74" s="217">
        <v>0</v>
      </c>
      <c r="I74" s="217">
        <f t="shared" si="17"/>
        <v>4388</v>
      </c>
      <c r="J74" s="323">
        <f t="shared" si="18"/>
        <v>0</v>
      </c>
      <c r="K74" s="323"/>
      <c r="L74" s="329">
        <v>0</v>
      </c>
      <c r="M74" s="218">
        <f t="shared" si="19"/>
        <v>0</v>
      </c>
      <c r="N74" s="323">
        <f t="shared" si="20"/>
        <v>0</v>
      </c>
      <c r="O74" s="221">
        <v>4</v>
      </c>
    </row>
    <row r="75" spans="1:15" x14ac:dyDescent="0.2">
      <c r="A75" s="213" t="s">
        <v>802</v>
      </c>
      <c r="B75" s="214">
        <v>456</v>
      </c>
      <c r="C75" s="215" t="s">
        <v>803</v>
      </c>
      <c r="D75" s="215" t="s">
        <v>804</v>
      </c>
      <c r="E75" s="327">
        <v>993.08</v>
      </c>
      <c r="F75" s="323" t="str">
        <f t="shared" si="21"/>
        <v>Traditional OOR</v>
      </c>
      <c r="G75" s="323">
        <f t="shared" si="16"/>
        <v>993.08</v>
      </c>
      <c r="H75" s="217">
        <v>0</v>
      </c>
      <c r="I75" s="217">
        <f t="shared" si="17"/>
        <v>993.08</v>
      </c>
      <c r="J75" s="323">
        <f t="shared" si="18"/>
        <v>0</v>
      </c>
      <c r="K75" s="323"/>
      <c r="L75" s="329">
        <v>0</v>
      </c>
      <c r="M75" s="218">
        <f t="shared" si="19"/>
        <v>0</v>
      </c>
      <c r="N75" s="323">
        <f t="shared" si="20"/>
        <v>0</v>
      </c>
      <c r="O75" s="221">
        <v>4</v>
      </c>
    </row>
    <row r="76" spans="1:15" x14ac:dyDescent="0.2">
      <c r="A76" s="213" t="s">
        <v>805</v>
      </c>
      <c r="B76" s="214">
        <v>456</v>
      </c>
      <c r="C76" s="215" t="s">
        <v>806</v>
      </c>
      <c r="D76" s="215" t="s">
        <v>807</v>
      </c>
      <c r="E76" s="327">
        <v>845</v>
      </c>
      <c r="F76" s="323" t="str">
        <f t="shared" si="21"/>
        <v>Traditional OOR</v>
      </c>
      <c r="G76" s="323">
        <f t="shared" si="16"/>
        <v>845</v>
      </c>
      <c r="H76" s="217">
        <v>0</v>
      </c>
      <c r="I76" s="217">
        <f t="shared" si="17"/>
        <v>845</v>
      </c>
      <c r="J76" s="323">
        <f t="shared" si="18"/>
        <v>0</v>
      </c>
      <c r="K76" s="323"/>
      <c r="L76" s="329">
        <v>0</v>
      </c>
      <c r="M76" s="218">
        <f t="shared" si="19"/>
        <v>0</v>
      </c>
      <c r="N76" s="323">
        <f t="shared" si="20"/>
        <v>0</v>
      </c>
      <c r="O76" s="221">
        <v>4</v>
      </c>
    </row>
    <row r="77" spans="1:15" x14ac:dyDescent="0.2">
      <c r="A77" s="213" t="s">
        <v>808</v>
      </c>
      <c r="B77" s="214">
        <v>456</v>
      </c>
      <c r="C77" s="215" t="s">
        <v>809</v>
      </c>
      <c r="D77" s="215" t="s">
        <v>810</v>
      </c>
      <c r="E77" s="327">
        <v>208656</v>
      </c>
      <c r="F77" s="323" t="str">
        <f t="shared" si="21"/>
        <v>Traditional OOR</v>
      </c>
      <c r="G77" s="323">
        <f t="shared" si="16"/>
        <v>208656</v>
      </c>
      <c r="H77" s="217">
        <v>0</v>
      </c>
      <c r="I77" s="217">
        <f t="shared" si="17"/>
        <v>208656</v>
      </c>
      <c r="J77" s="323">
        <f t="shared" si="18"/>
        <v>0</v>
      </c>
      <c r="K77" s="323"/>
      <c r="L77" s="329">
        <v>0</v>
      </c>
      <c r="M77" s="218">
        <f t="shared" si="19"/>
        <v>0</v>
      </c>
      <c r="N77" s="323">
        <f t="shared" si="20"/>
        <v>0</v>
      </c>
      <c r="O77" s="221">
        <v>4</v>
      </c>
    </row>
    <row r="78" spans="1:15" x14ac:dyDescent="0.2">
      <c r="A78" s="213" t="s">
        <v>811</v>
      </c>
      <c r="B78" s="214">
        <v>456</v>
      </c>
      <c r="C78" s="215" t="s">
        <v>812</v>
      </c>
      <c r="D78" s="215" t="s">
        <v>813</v>
      </c>
      <c r="E78" s="327">
        <v>1447965.63</v>
      </c>
      <c r="F78" s="323" t="str">
        <f t="shared" ref="F78:F91" si="22">$J$2</f>
        <v>GRSM</v>
      </c>
      <c r="G78" s="323">
        <f t="shared" si="16"/>
        <v>0</v>
      </c>
      <c r="H78" s="217">
        <v>0</v>
      </c>
      <c r="I78" s="217">
        <f t="shared" si="17"/>
        <v>0</v>
      </c>
      <c r="J78" s="323">
        <f t="shared" si="18"/>
        <v>1447965.63</v>
      </c>
      <c r="K78" s="362" t="s">
        <v>686</v>
      </c>
      <c r="L78" s="330">
        <v>85886.09</v>
      </c>
      <c r="M78" s="218">
        <f t="shared" si="19"/>
        <v>1362079.5399999998</v>
      </c>
      <c r="N78" s="323">
        <f t="shared" si="20"/>
        <v>0</v>
      </c>
      <c r="O78" s="221">
        <v>2</v>
      </c>
    </row>
    <row r="79" spans="1:15" x14ac:dyDescent="0.2">
      <c r="A79" s="213" t="s">
        <v>814</v>
      </c>
      <c r="B79" s="214">
        <v>456</v>
      </c>
      <c r="C79" s="215" t="s">
        <v>815</v>
      </c>
      <c r="D79" s="215" t="s">
        <v>816</v>
      </c>
      <c r="E79" s="327">
        <v>115748.45</v>
      </c>
      <c r="F79" s="323" t="str">
        <f t="shared" si="22"/>
        <v>GRSM</v>
      </c>
      <c r="G79" s="323">
        <f t="shared" si="16"/>
        <v>0</v>
      </c>
      <c r="H79" s="217">
        <v>0</v>
      </c>
      <c r="I79" s="217">
        <f t="shared" si="17"/>
        <v>0</v>
      </c>
      <c r="J79" s="323">
        <f t="shared" si="18"/>
        <v>115748.45</v>
      </c>
      <c r="K79" s="362" t="s">
        <v>686</v>
      </c>
      <c r="L79" s="330">
        <v>25580.78</v>
      </c>
      <c r="M79" s="218">
        <f t="shared" si="19"/>
        <v>90167.67</v>
      </c>
      <c r="N79" s="323">
        <f t="shared" si="20"/>
        <v>0</v>
      </c>
      <c r="O79" s="221">
        <v>2</v>
      </c>
    </row>
    <row r="80" spans="1:15" x14ac:dyDescent="0.2">
      <c r="A80" s="213" t="s">
        <v>817</v>
      </c>
      <c r="B80" s="214">
        <v>456</v>
      </c>
      <c r="C80" s="215" t="s">
        <v>818</v>
      </c>
      <c r="D80" s="215" t="s">
        <v>819</v>
      </c>
      <c r="E80" s="327">
        <v>69525</v>
      </c>
      <c r="F80" s="323" t="str">
        <f t="shared" si="22"/>
        <v>GRSM</v>
      </c>
      <c r="G80" s="323">
        <f t="shared" si="16"/>
        <v>0</v>
      </c>
      <c r="H80" s="217">
        <v>0</v>
      </c>
      <c r="I80" s="217">
        <f t="shared" si="17"/>
        <v>0</v>
      </c>
      <c r="J80" s="323">
        <f t="shared" si="18"/>
        <v>69525</v>
      </c>
      <c r="K80" s="362" t="s">
        <v>686</v>
      </c>
      <c r="L80" s="329">
        <f>2475+2855+864.04</f>
        <v>6194.04</v>
      </c>
      <c r="M80" s="218">
        <f t="shared" si="19"/>
        <v>63330.96</v>
      </c>
      <c r="N80" s="323">
        <f t="shared" si="20"/>
        <v>0</v>
      </c>
      <c r="O80" s="221">
        <v>2</v>
      </c>
    </row>
    <row r="81" spans="1:15" x14ac:dyDescent="0.2">
      <c r="A81" s="213" t="s">
        <v>820</v>
      </c>
      <c r="B81" s="214">
        <v>456</v>
      </c>
      <c r="C81" s="215" t="s">
        <v>821</v>
      </c>
      <c r="D81" s="215" t="s">
        <v>822</v>
      </c>
      <c r="E81" s="327">
        <v>0</v>
      </c>
      <c r="F81" s="323" t="str">
        <f t="shared" si="22"/>
        <v>GRSM</v>
      </c>
      <c r="G81" s="323">
        <f t="shared" si="16"/>
        <v>0</v>
      </c>
      <c r="H81" s="217">
        <v>0</v>
      </c>
      <c r="I81" s="217">
        <f t="shared" si="17"/>
        <v>0</v>
      </c>
      <c r="J81" s="323">
        <f t="shared" si="18"/>
        <v>0</v>
      </c>
      <c r="K81" s="362" t="s">
        <v>686</v>
      </c>
      <c r="L81" s="329">
        <v>0</v>
      </c>
      <c r="M81" s="218">
        <f t="shared" si="19"/>
        <v>0</v>
      </c>
      <c r="N81" s="323">
        <f t="shared" si="20"/>
        <v>0</v>
      </c>
      <c r="O81" s="216">
        <v>2</v>
      </c>
    </row>
    <row r="82" spans="1:15" x14ac:dyDescent="0.2">
      <c r="A82" s="213" t="s">
        <v>823</v>
      </c>
      <c r="B82" s="214">
        <v>456</v>
      </c>
      <c r="C82" s="215" t="s">
        <v>824</v>
      </c>
      <c r="D82" s="215" t="s">
        <v>825</v>
      </c>
      <c r="E82" s="327">
        <v>10724.95</v>
      </c>
      <c r="F82" s="323" t="str">
        <f t="shared" si="22"/>
        <v>GRSM</v>
      </c>
      <c r="G82" s="323">
        <f t="shared" si="16"/>
        <v>0</v>
      </c>
      <c r="H82" s="217">
        <v>0</v>
      </c>
      <c r="I82" s="217">
        <f t="shared" si="17"/>
        <v>0</v>
      </c>
      <c r="J82" s="323">
        <f t="shared" si="18"/>
        <v>10724.95</v>
      </c>
      <c r="K82" s="362" t="s">
        <v>686</v>
      </c>
      <c r="L82" s="329">
        <v>1731.34</v>
      </c>
      <c r="M82" s="218">
        <f t="shared" si="19"/>
        <v>8993.61</v>
      </c>
      <c r="N82" s="323">
        <f t="shared" si="20"/>
        <v>0</v>
      </c>
      <c r="O82" s="221">
        <v>2</v>
      </c>
    </row>
    <row r="83" spans="1:15" x14ac:dyDescent="0.2">
      <c r="A83" s="213" t="s">
        <v>826</v>
      </c>
      <c r="B83" s="214">
        <v>456</v>
      </c>
      <c r="C83" s="215" t="s">
        <v>827</v>
      </c>
      <c r="D83" s="215" t="s">
        <v>828</v>
      </c>
      <c r="E83" s="327">
        <v>1150</v>
      </c>
      <c r="F83" s="323" t="str">
        <f t="shared" si="22"/>
        <v>GRSM</v>
      </c>
      <c r="G83" s="323">
        <f t="shared" si="16"/>
        <v>0</v>
      </c>
      <c r="H83" s="217">
        <v>0</v>
      </c>
      <c r="I83" s="217">
        <f t="shared" si="17"/>
        <v>0</v>
      </c>
      <c r="J83" s="323">
        <f t="shared" si="18"/>
        <v>1150</v>
      </c>
      <c r="K83" s="362" t="s">
        <v>686</v>
      </c>
      <c r="L83" s="329">
        <v>0</v>
      </c>
      <c r="M83" s="218">
        <f t="shared" si="19"/>
        <v>1150</v>
      </c>
      <c r="N83" s="323">
        <f t="shared" si="20"/>
        <v>0</v>
      </c>
      <c r="O83" s="221">
        <v>2</v>
      </c>
    </row>
    <row r="84" spans="1:15" x14ac:dyDescent="0.2">
      <c r="A84" s="213" t="s">
        <v>829</v>
      </c>
      <c r="B84" s="214">
        <v>456</v>
      </c>
      <c r="C84" s="215" t="s">
        <v>830</v>
      </c>
      <c r="D84" s="215" t="s">
        <v>831</v>
      </c>
      <c r="E84" s="327">
        <v>6050</v>
      </c>
      <c r="F84" s="323" t="str">
        <f t="shared" si="22"/>
        <v>GRSM</v>
      </c>
      <c r="G84" s="323">
        <f t="shared" si="16"/>
        <v>0</v>
      </c>
      <c r="H84" s="217">
        <v>0</v>
      </c>
      <c r="I84" s="217">
        <f t="shared" si="17"/>
        <v>0</v>
      </c>
      <c r="J84" s="323">
        <f t="shared" si="18"/>
        <v>6050</v>
      </c>
      <c r="K84" s="362" t="s">
        <v>686</v>
      </c>
      <c r="L84" s="329">
        <f>2840</f>
        <v>2840</v>
      </c>
      <c r="M84" s="218">
        <f t="shared" si="19"/>
        <v>3210</v>
      </c>
      <c r="N84" s="323">
        <f t="shared" si="20"/>
        <v>0</v>
      </c>
      <c r="O84" s="216">
        <v>2</v>
      </c>
    </row>
    <row r="85" spans="1:15" x14ac:dyDescent="0.2">
      <c r="A85" s="213" t="s">
        <v>832</v>
      </c>
      <c r="B85" s="214">
        <v>456</v>
      </c>
      <c r="C85" s="214">
        <v>4186536</v>
      </c>
      <c r="D85" s="232" t="s">
        <v>833</v>
      </c>
      <c r="E85" s="327">
        <v>0</v>
      </c>
      <c r="F85" s="323" t="str">
        <f t="shared" si="22"/>
        <v>GRSM</v>
      </c>
      <c r="G85" s="323">
        <f t="shared" si="16"/>
        <v>0</v>
      </c>
      <c r="H85" s="217">
        <v>0</v>
      </c>
      <c r="I85" s="217">
        <f t="shared" si="17"/>
        <v>0</v>
      </c>
      <c r="J85" s="323">
        <f t="shared" si="18"/>
        <v>0</v>
      </c>
      <c r="K85" s="362" t="s">
        <v>686</v>
      </c>
      <c r="L85" s="329">
        <v>0</v>
      </c>
      <c r="M85" s="218">
        <f t="shared" si="19"/>
        <v>0</v>
      </c>
      <c r="N85" s="323">
        <f t="shared" si="20"/>
        <v>0</v>
      </c>
      <c r="O85" s="216">
        <v>2</v>
      </c>
    </row>
    <row r="86" spans="1:15" x14ac:dyDescent="0.2">
      <c r="A86" s="213" t="s">
        <v>834</v>
      </c>
      <c r="B86" s="214">
        <v>456</v>
      </c>
      <c r="C86" s="214">
        <v>4186538</v>
      </c>
      <c r="D86" s="232" t="s">
        <v>835</v>
      </c>
      <c r="E86" s="327">
        <v>0</v>
      </c>
      <c r="F86" s="323" t="str">
        <f t="shared" si="22"/>
        <v>GRSM</v>
      </c>
      <c r="G86" s="323">
        <f t="shared" si="16"/>
        <v>0</v>
      </c>
      <c r="H86" s="217">
        <v>0</v>
      </c>
      <c r="I86" s="217">
        <f t="shared" si="17"/>
        <v>0</v>
      </c>
      <c r="J86" s="323">
        <f t="shared" si="18"/>
        <v>0</v>
      </c>
      <c r="K86" s="362" t="s">
        <v>686</v>
      </c>
      <c r="L86" s="329">
        <v>0</v>
      </c>
      <c r="M86" s="218">
        <f t="shared" si="19"/>
        <v>0</v>
      </c>
      <c r="N86" s="323">
        <f t="shared" si="20"/>
        <v>0</v>
      </c>
      <c r="O86" s="216">
        <v>2</v>
      </c>
    </row>
    <row r="87" spans="1:15" x14ac:dyDescent="0.2">
      <c r="A87" s="213" t="s">
        <v>836</v>
      </c>
      <c r="B87" s="214">
        <v>456</v>
      </c>
      <c r="C87" s="215" t="s">
        <v>837</v>
      </c>
      <c r="D87" s="215" t="s">
        <v>838</v>
      </c>
      <c r="E87" s="327">
        <v>240823.2</v>
      </c>
      <c r="F87" s="323" t="str">
        <f t="shared" si="22"/>
        <v>GRSM</v>
      </c>
      <c r="G87" s="323">
        <f t="shared" si="16"/>
        <v>0</v>
      </c>
      <c r="H87" s="217">
        <v>0</v>
      </c>
      <c r="I87" s="217">
        <f t="shared" si="17"/>
        <v>0</v>
      </c>
      <c r="J87" s="323">
        <f t="shared" si="18"/>
        <v>240823.2</v>
      </c>
      <c r="K87" s="362" t="s">
        <v>628</v>
      </c>
      <c r="L87" s="329">
        <v>64407.74</v>
      </c>
      <c r="M87" s="218">
        <f t="shared" si="19"/>
        <v>176415.46000000002</v>
      </c>
      <c r="N87" s="323">
        <f t="shared" si="20"/>
        <v>0</v>
      </c>
      <c r="O87" s="216">
        <v>2</v>
      </c>
    </row>
    <row r="88" spans="1:15" x14ac:dyDescent="0.2">
      <c r="A88" s="213" t="s">
        <v>839</v>
      </c>
      <c r="B88" s="214">
        <v>456</v>
      </c>
      <c r="C88" s="215" t="s">
        <v>840</v>
      </c>
      <c r="D88" s="215" t="s">
        <v>841</v>
      </c>
      <c r="E88" s="327">
        <v>5101.4399999999996</v>
      </c>
      <c r="F88" s="323" t="str">
        <f t="shared" si="22"/>
        <v>GRSM</v>
      </c>
      <c r="G88" s="323">
        <f t="shared" si="16"/>
        <v>0</v>
      </c>
      <c r="H88" s="217">
        <v>0</v>
      </c>
      <c r="I88" s="217">
        <f t="shared" si="17"/>
        <v>0</v>
      </c>
      <c r="J88" s="323">
        <f t="shared" si="18"/>
        <v>5101.4399999999996</v>
      </c>
      <c r="K88" s="362" t="s">
        <v>628</v>
      </c>
      <c r="L88" s="329">
        <v>5101.4399999999996</v>
      </c>
      <c r="M88" s="218">
        <f t="shared" si="19"/>
        <v>0</v>
      </c>
      <c r="N88" s="323">
        <f t="shared" si="20"/>
        <v>0</v>
      </c>
      <c r="O88" s="216">
        <v>2</v>
      </c>
    </row>
    <row r="89" spans="1:15" x14ac:dyDescent="0.2">
      <c r="A89" s="213" t="s">
        <v>842</v>
      </c>
      <c r="B89" s="214">
        <v>456</v>
      </c>
      <c r="C89" s="215" t="s">
        <v>843</v>
      </c>
      <c r="D89" s="215" t="s">
        <v>844</v>
      </c>
      <c r="E89" s="327">
        <v>509.54</v>
      </c>
      <c r="F89" s="323" t="str">
        <f t="shared" si="22"/>
        <v>GRSM</v>
      </c>
      <c r="G89" s="323">
        <f t="shared" si="16"/>
        <v>0</v>
      </c>
      <c r="H89" s="217">
        <v>0</v>
      </c>
      <c r="I89" s="217">
        <f t="shared" si="17"/>
        <v>0</v>
      </c>
      <c r="J89" s="323">
        <f t="shared" si="18"/>
        <v>509.54</v>
      </c>
      <c r="K89" s="362" t="s">
        <v>628</v>
      </c>
      <c r="L89" s="329">
        <v>509.54</v>
      </c>
      <c r="M89" s="218">
        <f t="shared" si="19"/>
        <v>0</v>
      </c>
      <c r="N89" s="323">
        <f t="shared" si="20"/>
        <v>0</v>
      </c>
      <c r="O89" s="216">
        <v>2</v>
      </c>
    </row>
    <row r="90" spans="1:15" x14ac:dyDescent="0.2">
      <c r="A90" s="213" t="s">
        <v>845</v>
      </c>
      <c r="B90" s="214">
        <v>456</v>
      </c>
      <c r="C90" s="215" t="s">
        <v>846</v>
      </c>
      <c r="D90" s="215" t="s">
        <v>847</v>
      </c>
      <c r="E90" s="327">
        <v>549415.80000000005</v>
      </c>
      <c r="F90" s="323" t="str">
        <f t="shared" si="22"/>
        <v>GRSM</v>
      </c>
      <c r="G90" s="323">
        <f t="shared" si="16"/>
        <v>0</v>
      </c>
      <c r="H90" s="217">
        <v>0</v>
      </c>
      <c r="I90" s="217">
        <f t="shared" si="17"/>
        <v>0</v>
      </c>
      <c r="J90" s="323">
        <f>IF(F90=$J$2,E90,0)</f>
        <v>549415.80000000005</v>
      </c>
      <c r="K90" s="362" t="s">
        <v>628</v>
      </c>
      <c r="L90" s="329">
        <f>98283.69+98283.69+36055.6</f>
        <v>232622.98</v>
      </c>
      <c r="M90" s="218">
        <f t="shared" si="19"/>
        <v>316792.82000000007</v>
      </c>
      <c r="N90" s="323">
        <f t="shared" si="20"/>
        <v>0</v>
      </c>
      <c r="O90" s="221">
        <v>2</v>
      </c>
    </row>
    <row r="91" spans="1:15" x14ac:dyDescent="0.2">
      <c r="A91" s="213" t="s">
        <v>848</v>
      </c>
      <c r="B91" s="214">
        <v>456</v>
      </c>
      <c r="C91" s="215" t="s">
        <v>849</v>
      </c>
      <c r="D91" s="215" t="s">
        <v>850</v>
      </c>
      <c r="E91" s="327">
        <v>8732</v>
      </c>
      <c r="F91" s="323" t="str">
        <f t="shared" si="22"/>
        <v>GRSM</v>
      </c>
      <c r="G91" s="323">
        <f t="shared" si="16"/>
        <v>0</v>
      </c>
      <c r="H91" s="217">
        <v>0</v>
      </c>
      <c r="I91" s="217">
        <f t="shared" si="17"/>
        <v>0</v>
      </c>
      <c r="J91" s="323">
        <f t="shared" si="18"/>
        <v>8732</v>
      </c>
      <c r="K91" s="362" t="s">
        <v>628</v>
      </c>
      <c r="L91" s="330">
        <v>1406</v>
      </c>
      <c r="M91" s="217">
        <f t="shared" si="19"/>
        <v>7326</v>
      </c>
      <c r="N91" s="323">
        <f t="shared" si="20"/>
        <v>0</v>
      </c>
      <c r="O91" s="216">
        <v>2</v>
      </c>
    </row>
    <row r="92" spans="1:15" x14ac:dyDescent="0.2">
      <c r="A92" s="213" t="s">
        <v>851</v>
      </c>
      <c r="B92" s="214">
        <v>456</v>
      </c>
      <c r="C92" s="215" t="s">
        <v>852</v>
      </c>
      <c r="D92" s="215" t="s">
        <v>853</v>
      </c>
      <c r="E92" s="327">
        <v>129722.05</v>
      </c>
      <c r="F92" s="323" t="str">
        <f>$N$2</f>
        <v>Other Ratemaking</v>
      </c>
      <c r="G92" s="323">
        <f t="shared" si="16"/>
        <v>0</v>
      </c>
      <c r="H92" s="217">
        <v>0</v>
      </c>
      <c r="I92" s="217">
        <f t="shared" si="17"/>
        <v>0</v>
      </c>
      <c r="J92" s="323">
        <f t="shared" si="18"/>
        <v>0</v>
      </c>
      <c r="K92" s="323"/>
      <c r="L92" s="329">
        <v>0</v>
      </c>
      <c r="M92" s="218">
        <f t="shared" si="19"/>
        <v>0</v>
      </c>
      <c r="N92" s="323">
        <f t="shared" si="20"/>
        <v>129722.05</v>
      </c>
      <c r="O92" s="221">
        <v>6</v>
      </c>
    </row>
    <row r="93" spans="1:15" x14ac:dyDescent="0.2">
      <c r="A93" s="213" t="s">
        <v>854</v>
      </c>
      <c r="B93" s="214">
        <v>456</v>
      </c>
      <c r="C93" s="215" t="s">
        <v>855</v>
      </c>
      <c r="D93" s="215" t="s">
        <v>856</v>
      </c>
      <c r="E93" s="327">
        <v>17307452</v>
      </c>
      <c r="F93" s="323" t="str">
        <f>$G$2</f>
        <v>Traditional OOR</v>
      </c>
      <c r="G93" s="323">
        <f t="shared" si="16"/>
        <v>17307452</v>
      </c>
      <c r="H93" s="217">
        <v>0</v>
      </c>
      <c r="I93" s="217">
        <f t="shared" si="17"/>
        <v>17307452</v>
      </c>
      <c r="J93" s="323">
        <f t="shared" si="18"/>
        <v>0</v>
      </c>
      <c r="K93" s="323"/>
      <c r="L93" s="329">
        <v>0</v>
      </c>
      <c r="M93" s="218">
        <f t="shared" si="19"/>
        <v>0</v>
      </c>
      <c r="N93" s="323">
        <f t="shared" si="20"/>
        <v>0</v>
      </c>
      <c r="O93" s="221">
        <v>4</v>
      </c>
    </row>
    <row r="94" spans="1:15" x14ac:dyDescent="0.2">
      <c r="A94" s="213" t="s">
        <v>857</v>
      </c>
      <c r="B94" s="214">
        <v>456</v>
      </c>
      <c r="C94" s="215" t="s">
        <v>858</v>
      </c>
      <c r="D94" s="1146" t="s">
        <v>2503</v>
      </c>
      <c r="E94" s="327">
        <v>137144433.15000001</v>
      </c>
      <c r="F94" s="323" t="str">
        <f t="shared" ref="F94:F99" si="23">$N$2</f>
        <v>Other Ratemaking</v>
      </c>
      <c r="G94" s="323">
        <f t="shared" si="16"/>
        <v>0</v>
      </c>
      <c r="H94" s="217">
        <v>0</v>
      </c>
      <c r="I94" s="217">
        <f t="shared" si="17"/>
        <v>0</v>
      </c>
      <c r="J94" s="323">
        <f t="shared" si="18"/>
        <v>0</v>
      </c>
      <c r="K94" s="323"/>
      <c r="L94" s="329">
        <v>0</v>
      </c>
      <c r="M94" s="218">
        <f t="shared" si="19"/>
        <v>0</v>
      </c>
      <c r="N94" s="323">
        <f t="shared" si="20"/>
        <v>137144433.15000001</v>
      </c>
      <c r="O94" s="221">
        <v>6</v>
      </c>
    </row>
    <row r="95" spans="1:15" x14ac:dyDescent="0.2">
      <c r="A95" s="213" t="s">
        <v>859</v>
      </c>
      <c r="B95" s="214">
        <v>456</v>
      </c>
      <c r="C95" s="215" t="s">
        <v>860</v>
      </c>
      <c r="D95" s="1146" t="s">
        <v>2504</v>
      </c>
      <c r="E95" s="327">
        <v>-27083250.370000001</v>
      </c>
      <c r="F95" s="323" t="str">
        <f t="shared" si="23"/>
        <v>Other Ratemaking</v>
      </c>
      <c r="G95" s="323">
        <f t="shared" si="16"/>
        <v>0</v>
      </c>
      <c r="H95" s="217">
        <v>0</v>
      </c>
      <c r="I95" s="217">
        <f t="shared" si="17"/>
        <v>0</v>
      </c>
      <c r="J95" s="323">
        <f t="shared" si="18"/>
        <v>0</v>
      </c>
      <c r="K95" s="323"/>
      <c r="L95" s="329">
        <v>0</v>
      </c>
      <c r="M95" s="218">
        <f t="shared" si="19"/>
        <v>0</v>
      </c>
      <c r="N95" s="323">
        <f t="shared" si="20"/>
        <v>-27083250.370000001</v>
      </c>
      <c r="O95" s="221">
        <v>6</v>
      </c>
    </row>
    <row r="96" spans="1:15" x14ac:dyDescent="0.2">
      <c r="A96" s="213" t="s">
        <v>861</v>
      </c>
      <c r="B96" s="214">
        <v>456</v>
      </c>
      <c r="C96" s="215" t="s">
        <v>862</v>
      </c>
      <c r="D96" s="215" t="s">
        <v>863</v>
      </c>
      <c r="E96" s="327">
        <v>-137325139.22999999</v>
      </c>
      <c r="F96" s="323" t="str">
        <f t="shared" si="23"/>
        <v>Other Ratemaking</v>
      </c>
      <c r="G96" s="323">
        <f t="shared" si="16"/>
        <v>0</v>
      </c>
      <c r="H96" s="217">
        <v>0</v>
      </c>
      <c r="I96" s="217">
        <f t="shared" si="17"/>
        <v>0</v>
      </c>
      <c r="J96" s="323">
        <f t="shared" si="18"/>
        <v>0</v>
      </c>
      <c r="K96" s="323"/>
      <c r="L96" s="329">
        <v>0</v>
      </c>
      <c r="M96" s="218">
        <f t="shared" si="19"/>
        <v>0</v>
      </c>
      <c r="N96" s="323">
        <f t="shared" si="20"/>
        <v>-137325139.22999999</v>
      </c>
      <c r="O96" s="221">
        <v>6</v>
      </c>
    </row>
    <row r="97" spans="1:15" x14ac:dyDescent="0.2">
      <c r="A97" s="213" t="s">
        <v>864</v>
      </c>
      <c r="B97" s="214">
        <v>456</v>
      </c>
      <c r="C97" s="215" t="s">
        <v>865</v>
      </c>
      <c r="D97" s="215" t="s">
        <v>866</v>
      </c>
      <c r="E97" s="327">
        <v>27083250.370000001</v>
      </c>
      <c r="F97" s="323" t="str">
        <f t="shared" si="23"/>
        <v>Other Ratemaking</v>
      </c>
      <c r="G97" s="323">
        <f t="shared" si="16"/>
        <v>0</v>
      </c>
      <c r="H97" s="217">
        <v>0</v>
      </c>
      <c r="I97" s="217">
        <f t="shared" si="17"/>
        <v>0</v>
      </c>
      <c r="J97" s="323">
        <f t="shared" si="18"/>
        <v>0</v>
      </c>
      <c r="K97" s="323"/>
      <c r="L97" s="329">
        <v>0</v>
      </c>
      <c r="M97" s="218">
        <f t="shared" si="19"/>
        <v>0</v>
      </c>
      <c r="N97" s="323">
        <f t="shared" si="20"/>
        <v>27083250.370000001</v>
      </c>
      <c r="O97" s="221">
        <v>6</v>
      </c>
    </row>
    <row r="98" spans="1:15" x14ac:dyDescent="0.2">
      <c r="A98" s="213" t="s">
        <v>867</v>
      </c>
      <c r="B98" s="214">
        <v>456</v>
      </c>
      <c r="C98" s="215" t="s">
        <v>868</v>
      </c>
      <c r="D98" s="1146" t="s">
        <v>2505</v>
      </c>
      <c r="E98" s="327">
        <v>51271084.82</v>
      </c>
      <c r="F98" s="323" t="str">
        <f t="shared" si="23"/>
        <v>Other Ratemaking</v>
      </c>
      <c r="G98" s="323">
        <f t="shared" si="16"/>
        <v>0</v>
      </c>
      <c r="H98" s="217">
        <v>0</v>
      </c>
      <c r="I98" s="217">
        <f t="shared" si="17"/>
        <v>0</v>
      </c>
      <c r="J98" s="323">
        <f t="shared" si="18"/>
        <v>0</v>
      </c>
      <c r="K98" s="323"/>
      <c r="L98" s="329">
        <v>0</v>
      </c>
      <c r="M98" s="218">
        <f t="shared" si="19"/>
        <v>0</v>
      </c>
      <c r="N98" s="323">
        <f t="shared" si="20"/>
        <v>51271084.82</v>
      </c>
      <c r="O98" s="221">
        <v>6</v>
      </c>
    </row>
    <row r="99" spans="1:15" x14ac:dyDescent="0.2">
      <c r="A99" s="213" t="s">
        <v>869</v>
      </c>
      <c r="B99" s="214">
        <v>456</v>
      </c>
      <c r="C99" s="215" t="s">
        <v>870</v>
      </c>
      <c r="D99" s="215" t="s">
        <v>871</v>
      </c>
      <c r="E99" s="327">
        <v>-51271084.82</v>
      </c>
      <c r="F99" s="323" t="str">
        <f t="shared" si="23"/>
        <v>Other Ratemaking</v>
      </c>
      <c r="G99" s="323">
        <f t="shared" si="16"/>
        <v>0</v>
      </c>
      <c r="H99" s="217">
        <v>0</v>
      </c>
      <c r="I99" s="217">
        <f t="shared" si="17"/>
        <v>0</v>
      </c>
      <c r="J99" s="323">
        <f t="shared" si="18"/>
        <v>0</v>
      </c>
      <c r="K99" s="323"/>
      <c r="L99" s="329">
        <v>0</v>
      </c>
      <c r="M99" s="218">
        <f t="shared" si="19"/>
        <v>0</v>
      </c>
      <c r="N99" s="323">
        <f t="shared" si="20"/>
        <v>-51271084.82</v>
      </c>
      <c r="O99" s="221">
        <v>6</v>
      </c>
    </row>
    <row r="100" spans="1:15" x14ac:dyDescent="0.2">
      <c r="A100" s="213" t="s">
        <v>872</v>
      </c>
      <c r="B100" s="214">
        <v>456</v>
      </c>
      <c r="C100" s="215" t="s">
        <v>873</v>
      </c>
      <c r="D100" s="215" t="s">
        <v>874</v>
      </c>
      <c r="E100" s="327">
        <v>6077.56</v>
      </c>
      <c r="F100" s="323" t="str">
        <f>$J$2</f>
        <v>GRSM</v>
      </c>
      <c r="G100" s="323">
        <f t="shared" si="16"/>
        <v>0</v>
      </c>
      <c r="H100" s="217">
        <v>0</v>
      </c>
      <c r="I100" s="217">
        <f t="shared" si="17"/>
        <v>0</v>
      </c>
      <c r="J100" s="323">
        <f t="shared" si="18"/>
        <v>6077.56</v>
      </c>
      <c r="K100" s="362" t="s">
        <v>628</v>
      </c>
      <c r="L100" s="329">
        <v>-74395.179999999993</v>
      </c>
      <c r="M100" s="218">
        <f t="shared" si="19"/>
        <v>80472.739999999991</v>
      </c>
      <c r="N100" s="323">
        <f t="shared" si="20"/>
        <v>0</v>
      </c>
      <c r="O100" s="221">
        <v>2</v>
      </c>
    </row>
    <row r="101" spans="1:15" x14ac:dyDescent="0.2">
      <c r="A101" s="213" t="s">
        <v>875</v>
      </c>
      <c r="B101" s="214">
        <v>456</v>
      </c>
      <c r="C101" s="215" t="s">
        <v>876</v>
      </c>
      <c r="D101" s="215" t="s">
        <v>877</v>
      </c>
      <c r="E101" s="330">
        <v>45000</v>
      </c>
      <c r="F101" s="323" t="str">
        <f>$J$2</f>
        <v>GRSM</v>
      </c>
      <c r="G101" s="323">
        <f t="shared" si="16"/>
        <v>0</v>
      </c>
      <c r="H101" s="217">
        <v>0</v>
      </c>
      <c r="I101" s="217">
        <f t="shared" si="17"/>
        <v>0</v>
      </c>
      <c r="J101" s="323">
        <f t="shared" si="18"/>
        <v>45000</v>
      </c>
      <c r="K101" s="362" t="s">
        <v>628</v>
      </c>
      <c r="L101" s="330">
        <v>17467.62</v>
      </c>
      <c r="M101" s="218">
        <f t="shared" si="19"/>
        <v>27532.38</v>
      </c>
      <c r="N101" s="323">
        <f t="shared" si="20"/>
        <v>0</v>
      </c>
      <c r="O101" s="221">
        <v>2</v>
      </c>
    </row>
    <row r="102" spans="1:15" x14ac:dyDescent="0.2">
      <c r="A102" s="213" t="s">
        <v>878</v>
      </c>
      <c r="B102" s="214">
        <v>456</v>
      </c>
      <c r="C102" s="215" t="s">
        <v>879</v>
      </c>
      <c r="D102" s="215" t="s">
        <v>880</v>
      </c>
      <c r="E102" s="327">
        <v>0</v>
      </c>
      <c r="F102" s="323" t="str">
        <f>$N$2</f>
        <v>Other Ratemaking</v>
      </c>
      <c r="G102" s="323">
        <f t="shared" si="16"/>
        <v>0</v>
      </c>
      <c r="H102" s="217">
        <v>0</v>
      </c>
      <c r="I102" s="217">
        <f t="shared" si="17"/>
        <v>0</v>
      </c>
      <c r="J102" s="323">
        <f t="shared" si="18"/>
        <v>0</v>
      </c>
      <c r="K102" s="323"/>
      <c r="L102" s="329">
        <v>0</v>
      </c>
      <c r="M102" s="218">
        <f t="shared" si="19"/>
        <v>0</v>
      </c>
      <c r="N102" s="323">
        <f t="shared" si="20"/>
        <v>0</v>
      </c>
      <c r="O102" s="221">
        <v>6</v>
      </c>
    </row>
    <row r="103" spans="1:15" x14ac:dyDescent="0.2">
      <c r="A103" s="213" t="s">
        <v>881</v>
      </c>
      <c r="B103" s="214">
        <v>456</v>
      </c>
      <c r="C103" s="215" t="s">
        <v>882</v>
      </c>
      <c r="D103" s="215" t="s">
        <v>883</v>
      </c>
      <c r="E103" s="327">
        <v>500665.86</v>
      </c>
      <c r="F103" s="323" t="str">
        <f t="shared" ref="F103:F113" si="24">$G$2</f>
        <v>Traditional OOR</v>
      </c>
      <c r="G103" s="323">
        <f t="shared" si="16"/>
        <v>500665.86</v>
      </c>
      <c r="H103" s="217">
        <v>0</v>
      </c>
      <c r="I103" s="217">
        <f t="shared" si="17"/>
        <v>500665.86</v>
      </c>
      <c r="J103" s="323">
        <f t="shared" si="18"/>
        <v>0</v>
      </c>
      <c r="K103" s="323"/>
      <c r="L103" s="329">
        <v>0</v>
      </c>
      <c r="M103" s="218">
        <f t="shared" si="19"/>
        <v>0</v>
      </c>
      <c r="N103" s="323">
        <f t="shared" si="20"/>
        <v>0</v>
      </c>
      <c r="O103" s="221">
        <v>1</v>
      </c>
    </row>
    <row r="104" spans="1:15" x14ac:dyDescent="0.2">
      <c r="A104" s="213" t="s">
        <v>884</v>
      </c>
      <c r="B104" s="214">
        <v>456</v>
      </c>
      <c r="C104" s="215" t="s">
        <v>885</v>
      </c>
      <c r="D104" s="215" t="s">
        <v>886</v>
      </c>
      <c r="E104" s="327">
        <v>0</v>
      </c>
      <c r="F104" s="323" t="str">
        <f t="shared" si="24"/>
        <v>Traditional OOR</v>
      </c>
      <c r="G104" s="323">
        <f t="shared" si="16"/>
        <v>0</v>
      </c>
      <c r="H104" s="217">
        <v>0</v>
      </c>
      <c r="I104" s="217">
        <f t="shared" si="17"/>
        <v>0</v>
      </c>
      <c r="J104" s="323">
        <f t="shared" si="18"/>
        <v>0</v>
      </c>
      <c r="K104" s="323"/>
      <c r="L104" s="329">
        <v>0</v>
      </c>
      <c r="M104" s="218">
        <f t="shared" si="19"/>
        <v>0</v>
      </c>
      <c r="N104" s="323">
        <f t="shared" si="20"/>
        <v>0</v>
      </c>
      <c r="O104" s="221">
        <v>1</v>
      </c>
    </row>
    <row r="105" spans="1:15" x14ac:dyDescent="0.2">
      <c r="A105" s="213" t="s">
        <v>887</v>
      </c>
      <c r="B105" s="214">
        <v>456</v>
      </c>
      <c r="C105" s="215" t="s">
        <v>888</v>
      </c>
      <c r="D105" s="215" t="s">
        <v>889</v>
      </c>
      <c r="E105" s="327">
        <v>2418018.2400000002</v>
      </c>
      <c r="F105" s="323" t="str">
        <f t="shared" si="24"/>
        <v>Traditional OOR</v>
      </c>
      <c r="G105" s="323">
        <f t="shared" si="16"/>
        <v>2418018.2400000002</v>
      </c>
      <c r="H105" s="217">
        <v>0</v>
      </c>
      <c r="I105" s="217">
        <f t="shared" si="17"/>
        <v>2418018.2400000002</v>
      </c>
      <c r="J105" s="323">
        <f t="shared" si="18"/>
        <v>0</v>
      </c>
      <c r="K105" s="323"/>
      <c r="L105" s="329">
        <v>0</v>
      </c>
      <c r="M105" s="218">
        <f t="shared" si="19"/>
        <v>0</v>
      </c>
      <c r="N105" s="323">
        <f t="shared" si="20"/>
        <v>0</v>
      </c>
      <c r="O105" s="221">
        <v>4</v>
      </c>
    </row>
    <row r="106" spans="1:15" x14ac:dyDescent="0.2">
      <c r="A106" s="213" t="s">
        <v>890</v>
      </c>
      <c r="B106" s="214">
        <v>456</v>
      </c>
      <c r="C106" s="215" t="s">
        <v>891</v>
      </c>
      <c r="D106" s="215" t="s">
        <v>892</v>
      </c>
      <c r="E106" s="327">
        <v>480785.05</v>
      </c>
      <c r="F106" s="323" t="str">
        <f t="shared" si="24"/>
        <v>Traditional OOR</v>
      </c>
      <c r="G106" s="323">
        <f t="shared" si="16"/>
        <v>480785.05</v>
      </c>
      <c r="H106" s="217">
        <v>0</v>
      </c>
      <c r="I106" s="217">
        <f t="shared" si="17"/>
        <v>480785.05</v>
      </c>
      <c r="J106" s="323">
        <f t="shared" si="18"/>
        <v>0</v>
      </c>
      <c r="K106" s="323"/>
      <c r="L106" s="329">
        <v>0</v>
      </c>
      <c r="M106" s="218">
        <f t="shared" si="19"/>
        <v>0</v>
      </c>
      <c r="N106" s="323">
        <f t="shared" si="20"/>
        <v>0</v>
      </c>
      <c r="O106" s="221">
        <v>4</v>
      </c>
    </row>
    <row r="107" spans="1:15" x14ac:dyDescent="0.2">
      <c r="A107" s="213" t="s">
        <v>893</v>
      </c>
      <c r="B107" s="214">
        <v>456</v>
      </c>
      <c r="C107" s="215" t="s">
        <v>894</v>
      </c>
      <c r="D107" s="215" t="s">
        <v>895</v>
      </c>
      <c r="E107" s="327">
        <v>-1609</v>
      </c>
      <c r="F107" s="323" t="str">
        <f t="shared" si="24"/>
        <v>Traditional OOR</v>
      </c>
      <c r="G107" s="323">
        <f t="shared" si="16"/>
        <v>-1609</v>
      </c>
      <c r="H107" s="217">
        <v>0</v>
      </c>
      <c r="I107" s="217">
        <f t="shared" si="17"/>
        <v>-1609</v>
      </c>
      <c r="J107" s="323">
        <f t="shared" si="18"/>
        <v>0</v>
      </c>
      <c r="K107" s="323"/>
      <c r="L107" s="329">
        <v>0</v>
      </c>
      <c r="M107" s="218">
        <f t="shared" si="19"/>
        <v>0</v>
      </c>
      <c r="N107" s="323">
        <f t="shared" si="20"/>
        <v>0</v>
      </c>
      <c r="O107" s="221">
        <v>4</v>
      </c>
    </row>
    <row r="108" spans="1:15" x14ac:dyDescent="0.2">
      <c r="A108" s="213" t="s">
        <v>896</v>
      </c>
      <c r="B108" s="214">
        <v>456</v>
      </c>
      <c r="C108" s="215" t="s">
        <v>897</v>
      </c>
      <c r="D108" s="215" t="s">
        <v>898</v>
      </c>
      <c r="E108" s="327">
        <v>95718.48</v>
      </c>
      <c r="F108" s="323" t="str">
        <f t="shared" si="24"/>
        <v>Traditional OOR</v>
      </c>
      <c r="G108" s="323">
        <f t="shared" si="16"/>
        <v>95718.48</v>
      </c>
      <c r="H108" s="217">
        <v>0</v>
      </c>
      <c r="I108" s="217">
        <f t="shared" si="17"/>
        <v>95718.48</v>
      </c>
      <c r="J108" s="323">
        <f t="shared" si="18"/>
        <v>0</v>
      </c>
      <c r="K108" s="323"/>
      <c r="L108" s="329">
        <v>0</v>
      </c>
      <c r="M108" s="218">
        <f t="shared" si="19"/>
        <v>0</v>
      </c>
      <c r="N108" s="323">
        <f t="shared" si="20"/>
        <v>0</v>
      </c>
      <c r="O108" s="221">
        <v>1</v>
      </c>
    </row>
    <row r="109" spans="1:15" x14ac:dyDescent="0.2">
      <c r="A109" s="213" t="s">
        <v>899</v>
      </c>
      <c r="B109" s="214">
        <v>456</v>
      </c>
      <c r="C109" s="215" t="s">
        <v>900</v>
      </c>
      <c r="D109" s="215" t="s">
        <v>901</v>
      </c>
      <c r="E109" s="327">
        <v>2366.36</v>
      </c>
      <c r="F109" s="323" t="str">
        <f t="shared" si="24"/>
        <v>Traditional OOR</v>
      </c>
      <c r="G109" s="323">
        <f t="shared" si="16"/>
        <v>2366.36</v>
      </c>
      <c r="H109" s="217">
        <v>0</v>
      </c>
      <c r="I109" s="217">
        <f t="shared" si="17"/>
        <v>2366.36</v>
      </c>
      <c r="J109" s="323">
        <f t="shared" si="18"/>
        <v>0</v>
      </c>
      <c r="K109" s="323"/>
      <c r="L109" s="329">
        <v>0</v>
      </c>
      <c r="M109" s="218">
        <f t="shared" si="19"/>
        <v>0</v>
      </c>
      <c r="N109" s="323">
        <f t="shared" si="20"/>
        <v>0</v>
      </c>
      <c r="O109" s="221">
        <v>4</v>
      </c>
    </row>
    <row r="110" spans="1:15" x14ac:dyDescent="0.2">
      <c r="A110" s="213" t="s">
        <v>902</v>
      </c>
      <c r="B110" s="214">
        <v>456</v>
      </c>
      <c r="C110" s="215" t="s">
        <v>903</v>
      </c>
      <c r="D110" s="215" t="s">
        <v>904</v>
      </c>
      <c r="E110" s="327">
        <v>1188952.06</v>
      </c>
      <c r="F110" s="323" t="str">
        <f t="shared" si="24"/>
        <v>Traditional OOR</v>
      </c>
      <c r="G110" s="323">
        <f t="shared" si="16"/>
        <v>1188952.06</v>
      </c>
      <c r="H110" s="1145">
        <v>25838</v>
      </c>
      <c r="I110" s="217">
        <f t="shared" si="17"/>
        <v>1163114.06</v>
      </c>
      <c r="J110" s="323">
        <f t="shared" si="18"/>
        <v>0</v>
      </c>
      <c r="K110" s="323"/>
      <c r="L110" s="329">
        <v>0</v>
      </c>
      <c r="M110" s="218">
        <f t="shared" si="19"/>
        <v>0</v>
      </c>
      <c r="N110" s="323">
        <f t="shared" si="20"/>
        <v>0</v>
      </c>
      <c r="O110" s="216">
        <v>8</v>
      </c>
    </row>
    <row r="111" spans="1:15" x14ac:dyDescent="0.2">
      <c r="A111" s="213" t="s">
        <v>905</v>
      </c>
      <c r="B111" s="214">
        <v>456</v>
      </c>
      <c r="C111" s="215" t="s">
        <v>906</v>
      </c>
      <c r="D111" s="215" t="s">
        <v>907</v>
      </c>
      <c r="E111" s="327">
        <v>2112639.9</v>
      </c>
      <c r="F111" s="323" t="str">
        <f t="shared" si="24"/>
        <v>Traditional OOR</v>
      </c>
      <c r="G111" s="323">
        <f t="shared" si="16"/>
        <v>2112639.9</v>
      </c>
      <c r="H111" s="217">
        <v>0</v>
      </c>
      <c r="I111" s="217">
        <f t="shared" si="17"/>
        <v>2112639.9</v>
      </c>
      <c r="J111" s="323">
        <f t="shared" si="18"/>
        <v>0</v>
      </c>
      <c r="K111" s="323"/>
      <c r="L111" s="329">
        <v>0</v>
      </c>
      <c r="M111" s="218">
        <f t="shared" si="19"/>
        <v>0</v>
      </c>
      <c r="N111" s="323">
        <f t="shared" si="20"/>
        <v>0</v>
      </c>
      <c r="O111" s="221">
        <v>4</v>
      </c>
    </row>
    <row r="112" spans="1:15" x14ac:dyDescent="0.2">
      <c r="A112" s="213" t="s">
        <v>908</v>
      </c>
      <c r="B112" s="214">
        <v>456</v>
      </c>
      <c r="C112" s="215" t="s">
        <v>909</v>
      </c>
      <c r="D112" s="215" t="s">
        <v>910</v>
      </c>
      <c r="E112" s="327">
        <v>1244</v>
      </c>
      <c r="F112" s="323" t="str">
        <f t="shared" si="24"/>
        <v>Traditional OOR</v>
      </c>
      <c r="G112" s="323">
        <f t="shared" si="16"/>
        <v>1244</v>
      </c>
      <c r="H112" s="217">
        <v>0</v>
      </c>
      <c r="I112" s="217">
        <f t="shared" si="17"/>
        <v>1244</v>
      </c>
      <c r="J112" s="323">
        <f t="shared" si="18"/>
        <v>0</v>
      </c>
      <c r="K112" s="323"/>
      <c r="L112" s="329">
        <v>0</v>
      </c>
      <c r="M112" s="218">
        <f t="shared" si="19"/>
        <v>0</v>
      </c>
      <c r="N112" s="323">
        <f t="shared" si="20"/>
        <v>0</v>
      </c>
      <c r="O112" s="221">
        <v>4</v>
      </c>
    </row>
    <row r="113" spans="1:15" x14ac:dyDescent="0.2">
      <c r="A113" s="213" t="s">
        <v>911</v>
      </c>
      <c r="B113" s="214">
        <v>456</v>
      </c>
      <c r="C113" s="215" t="s">
        <v>912</v>
      </c>
      <c r="D113" s="215" t="s">
        <v>913</v>
      </c>
      <c r="E113" s="327">
        <v>0</v>
      </c>
      <c r="F113" s="323" t="str">
        <f t="shared" si="24"/>
        <v>Traditional OOR</v>
      </c>
      <c r="G113" s="323">
        <f t="shared" si="16"/>
        <v>0</v>
      </c>
      <c r="H113" s="217">
        <v>0</v>
      </c>
      <c r="I113" s="217">
        <f t="shared" si="17"/>
        <v>0</v>
      </c>
      <c r="J113" s="323">
        <f t="shared" si="18"/>
        <v>0</v>
      </c>
      <c r="K113" s="323"/>
      <c r="L113" s="329">
        <v>0</v>
      </c>
      <c r="M113" s="218">
        <f t="shared" si="19"/>
        <v>0</v>
      </c>
      <c r="N113" s="323">
        <f t="shared" si="20"/>
        <v>0</v>
      </c>
      <c r="O113" s="221">
        <v>6</v>
      </c>
    </row>
    <row r="114" spans="1:15" x14ac:dyDescent="0.2">
      <c r="A114" s="1147" t="s">
        <v>2486</v>
      </c>
      <c r="B114" s="214">
        <v>456</v>
      </c>
      <c r="C114" s="215" t="s">
        <v>914</v>
      </c>
      <c r="D114" s="1146" t="s">
        <v>2506</v>
      </c>
      <c r="E114" s="327">
        <v>565350.23</v>
      </c>
      <c r="F114" s="323" t="str">
        <f>$J$2</f>
        <v>GRSM</v>
      </c>
      <c r="G114" s="323">
        <f t="shared" si="16"/>
        <v>0</v>
      </c>
      <c r="H114" s="217">
        <v>0</v>
      </c>
      <c r="I114" s="217">
        <f t="shared" si="17"/>
        <v>0</v>
      </c>
      <c r="J114" s="323">
        <f t="shared" si="18"/>
        <v>565350.23</v>
      </c>
      <c r="K114" s="362" t="s">
        <v>686</v>
      </c>
      <c r="L114" s="329">
        <v>241095.52</v>
      </c>
      <c r="M114" s="218">
        <f>J114-L114</f>
        <v>324254.70999999996</v>
      </c>
      <c r="N114" s="323">
        <f t="shared" si="20"/>
        <v>0</v>
      </c>
      <c r="O114" s="221">
        <v>2</v>
      </c>
    </row>
    <row r="115" spans="1:15" x14ac:dyDescent="0.2">
      <c r="A115" s="1147" t="s">
        <v>2487</v>
      </c>
      <c r="B115" s="214">
        <v>456</v>
      </c>
      <c r="C115" s="213" t="s">
        <v>1727</v>
      </c>
      <c r="D115" s="215" t="s">
        <v>1726</v>
      </c>
      <c r="E115" s="327">
        <v>-18773.580000000002</v>
      </c>
      <c r="F115" s="323" t="str">
        <f>$G$2</f>
        <v>Traditional OOR</v>
      </c>
      <c r="G115" s="323">
        <f t="shared" si="16"/>
        <v>-18773.580000000002</v>
      </c>
      <c r="H115" s="217">
        <v>0</v>
      </c>
      <c r="I115" s="217">
        <f t="shared" si="17"/>
        <v>-18773.580000000002</v>
      </c>
      <c r="J115" s="323">
        <f t="shared" si="18"/>
        <v>0</v>
      </c>
      <c r="K115" s="323"/>
      <c r="L115" s="329">
        <v>0</v>
      </c>
      <c r="M115" s="218">
        <f>J115-L115</f>
        <v>0</v>
      </c>
      <c r="N115" s="323">
        <f t="shared" si="20"/>
        <v>0</v>
      </c>
      <c r="O115" s="221">
        <v>1</v>
      </c>
    </row>
    <row r="116" spans="1:15" x14ac:dyDescent="0.2">
      <c r="A116" s="357"/>
      <c r="B116" s="353"/>
      <c r="C116" s="352"/>
      <c r="D116" s="354"/>
      <c r="E116" s="327"/>
      <c r="F116" s="327"/>
      <c r="G116" s="331"/>
      <c r="H116" s="329"/>
      <c r="I116" s="329"/>
      <c r="J116" s="327"/>
      <c r="K116" s="327"/>
      <c r="L116" s="329"/>
      <c r="M116" s="329"/>
      <c r="N116" s="327"/>
      <c r="O116" s="328"/>
    </row>
    <row r="117" spans="1:15" x14ac:dyDescent="0.2">
      <c r="A117" s="357"/>
      <c r="B117" s="353"/>
      <c r="C117" s="352"/>
      <c r="D117" s="354"/>
      <c r="E117" s="327"/>
      <c r="F117" s="327"/>
      <c r="G117" s="331"/>
      <c r="H117" s="329"/>
      <c r="I117" s="329"/>
      <c r="J117" s="327"/>
      <c r="K117" s="327"/>
      <c r="L117" s="329"/>
      <c r="M117" s="329"/>
      <c r="N117" s="327"/>
      <c r="O117" s="328"/>
    </row>
    <row r="118" spans="1:15" x14ac:dyDescent="0.2">
      <c r="A118" s="219">
        <v>13</v>
      </c>
      <c r="B118" s="1231" t="s">
        <v>915</v>
      </c>
      <c r="C118" s="1229"/>
      <c r="D118" s="1230"/>
      <c r="E118" s="320">
        <f>SUM(E62:E117)</f>
        <v>36324951.899999999</v>
      </c>
      <c r="F118" s="345"/>
      <c r="G118" s="320">
        <f>SUM(G62:G117)</f>
        <v>33038631.5546983</v>
      </c>
      <c r="H118" s="336">
        <f>SUM(H62:H117)</f>
        <v>38660.260123200002</v>
      </c>
      <c r="I118" s="336">
        <f>SUM(I62:I117)</f>
        <v>32999971.294575099</v>
      </c>
      <c r="J118" s="320">
        <f>SUM(J62:J117)</f>
        <v>3072173.8</v>
      </c>
      <c r="K118" s="345"/>
      <c r="L118" s="320">
        <f>SUM(L62:L117)</f>
        <v>610447.91</v>
      </c>
      <c r="M118" s="320">
        <f>SUM(M62:M117)</f>
        <v>2461725.8899999997</v>
      </c>
      <c r="N118" s="320">
        <f>SUM(N62:N117)</f>
        <v>214146.54530169815</v>
      </c>
      <c r="O118" s="206"/>
    </row>
    <row r="119" spans="1:15" ht="25.5" customHeight="1" x14ac:dyDescent="0.2">
      <c r="A119" s="219">
        <v>14</v>
      </c>
      <c r="B119" s="1223" t="s">
        <v>1537</v>
      </c>
      <c r="C119" s="1224"/>
      <c r="D119" s="1225"/>
      <c r="E119" s="333">
        <v>36324952</v>
      </c>
      <c r="F119" s="335"/>
      <c r="G119" s="351"/>
      <c r="H119" s="335"/>
      <c r="I119" s="335"/>
      <c r="J119" s="351"/>
      <c r="K119" s="335"/>
      <c r="L119" s="321"/>
      <c r="M119" s="321"/>
      <c r="N119" s="321"/>
      <c r="O119" s="205"/>
    </row>
    <row r="120" spans="1:15" x14ac:dyDescent="0.2">
      <c r="A120" s="222"/>
      <c r="B120" s="223"/>
      <c r="C120" s="224"/>
      <c r="D120" s="225"/>
      <c r="E120" s="321"/>
      <c r="F120" s="321"/>
      <c r="G120" s="321"/>
      <c r="H120" s="335"/>
      <c r="I120" s="335"/>
      <c r="J120" s="321"/>
      <c r="K120" s="335"/>
      <c r="L120" s="321"/>
      <c r="M120" s="321"/>
      <c r="N120" s="321"/>
      <c r="O120" s="205"/>
    </row>
    <row r="121" spans="1:15" x14ac:dyDescent="0.2">
      <c r="A121" s="219" t="s">
        <v>916</v>
      </c>
      <c r="B121" s="214">
        <v>456.1</v>
      </c>
      <c r="C121" s="220" t="s">
        <v>917</v>
      </c>
      <c r="D121" s="215" t="s">
        <v>918</v>
      </c>
      <c r="E121" s="330">
        <v>85260</v>
      </c>
      <c r="F121" s="323" t="str">
        <f>$G$2</f>
        <v>Traditional OOR</v>
      </c>
      <c r="G121" s="323">
        <f t="shared" ref="G121:G139" si="25">IF(F121=$G$2,E121,0)</f>
        <v>85260</v>
      </c>
      <c r="H121" s="217">
        <f>G121</f>
        <v>85260</v>
      </c>
      <c r="I121" s="217">
        <f t="shared" ref="I121:I139" si="26">G121-H121</f>
        <v>0</v>
      </c>
      <c r="J121" s="323">
        <f t="shared" ref="J121:J139" si="27">IF(F121=$J$2,E121,0)</f>
        <v>0</v>
      </c>
      <c r="K121" s="362"/>
      <c r="L121" s="329">
        <v>0</v>
      </c>
      <c r="M121" s="218">
        <f t="shared" ref="M121:M139" si="28">J121-L121</f>
        <v>0</v>
      </c>
      <c r="N121" s="323">
        <f t="shared" ref="N121:N139" si="29">IF(F121=$N$2,E121,0)</f>
        <v>0</v>
      </c>
      <c r="O121" s="221">
        <v>5</v>
      </c>
    </row>
    <row r="122" spans="1:15" x14ac:dyDescent="0.2">
      <c r="A122" s="219" t="s">
        <v>919</v>
      </c>
      <c r="B122" s="214">
        <v>456.1</v>
      </c>
      <c r="C122" s="220" t="s">
        <v>920</v>
      </c>
      <c r="D122" s="215" t="s">
        <v>921</v>
      </c>
      <c r="E122" s="330">
        <v>302520.57</v>
      </c>
      <c r="F122" s="323" t="str">
        <f>$G$2</f>
        <v>Traditional OOR</v>
      </c>
      <c r="G122" s="323">
        <f t="shared" si="25"/>
        <v>302520.57</v>
      </c>
      <c r="H122" s="217">
        <v>0</v>
      </c>
      <c r="I122" s="217">
        <f t="shared" si="26"/>
        <v>302520.57</v>
      </c>
      <c r="J122" s="323">
        <f t="shared" si="27"/>
        <v>0</v>
      </c>
      <c r="K122" s="362"/>
      <c r="L122" s="329">
        <v>0</v>
      </c>
      <c r="M122" s="218">
        <f t="shared" si="28"/>
        <v>0</v>
      </c>
      <c r="N122" s="323">
        <f t="shared" si="29"/>
        <v>0</v>
      </c>
      <c r="O122" s="221">
        <v>4</v>
      </c>
    </row>
    <row r="123" spans="1:15" x14ac:dyDescent="0.2">
      <c r="A123" s="219" t="s">
        <v>922</v>
      </c>
      <c r="B123" s="214">
        <v>456.1</v>
      </c>
      <c r="C123" s="220" t="s">
        <v>923</v>
      </c>
      <c r="D123" s="215" t="s">
        <v>924</v>
      </c>
      <c r="E123" s="330">
        <v>996162.96</v>
      </c>
      <c r="F123" s="323" t="str">
        <f>$G$2</f>
        <v>Traditional OOR</v>
      </c>
      <c r="G123" s="323">
        <f t="shared" si="25"/>
        <v>996162.96</v>
      </c>
      <c r="H123" s="217">
        <v>0</v>
      </c>
      <c r="I123" s="217">
        <f t="shared" si="26"/>
        <v>996162.96</v>
      </c>
      <c r="J123" s="323">
        <f t="shared" si="27"/>
        <v>0</v>
      </c>
      <c r="K123" s="362"/>
      <c r="L123" s="329">
        <v>0</v>
      </c>
      <c r="M123" s="218">
        <f t="shared" si="28"/>
        <v>0</v>
      </c>
      <c r="N123" s="323">
        <f t="shared" si="29"/>
        <v>0</v>
      </c>
      <c r="O123" s="221">
        <v>4</v>
      </c>
    </row>
    <row r="124" spans="1:15" x14ac:dyDescent="0.2">
      <c r="A124" s="219" t="s">
        <v>925</v>
      </c>
      <c r="B124" s="214">
        <v>456.1</v>
      </c>
      <c r="C124" s="220" t="s">
        <v>926</v>
      </c>
      <c r="D124" s="215" t="s">
        <v>927</v>
      </c>
      <c r="E124" s="330">
        <v>142525.28</v>
      </c>
      <c r="F124" s="323" t="str">
        <f>$N$2</f>
        <v>Other Ratemaking</v>
      </c>
      <c r="G124" s="323">
        <f t="shared" si="25"/>
        <v>0</v>
      </c>
      <c r="H124" s="217">
        <v>0</v>
      </c>
      <c r="I124" s="217">
        <f t="shared" si="26"/>
        <v>0</v>
      </c>
      <c r="J124" s="323">
        <f t="shared" si="27"/>
        <v>0</v>
      </c>
      <c r="K124" s="362"/>
      <c r="L124" s="329">
        <v>0</v>
      </c>
      <c r="M124" s="218">
        <f t="shared" si="28"/>
        <v>0</v>
      </c>
      <c r="N124" s="323">
        <f t="shared" si="29"/>
        <v>142525.28</v>
      </c>
      <c r="O124" s="221">
        <v>6</v>
      </c>
    </row>
    <row r="125" spans="1:15" x14ac:dyDescent="0.2">
      <c r="A125" s="219" t="s">
        <v>928</v>
      </c>
      <c r="B125" s="214">
        <v>456.1</v>
      </c>
      <c r="C125" s="220" t="s">
        <v>929</v>
      </c>
      <c r="D125" s="215" t="s">
        <v>930</v>
      </c>
      <c r="E125" s="330">
        <v>24088685.48</v>
      </c>
      <c r="F125" s="323" t="str">
        <f>$N$2</f>
        <v>Other Ratemaking</v>
      </c>
      <c r="G125" s="323">
        <f t="shared" si="25"/>
        <v>0</v>
      </c>
      <c r="H125" s="217">
        <v>0</v>
      </c>
      <c r="I125" s="217">
        <f t="shared" si="26"/>
        <v>0</v>
      </c>
      <c r="J125" s="323">
        <f t="shared" si="27"/>
        <v>0</v>
      </c>
      <c r="K125" s="362"/>
      <c r="L125" s="329">
        <v>0</v>
      </c>
      <c r="M125" s="218">
        <f t="shared" si="28"/>
        <v>0</v>
      </c>
      <c r="N125" s="323">
        <f t="shared" si="29"/>
        <v>24088685.48</v>
      </c>
      <c r="O125" s="221">
        <v>6</v>
      </c>
    </row>
    <row r="126" spans="1:15" x14ac:dyDescent="0.2">
      <c r="A126" s="219" t="s">
        <v>931</v>
      </c>
      <c r="B126" s="214">
        <v>456.1</v>
      </c>
      <c r="C126" s="220" t="s">
        <v>932</v>
      </c>
      <c r="D126" s="215" t="s">
        <v>933</v>
      </c>
      <c r="E126" s="330">
        <v>0</v>
      </c>
      <c r="F126" s="323" t="str">
        <f>$N$2</f>
        <v>Other Ratemaking</v>
      </c>
      <c r="G126" s="323">
        <f t="shared" si="25"/>
        <v>0</v>
      </c>
      <c r="H126" s="217">
        <v>0</v>
      </c>
      <c r="I126" s="217">
        <f t="shared" si="26"/>
        <v>0</v>
      </c>
      <c r="J126" s="323">
        <f t="shared" si="27"/>
        <v>0</v>
      </c>
      <c r="K126" s="362"/>
      <c r="L126" s="329">
        <v>0</v>
      </c>
      <c r="M126" s="218">
        <f t="shared" si="28"/>
        <v>0</v>
      </c>
      <c r="N126" s="323">
        <f t="shared" si="29"/>
        <v>0</v>
      </c>
      <c r="O126" s="221">
        <v>6</v>
      </c>
    </row>
    <row r="127" spans="1:15" x14ac:dyDescent="0.2">
      <c r="A127" s="219" t="s">
        <v>934</v>
      </c>
      <c r="B127" s="214">
        <v>456.1</v>
      </c>
      <c r="C127" s="220" t="s">
        <v>935</v>
      </c>
      <c r="D127" s="215" t="s">
        <v>936</v>
      </c>
      <c r="E127" s="330">
        <v>27574621.800000001</v>
      </c>
      <c r="F127" s="323" t="str">
        <f>$G$2</f>
        <v>Traditional OOR</v>
      </c>
      <c r="G127" s="323">
        <f t="shared" si="25"/>
        <v>27574621.800000001</v>
      </c>
      <c r="H127" s="217">
        <f>G127</f>
        <v>27574621.800000001</v>
      </c>
      <c r="I127" s="217">
        <f t="shared" si="26"/>
        <v>0</v>
      </c>
      <c r="J127" s="323">
        <f t="shared" si="27"/>
        <v>0</v>
      </c>
      <c r="K127" s="362"/>
      <c r="L127" s="329">
        <v>0</v>
      </c>
      <c r="M127" s="218">
        <f t="shared" si="28"/>
        <v>0</v>
      </c>
      <c r="N127" s="323">
        <f t="shared" si="29"/>
        <v>0</v>
      </c>
      <c r="O127" s="221">
        <v>5</v>
      </c>
    </row>
    <row r="128" spans="1:15" x14ac:dyDescent="0.2">
      <c r="A128" s="219" t="s">
        <v>937</v>
      </c>
      <c r="B128" s="214">
        <v>456.1</v>
      </c>
      <c r="C128" s="220" t="s">
        <v>938</v>
      </c>
      <c r="D128" s="215" t="s">
        <v>939</v>
      </c>
      <c r="E128" s="330">
        <v>4902082.4800000004</v>
      </c>
      <c r="F128" s="323" t="str">
        <f>$G$2</f>
        <v>Traditional OOR</v>
      </c>
      <c r="G128" s="323">
        <f t="shared" si="25"/>
        <v>4902082.4800000004</v>
      </c>
      <c r="H128" s="217">
        <v>0</v>
      </c>
      <c r="I128" s="217">
        <f t="shared" si="26"/>
        <v>4902082.4800000004</v>
      </c>
      <c r="J128" s="323">
        <f t="shared" si="27"/>
        <v>0</v>
      </c>
      <c r="K128" s="362"/>
      <c r="L128" s="329">
        <v>0</v>
      </c>
      <c r="M128" s="218">
        <f t="shared" si="28"/>
        <v>0</v>
      </c>
      <c r="N128" s="323">
        <f t="shared" si="29"/>
        <v>0</v>
      </c>
      <c r="O128" s="221">
        <v>4</v>
      </c>
    </row>
    <row r="129" spans="1:15" x14ac:dyDescent="0.2">
      <c r="A129" s="219" t="s">
        <v>940</v>
      </c>
      <c r="B129" s="214">
        <v>456.1</v>
      </c>
      <c r="C129" s="220" t="s">
        <v>941</v>
      </c>
      <c r="D129" s="215" t="s">
        <v>942</v>
      </c>
      <c r="E129" s="330">
        <v>395497.93</v>
      </c>
      <c r="F129" s="323" t="str">
        <f>$G$2</f>
        <v>Traditional OOR</v>
      </c>
      <c r="G129" s="323">
        <f t="shared" si="25"/>
        <v>395497.93</v>
      </c>
      <c r="H129" s="217">
        <v>0</v>
      </c>
      <c r="I129" s="217">
        <f t="shared" si="26"/>
        <v>395497.93</v>
      </c>
      <c r="J129" s="323">
        <f t="shared" si="27"/>
        <v>0</v>
      </c>
      <c r="K129" s="362"/>
      <c r="L129" s="329">
        <v>0</v>
      </c>
      <c r="M129" s="218">
        <f t="shared" si="28"/>
        <v>0</v>
      </c>
      <c r="N129" s="323">
        <f t="shared" si="29"/>
        <v>0</v>
      </c>
      <c r="O129" s="221">
        <v>4</v>
      </c>
    </row>
    <row r="130" spans="1:15" x14ac:dyDescent="0.2">
      <c r="A130" s="219" t="s">
        <v>943</v>
      </c>
      <c r="B130" s="214">
        <v>456.1</v>
      </c>
      <c r="C130" s="220" t="s">
        <v>944</v>
      </c>
      <c r="D130" s="215" t="s">
        <v>945</v>
      </c>
      <c r="E130" s="330">
        <v>0</v>
      </c>
      <c r="F130" s="323" t="str">
        <f>$N$2</f>
        <v>Other Ratemaking</v>
      </c>
      <c r="G130" s="323">
        <f t="shared" si="25"/>
        <v>0</v>
      </c>
      <c r="H130" s="217">
        <v>0</v>
      </c>
      <c r="I130" s="217">
        <f t="shared" si="26"/>
        <v>0</v>
      </c>
      <c r="J130" s="323">
        <f t="shared" si="27"/>
        <v>0</v>
      </c>
      <c r="K130" s="362"/>
      <c r="L130" s="329">
        <v>0</v>
      </c>
      <c r="M130" s="218">
        <f t="shared" si="28"/>
        <v>0</v>
      </c>
      <c r="N130" s="323">
        <f t="shared" si="29"/>
        <v>0</v>
      </c>
      <c r="O130" s="221">
        <v>6</v>
      </c>
    </row>
    <row r="131" spans="1:15" x14ac:dyDescent="0.2">
      <c r="A131" s="219" t="s">
        <v>946</v>
      </c>
      <c r="B131" s="214">
        <v>456.1</v>
      </c>
      <c r="C131" s="220" t="s">
        <v>947</v>
      </c>
      <c r="D131" s="215" t="s">
        <v>948</v>
      </c>
      <c r="E131" s="330">
        <v>1081985.76</v>
      </c>
      <c r="F131" s="323" t="str">
        <f t="shared" ref="F131:F138" si="30">$G$2</f>
        <v>Traditional OOR</v>
      </c>
      <c r="G131" s="323">
        <f t="shared" si="25"/>
        <v>1081985.76</v>
      </c>
      <c r="H131" s="217">
        <v>0</v>
      </c>
      <c r="I131" s="217">
        <f t="shared" si="26"/>
        <v>1081985.76</v>
      </c>
      <c r="J131" s="323">
        <f t="shared" si="27"/>
        <v>0</v>
      </c>
      <c r="K131" s="362"/>
      <c r="L131" s="329">
        <v>0</v>
      </c>
      <c r="M131" s="218">
        <f t="shared" si="28"/>
        <v>0</v>
      </c>
      <c r="N131" s="323">
        <f t="shared" si="29"/>
        <v>0</v>
      </c>
      <c r="O131" s="221">
        <v>4</v>
      </c>
    </row>
    <row r="132" spans="1:15" x14ac:dyDescent="0.2">
      <c r="A132" s="219" t="s">
        <v>949</v>
      </c>
      <c r="B132" s="214">
        <v>456.1</v>
      </c>
      <c r="C132" s="220" t="s">
        <v>950</v>
      </c>
      <c r="D132" s="215" t="s">
        <v>951</v>
      </c>
      <c r="E132" s="330">
        <v>399766.3</v>
      </c>
      <c r="F132" s="323" t="str">
        <f t="shared" si="30"/>
        <v>Traditional OOR</v>
      </c>
      <c r="G132" s="323">
        <f t="shared" si="25"/>
        <v>399766.3</v>
      </c>
      <c r="H132" s="217">
        <v>0</v>
      </c>
      <c r="I132" s="217">
        <f t="shared" si="26"/>
        <v>399766.3</v>
      </c>
      <c r="J132" s="323">
        <f t="shared" si="27"/>
        <v>0</v>
      </c>
      <c r="K132" s="362"/>
      <c r="L132" s="329">
        <v>0</v>
      </c>
      <c r="M132" s="218">
        <f t="shared" si="28"/>
        <v>0</v>
      </c>
      <c r="N132" s="323">
        <f t="shared" si="29"/>
        <v>0</v>
      </c>
      <c r="O132" s="221">
        <v>4</v>
      </c>
    </row>
    <row r="133" spans="1:15" x14ac:dyDescent="0.2">
      <c r="A133" s="219" t="s">
        <v>952</v>
      </c>
      <c r="B133" s="214">
        <v>456.1</v>
      </c>
      <c r="C133" s="220" t="s">
        <v>953</v>
      </c>
      <c r="D133" s="215" t="s">
        <v>954</v>
      </c>
      <c r="E133" s="330">
        <v>188879.76</v>
      </c>
      <c r="F133" s="323" t="str">
        <f t="shared" si="30"/>
        <v>Traditional OOR</v>
      </c>
      <c r="G133" s="323">
        <f t="shared" si="25"/>
        <v>188879.76</v>
      </c>
      <c r="H133" s="217">
        <v>0</v>
      </c>
      <c r="I133" s="217">
        <f t="shared" si="26"/>
        <v>188879.76</v>
      </c>
      <c r="J133" s="323">
        <f t="shared" si="27"/>
        <v>0</v>
      </c>
      <c r="K133" s="362"/>
      <c r="L133" s="329">
        <v>0</v>
      </c>
      <c r="M133" s="218">
        <f t="shared" si="28"/>
        <v>0</v>
      </c>
      <c r="N133" s="323">
        <f t="shared" si="29"/>
        <v>0</v>
      </c>
      <c r="O133" s="221">
        <v>4</v>
      </c>
    </row>
    <row r="134" spans="1:15" x14ac:dyDescent="0.2">
      <c r="A134" s="219" t="s">
        <v>955</v>
      </c>
      <c r="B134" s="214">
        <v>456.1</v>
      </c>
      <c r="C134" s="220" t="s">
        <v>956</v>
      </c>
      <c r="D134" s="215" t="s">
        <v>957</v>
      </c>
      <c r="E134" s="330">
        <v>550376.4</v>
      </c>
      <c r="F134" s="323" t="str">
        <f t="shared" si="30"/>
        <v>Traditional OOR</v>
      </c>
      <c r="G134" s="323">
        <f t="shared" si="25"/>
        <v>550376.4</v>
      </c>
      <c r="H134" s="217">
        <v>0</v>
      </c>
      <c r="I134" s="217">
        <f t="shared" si="26"/>
        <v>550376.4</v>
      </c>
      <c r="J134" s="323">
        <f t="shared" si="27"/>
        <v>0</v>
      </c>
      <c r="K134" s="362"/>
      <c r="L134" s="329">
        <v>0</v>
      </c>
      <c r="M134" s="218">
        <f t="shared" si="28"/>
        <v>0</v>
      </c>
      <c r="N134" s="323">
        <f t="shared" si="29"/>
        <v>0</v>
      </c>
      <c r="O134" s="221">
        <v>4</v>
      </c>
    </row>
    <row r="135" spans="1:15" x14ac:dyDescent="0.2">
      <c r="A135" s="219" t="s">
        <v>958</v>
      </c>
      <c r="B135" s="214">
        <v>456.1</v>
      </c>
      <c r="C135" s="220" t="s">
        <v>959</v>
      </c>
      <c r="D135" s="215" t="s">
        <v>960</v>
      </c>
      <c r="E135" s="330">
        <v>650488.19999999995</v>
      </c>
      <c r="F135" s="323" t="str">
        <f t="shared" si="30"/>
        <v>Traditional OOR</v>
      </c>
      <c r="G135" s="323">
        <f t="shared" si="25"/>
        <v>650488.19999999995</v>
      </c>
      <c r="H135" s="217">
        <v>0</v>
      </c>
      <c r="I135" s="217">
        <f t="shared" si="26"/>
        <v>650488.19999999995</v>
      </c>
      <c r="J135" s="323">
        <f t="shared" si="27"/>
        <v>0</v>
      </c>
      <c r="K135" s="362"/>
      <c r="L135" s="329">
        <v>0</v>
      </c>
      <c r="M135" s="218">
        <f t="shared" si="28"/>
        <v>0</v>
      </c>
      <c r="N135" s="323">
        <f t="shared" si="29"/>
        <v>0</v>
      </c>
      <c r="O135" s="221">
        <v>4</v>
      </c>
    </row>
    <row r="136" spans="1:15" x14ac:dyDescent="0.2">
      <c r="A136" s="219" t="s">
        <v>961</v>
      </c>
      <c r="B136" s="214">
        <v>456.1</v>
      </c>
      <c r="C136" s="220" t="s">
        <v>962</v>
      </c>
      <c r="D136" s="215" t="s">
        <v>963</v>
      </c>
      <c r="E136" s="330">
        <v>264133.44</v>
      </c>
      <c r="F136" s="323" t="str">
        <f t="shared" si="30"/>
        <v>Traditional OOR</v>
      </c>
      <c r="G136" s="323">
        <f t="shared" si="25"/>
        <v>264133.44</v>
      </c>
      <c r="H136" s="217">
        <v>0</v>
      </c>
      <c r="I136" s="217">
        <f t="shared" si="26"/>
        <v>264133.44</v>
      </c>
      <c r="J136" s="323">
        <f t="shared" si="27"/>
        <v>0</v>
      </c>
      <c r="K136" s="362"/>
      <c r="L136" s="329">
        <v>0</v>
      </c>
      <c r="M136" s="218">
        <f t="shared" si="28"/>
        <v>0</v>
      </c>
      <c r="N136" s="323">
        <f t="shared" si="29"/>
        <v>0</v>
      </c>
      <c r="O136" s="221">
        <v>4</v>
      </c>
    </row>
    <row r="137" spans="1:15" x14ac:dyDescent="0.2">
      <c r="A137" s="219" t="s">
        <v>964</v>
      </c>
      <c r="B137" s="214">
        <v>456.1</v>
      </c>
      <c r="C137" s="220" t="s">
        <v>965</v>
      </c>
      <c r="D137" s="215" t="s">
        <v>966</v>
      </c>
      <c r="E137" s="327">
        <v>0</v>
      </c>
      <c r="F137" s="323" t="str">
        <f t="shared" si="30"/>
        <v>Traditional OOR</v>
      </c>
      <c r="G137" s="323">
        <f t="shared" si="25"/>
        <v>0</v>
      </c>
      <c r="H137" s="217">
        <v>0</v>
      </c>
      <c r="I137" s="217">
        <f t="shared" si="26"/>
        <v>0</v>
      </c>
      <c r="J137" s="323">
        <f t="shared" si="27"/>
        <v>0</v>
      </c>
      <c r="K137" s="323"/>
      <c r="L137" s="329">
        <v>0</v>
      </c>
      <c r="M137" s="218">
        <f t="shared" si="28"/>
        <v>0</v>
      </c>
      <c r="N137" s="323">
        <f t="shared" si="29"/>
        <v>0</v>
      </c>
      <c r="O137" s="221">
        <v>4</v>
      </c>
    </row>
    <row r="138" spans="1:15" x14ac:dyDescent="0.2">
      <c r="A138" s="219" t="s">
        <v>967</v>
      </c>
      <c r="B138" s="214">
        <v>456.1</v>
      </c>
      <c r="C138" s="220" t="s">
        <v>968</v>
      </c>
      <c r="D138" s="215" t="s">
        <v>969</v>
      </c>
      <c r="E138" s="330">
        <v>42492.12</v>
      </c>
      <c r="F138" s="323" t="str">
        <f t="shared" si="30"/>
        <v>Traditional OOR</v>
      </c>
      <c r="G138" s="323">
        <f t="shared" si="25"/>
        <v>42492.12</v>
      </c>
      <c r="H138" s="217">
        <v>0</v>
      </c>
      <c r="I138" s="217">
        <f t="shared" si="26"/>
        <v>42492.12</v>
      </c>
      <c r="J138" s="323">
        <f t="shared" si="27"/>
        <v>0</v>
      </c>
      <c r="K138" s="362"/>
      <c r="L138" s="329">
        <v>0</v>
      </c>
      <c r="M138" s="218">
        <f t="shared" si="28"/>
        <v>0</v>
      </c>
      <c r="N138" s="323">
        <f t="shared" si="29"/>
        <v>0</v>
      </c>
      <c r="O138" s="221">
        <v>4</v>
      </c>
    </row>
    <row r="139" spans="1:15" x14ac:dyDescent="0.2">
      <c r="A139" s="219" t="s">
        <v>970</v>
      </c>
      <c r="B139" s="214">
        <v>456.1</v>
      </c>
      <c r="C139" s="220" t="s">
        <v>971</v>
      </c>
      <c r="D139" s="215" t="s">
        <v>972</v>
      </c>
      <c r="E139" s="330">
        <v>-167396.88</v>
      </c>
      <c r="F139" s="323" t="str">
        <f>$N$2</f>
        <v>Other Ratemaking</v>
      </c>
      <c r="G139" s="323">
        <f t="shared" si="25"/>
        <v>0</v>
      </c>
      <c r="H139" s="217">
        <v>0</v>
      </c>
      <c r="I139" s="217">
        <f t="shared" si="26"/>
        <v>0</v>
      </c>
      <c r="J139" s="323">
        <f t="shared" si="27"/>
        <v>0</v>
      </c>
      <c r="K139" s="362"/>
      <c r="L139" s="329">
        <v>0</v>
      </c>
      <c r="M139" s="218">
        <f t="shared" si="28"/>
        <v>0</v>
      </c>
      <c r="N139" s="323">
        <f t="shared" si="29"/>
        <v>-167396.88</v>
      </c>
      <c r="O139" s="221">
        <v>6</v>
      </c>
    </row>
    <row r="140" spans="1:15" x14ac:dyDescent="0.2">
      <c r="A140" s="357"/>
      <c r="B140" s="353"/>
      <c r="C140" s="352"/>
      <c r="D140" s="354"/>
      <c r="E140" s="330"/>
      <c r="F140" s="330"/>
      <c r="G140" s="331"/>
      <c r="H140" s="329"/>
      <c r="I140" s="329"/>
      <c r="J140" s="327"/>
      <c r="K140" s="330"/>
      <c r="L140" s="329"/>
      <c r="M140" s="329"/>
      <c r="N140" s="327"/>
      <c r="O140" s="328"/>
    </row>
    <row r="141" spans="1:15" x14ac:dyDescent="0.2">
      <c r="A141" s="357"/>
      <c r="B141" s="353"/>
      <c r="C141" s="352"/>
      <c r="D141" s="354"/>
      <c r="E141" s="330"/>
      <c r="F141" s="330"/>
      <c r="G141" s="331"/>
      <c r="H141" s="329"/>
      <c r="I141" s="329"/>
      <c r="J141" s="327"/>
      <c r="K141" s="330"/>
      <c r="L141" s="329"/>
      <c r="M141" s="329"/>
      <c r="N141" s="327"/>
      <c r="O141" s="328"/>
    </row>
    <row r="142" spans="1:15" x14ac:dyDescent="0.2">
      <c r="A142" s="219">
        <v>16</v>
      </c>
      <c r="B142" s="1231" t="s">
        <v>973</v>
      </c>
      <c r="C142" s="1229"/>
      <c r="D142" s="1230"/>
      <c r="E142" s="320">
        <f>SUM(E121:E141)</f>
        <v>61498081.599999994</v>
      </c>
      <c r="F142" s="345"/>
      <c r="G142" s="320">
        <f>SUM(G121:G141)</f>
        <v>37434267.719999991</v>
      </c>
      <c r="H142" s="336">
        <f>SUM(H121:H141)</f>
        <v>27659881.800000001</v>
      </c>
      <c r="I142" s="336">
        <f>SUM(I121:I141)</f>
        <v>9774385.9199999981</v>
      </c>
      <c r="J142" s="320">
        <f>SUM(J121:J141)</f>
        <v>0</v>
      </c>
      <c r="K142" s="345"/>
      <c r="L142" s="320">
        <f>SUM(L121:L141)</f>
        <v>0</v>
      </c>
      <c r="M142" s="320">
        <f>SUM(M121:M141)</f>
        <v>0</v>
      </c>
      <c r="N142" s="320">
        <f>SUM(N121:N141)</f>
        <v>24063813.880000003</v>
      </c>
      <c r="O142" s="206"/>
    </row>
    <row r="143" spans="1:15" ht="25.5" customHeight="1" x14ac:dyDescent="0.2">
      <c r="A143" s="219">
        <v>17</v>
      </c>
      <c r="B143" s="1223" t="s">
        <v>1532</v>
      </c>
      <c r="C143" s="1224"/>
      <c r="D143" s="1225"/>
      <c r="E143" s="333">
        <v>61498082</v>
      </c>
      <c r="F143" s="335"/>
      <c r="G143" s="347"/>
      <c r="H143" s="337"/>
      <c r="I143" s="337"/>
      <c r="J143" s="319"/>
      <c r="K143" s="337"/>
      <c r="L143" s="319"/>
      <c r="M143" s="319"/>
      <c r="N143" s="319"/>
      <c r="O143" s="205"/>
    </row>
    <row r="144" spans="1:15" x14ac:dyDescent="0.2">
      <c r="A144" s="222"/>
      <c r="B144" s="223"/>
      <c r="C144" s="224"/>
      <c r="D144" s="225"/>
      <c r="E144" s="319"/>
      <c r="F144" s="319"/>
      <c r="G144" s="319"/>
      <c r="H144" s="337"/>
      <c r="I144" s="337"/>
      <c r="J144" s="319"/>
      <c r="K144" s="337"/>
      <c r="L144" s="319"/>
      <c r="M144" s="319"/>
      <c r="N144" s="319"/>
      <c r="O144" s="205"/>
    </row>
    <row r="145" spans="1:15" x14ac:dyDescent="0.2">
      <c r="A145" s="357" t="s">
        <v>974</v>
      </c>
      <c r="B145" s="355"/>
      <c r="C145" s="375"/>
      <c r="D145" s="375"/>
      <c r="E145" s="376"/>
      <c r="F145" s="376"/>
      <c r="G145" s="376"/>
      <c r="H145" s="376"/>
      <c r="I145" s="376"/>
      <c r="J145" s="376"/>
      <c r="K145" s="376"/>
      <c r="L145" s="376"/>
      <c r="M145" s="376"/>
      <c r="N145" s="376"/>
      <c r="O145" s="328"/>
    </row>
    <row r="146" spans="1:15" x14ac:dyDescent="0.2">
      <c r="A146" s="357"/>
      <c r="B146" s="377"/>
      <c r="C146" s="375"/>
      <c r="D146" s="375"/>
      <c r="E146" s="376"/>
      <c r="F146" s="376"/>
      <c r="G146" s="376"/>
      <c r="H146" s="376"/>
      <c r="I146" s="376"/>
      <c r="J146" s="376"/>
      <c r="K146" s="376"/>
      <c r="L146" s="376"/>
      <c r="M146" s="376"/>
      <c r="N146" s="376"/>
      <c r="O146" s="328"/>
    </row>
    <row r="147" spans="1:15" x14ac:dyDescent="0.2">
      <c r="A147" s="213">
        <v>19</v>
      </c>
      <c r="B147" s="1231" t="s">
        <v>975</v>
      </c>
      <c r="C147" s="1229"/>
      <c r="D147" s="1230"/>
      <c r="E147" s="320">
        <f>SUM(E145:E146)</f>
        <v>0</v>
      </c>
      <c r="F147" s="383"/>
      <c r="G147" s="320">
        <f>SUM(G145:G146)</f>
        <v>0</v>
      </c>
      <c r="H147" s="320">
        <f t="shared" ref="H147:N147" si="31">SUM(H145:H146)</f>
        <v>0</v>
      </c>
      <c r="I147" s="320">
        <f t="shared" si="31"/>
        <v>0</v>
      </c>
      <c r="J147" s="320">
        <f t="shared" si="31"/>
        <v>0</v>
      </c>
      <c r="K147" s="345"/>
      <c r="L147" s="320">
        <f t="shared" si="31"/>
        <v>0</v>
      </c>
      <c r="M147" s="320">
        <f t="shared" si="31"/>
        <v>0</v>
      </c>
      <c r="N147" s="320">
        <f t="shared" si="31"/>
        <v>0</v>
      </c>
      <c r="O147" s="320"/>
    </row>
    <row r="148" spans="1:15" ht="26.25" customHeight="1" x14ac:dyDescent="0.2">
      <c r="A148" s="213">
        <v>20</v>
      </c>
      <c r="B148" s="1241" t="s">
        <v>1538</v>
      </c>
      <c r="C148" s="1242"/>
      <c r="D148" s="1243"/>
      <c r="E148" s="333">
        <v>0</v>
      </c>
      <c r="F148" s="319"/>
      <c r="G148" s="321"/>
      <c r="H148" s="335"/>
      <c r="I148" s="335"/>
      <c r="J148" s="321"/>
      <c r="K148" s="335"/>
      <c r="L148" s="321"/>
      <c r="M148" s="321"/>
      <c r="N148" s="321"/>
      <c r="O148" s="487"/>
    </row>
    <row r="149" spans="1:15" x14ac:dyDescent="0.2">
      <c r="A149" s="222"/>
      <c r="B149" s="223"/>
      <c r="C149" s="224"/>
      <c r="D149" s="225"/>
      <c r="E149" s="319"/>
      <c r="F149" s="319"/>
      <c r="G149" s="321"/>
      <c r="H149" s="335"/>
      <c r="I149" s="335"/>
      <c r="J149" s="321"/>
      <c r="K149" s="335"/>
      <c r="L149" s="321"/>
      <c r="M149" s="321"/>
      <c r="N149" s="321"/>
      <c r="O149" s="487"/>
    </row>
    <row r="150" spans="1:15" x14ac:dyDescent="0.2">
      <c r="A150" s="357" t="s">
        <v>976</v>
      </c>
      <c r="B150" s="355"/>
      <c r="C150" s="375"/>
      <c r="D150" s="375"/>
      <c r="E150" s="376"/>
      <c r="F150" s="376"/>
      <c r="G150" s="333"/>
      <c r="H150" s="333"/>
      <c r="I150" s="333"/>
      <c r="J150" s="333"/>
      <c r="K150" s="333"/>
      <c r="L150" s="333"/>
      <c r="M150" s="333"/>
      <c r="N150" s="333"/>
      <c r="O150" s="329"/>
    </row>
    <row r="151" spans="1:15" x14ac:dyDescent="0.2">
      <c r="A151" s="357"/>
      <c r="B151" s="377"/>
      <c r="C151" s="375"/>
      <c r="D151" s="375"/>
      <c r="E151" s="376"/>
      <c r="F151" s="376"/>
      <c r="G151" s="333"/>
      <c r="H151" s="333"/>
      <c r="I151" s="333"/>
      <c r="J151" s="333"/>
      <c r="K151" s="333"/>
      <c r="L151" s="333"/>
      <c r="M151" s="333"/>
      <c r="N151" s="333"/>
      <c r="O151" s="329"/>
    </row>
    <row r="152" spans="1:15" x14ac:dyDescent="0.2">
      <c r="A152" s="213">
        <v>22</v>
      </c>
      <c r="B152" s="1231" t="s">
        <v>977</v>
      </c>
      <c r="C152" s="1229"/>
      <c r="D152" s="1230"/>
      <c r="E152" s="320">
        <f>SUM(E150:E151)</f>
        <v>0</v>
      </c>
      <c r="F152" s="383"/>
      <c r="G152" s="320">
        <f>SUM(G150:G151)</f>
        <v>0</v>
      </c>
      <c r="H152" s="320">
        <f>SUM(H150:H151)</f>
        <v>0</v>
      </c>
      <c r="I152" s="320">
        <f>SUM(I150:I151)</f>
        <v>0</v>
      </c>
      <c r="J152" s="320">
        <f>SUM(J150:J151)</f>
        <v>0</v>
      </c>
      <c r="K152" s="345"/>
      <c r="L152" s="320">
        <f>SUM(L150:L151)</f>
        <v>0</v>
      </c>
      <c r="M152" s="320">
        <f>SUM(M150:M151)</f>
        <v>0</v>
      </c>
      <c r="N152" s="320">
        <f>SUM(N150:N151)</f>
        <v>0</v>
      </c>
      <c r="O152" s="320"/>
    </row>
    <row r="153" spans="1:15" ht="26.25" customHeight="1" x14ac:dyDescent="0.2">
      <c r="A153" s="213">
        <v>23</v>
      </c>
      <c r="B153" s="1241" t="s">
        <v>1539</v>
      </c>
      <c r="C153" s="1242"/>
      <c r="D153" s="1243"/>
      <c r="E153" s="333">
        <v>0</v>
      </c>
      <c r="F153" s="319"/>
      <c r="G153" s="319"/>
      <c r="H153" s="337"/>
      <c r="I153" s="337"/>
      <c r="J153" s="319"/>
      <c r="K153" s="337"/>
      <c r="L153" s="319"/>
      <c r="M153" s="319"/>
      <c r="N153" s="319"/>
      <c r="O153" s="205"/>
    </row>
    <row r="154" spans="1:15" x14ac:dyDescent="0.2">
      <c r="A154" s="222"/>
      <c r="B154" s="223"/>
      <c r="C154" s="224"/>
      <c r="D154" s="225"/>
      <c r="E154" s="319"/>
      <c r="F154" s="319"/>
      <c r="G154" s="319"/>
      <c r="H154" s="337"/>
      <c r="I154" s="337"/>
      <c r="J154" s="319"/>
      <c r="K154" s="337"/>
      <c r="L154" s="319"/>
      <c r="M154" s="319"/>
      <c r="N154" s="319"/>
      <c r="O154" s="205"/>
    </row>
    <row r="155" spans="1:15" x14ac:dyDescent="0.2">
      <c r="A155" s="222"/>
      <c r="B155" s="223" t="s">
        <v>978</v>
      </c>
      <c r="C155" s="224"/>
      <c r="D155" s="225"/>
      <c r="E155" s="319"/>
      <c r="F155" s="319"/>
      <c r="G155" s="319"/>
      <c r="H155" s="337"/>
      <c r="I155" s="337"/>
      <c r="J155" s="319"/>
      <c r="K155" s="337"/>
      <c r="L155" s="319"/>
      <c r="M155" s="319"/>
      <c r="N155" s="319"/>
      <c r="O155" s="205"/>
    </row>
    <row r="156" spans="1:15" x14ac:dyDescent="0.2">
      <c r="A156" s="219" t="s">
        <v>979</v>
      </c>
      <c r="B156" s="233">
        <v>417</v>
      </c>
      <c r="C156" s="326">
        <v>4863135</v>
      </c>
      <c r="D156" s="229" t="s">
        <v>980</v>
      </c>
      <c r="E156" s="330">
        <v>-9528</v>
      </c>
      <c r="F156" s="323" t="str">
        <f t="shared" ref="F156:F170" si="32">$J$2</f>
        <v>GRSM</v>
      </c>
      <c r="G156" s="323">
        <f t="shared" ref="G156:G170" si="33">IF(F156=$G$2,E156,0)</f>
        <v>0</v>
      </c>
      <c r="H156" s="217">
        <v>0</v>
      </c>
      <c r="I156" s="217">
        <f t="shared" ref="I156:I170" si="34">G156-H156</f>
        <v>0</v>
      </c>
      <c r="J156" s="323">
        <f t="shared" ref="J156:J170" si="35">IF(F156=$J$2,E156,0)</f>
        <v>-9528</v>
      </c>
      <c r="K156" s="216" t="s">
        <v>686</v>
      </c>
      <c r="L156" s="327">
        <v>-9528</v>
      </c>
      <c r="M156" s="322">
        <f t="shared" ref="M156:M170" si="36">J156-L156</f>
        <v>0</v>
      </c>
      <c r="N156" s="323">
        <f t="shared" ref="N156:N170" si="37">IF(F156=$N$2,E156,0)</f>
        <v>0</v>
      </c>
      <c r="O156" s="221">
        <v>2</v>
      </c>
    </row>
    <row r="157" spans="1:15" x14ac:dyDescent="0.2">
      <c r="A157" s="219" t="s">
        <v>981</v>
      </c>
      <c r="B157" s="233">
        <v>417</v>
      </c>
      <c r="C157" s="326">
        <v>4863130</v>
      </c>
      <c r="D157" s="229" t="s">
        <v>982</v>
      </c>
      <c r="E157" s="330">
        <v>738050.85</v>
      </c>
      <c r="F157" s="323" t="str">
        <f t="shared" si="32"/>
        <v>GRSM</v>
      </c>
      <c r="G157" s="323">
        <f t="shared" si="33"/>
        <v>0</v>
      </c>
      <c r="H157" s="217">
        <v>0</v>
      </c>
      <c r="I157" s="217">
        <f t="shared" si="34"/>
        <v>0</v>
      </c>
      <c r="J157" s="323">
        <f t="shared" si="35"/>
        <v>738050.85</v>
      </c>
      <c r="K157" s="216" t="s">
        <v>686</v>
      </c>
      <c r="L157" s="327">
        <f>60315.4+60315.4+22129.5</f>
        <v>142760.29999999999</v>
      </c>
      <c r="M157" s="322">
        <f t="shared" si="36"/>
        <v>595290.55000000005</v>
      </c>
      <c r="N157" s="323">
        <f t="shared" si="37"/>
        <v>0</v>
      </c>
      <c r="O157" s="221">
        <v>2</v>
      </c>
    </row>
    <row r="158" spans="1:15" x14ac:dyDescent="0.2">
      <c r="A158" s="219" t="s">
        <v>983</v>
      </c>
      <c r="B158" s="233">
        <v>417</v>
      </c>
      <c r="C158" s="326">
        <v>4862110</v>
      </c>
      <c r="D158" s="229" t="s">
        <v>984</v>
      </c>
      <c r="E158" s="330">
        <v>5136926.17</v>
      </c>
      <c r="F158" s="323" t="str">
        <f t="shared" si="32"/>
        <v>GRSM</v>
      </c>
      <c r="G158" s="323">
        <f t="shared" si="33"/>
        <v>0</v>
      </c>
      <c r="H158" s="217">
        <v>0</v>
      </c>
      <c r="I158" s="217">
        <f t="shared" si="34"/>
        <v>0</v>
      </c>
      <c r="J158" s="323">
        <f t="shared" si="35"/>
        <v>5136926.17</v>
      </c>
      <c r="K158" s="216" t="s">
        <v>628</v>
      </c>
      <c r="L158" s="327">
        <v>918355.73</v>
      </c>
      <c r="M158" s="322">
        <f t="shared" si="36"/>
        <v>4218570.4399999995</v>
      </c>
      <c r="N158" s="323">
        <f t="shared" si="37"/>
        <v>0</v>
      </c>
      <c r="O158" s="221">
        <v>2</v>
      </c>
    </row>
    <row r="159" spans="1:15" x14ac:dyDescent="0.2">
      <c r="A159" s="219" t="s">
        <v>985</v>
      </c>
      <c r="B159" s="233">
        <v>417</v>
      </c>
      <c r="C159" s="326">
        <v>4862115</v>
      </c>
      <c r="D159" s="229" t="s">
        <v>986</v>
      </c>
      <c r="E159" s="330">
        <v>3371971.04</v>
      </c>
      <c r="F159" s="323" t="str">
        <f t="shared" si="32"/>
        <v>GRSM</v>
      </c>
      <c r="G159" s="323">
        <f t="shared" si="33"/>
        <v>0</v>
      </c>
      <c r="H159" s="217">
        <v>0</v>
      </c>
      <c r="I159" s="217">
        <f t="shared" si="34"/>
        <v>0</v>
      </c>
      <c r="J159" s="323">
        <f t="shared" si="35"/>
        <v>3371971.04</v>
      </c>
      <c r="K159" s="216" t="s">
        <v>628</v>
      </c>
      <c r="L159" s="327">
        <v>656541.12</v>
      </c>
      <c r="M159" s="322">
        <f t="shared" si="36"/>
        <v>2715429.92</v>
      </c>
      <c r="N159" s="323">
        <f t="shared" si="37"/>
        <v>0</v>
      </c>
      <c r="O159" s="221">
        <v>2</v>
      </c>
    </row>
    <row r="160" spans="1:15" x14ac:dyDescent="0.2">
      <c r="A160" s="219" t="s">
        <v>987</v>
      </c>
      <c r="B160" s="233">
        <v>417</v>
      </c>
      <c r="C160" s="326">
        <v>4862120</v>
      </c>
      <c r="D160" s="229" t="s">
        <v>988</v>
      </c>
      <c r="E160" s="330">
        <v>762885.96</v>
      </c>
      <c r="F160" s="323" t="str">
        <f t="shared" si="32"/>
        <v>GRSM</v>
      </c>
      <c r="G160" s="323">
        <f t="shared" si="33"/>
        <v>0</v>
      </c>
      <c r="H160" s="217">
        <v>0</v>
      </c>
      <c r="I160" s="217">
        <f t="shared" si="34"/>
        <v>0</v>
      </c>
      <c r="J160" s="323">
        <f t="shared" si="35"/>
        <v>762885.96</v>
      </c>
      <c r="K160" s="216" t="s">
        <v>628</v>
      </c>
      <c r="L160" s="327">
        <v>87461.67</v>
      </c>
      <c r="M160" s="322">
        <f t="shared" si="36"/>
        <v>675424.28999999992</v>
      </c>
      <c r="N160" s="323">
        <f t="shared" si="37"/>
        <v>0</v>
      </c>
      <c r="O160" s="221">
        <v>2</v>
      </c>
    </row>
    <row r="161" spans="1:15" x14ac:dyDescent="0.2">
      <c r="A161" s="219" t="s">
        <v>989</v>
      </c>
      <c r="B161" s="233">
        <v>417</v>
      </c>
      <c r="C161" s="326">
        <v>4862135</v>
      </c>
      <c r="D161" s="229" t="s">
        <v>990</v>
      </c>
      <c r="E161" s="330">
        <v>24884374.5</v>
      </c>
      <c r="F161" s="323" t="str">
        <f t="shared" si="32"/>
        <v>GRSM</v>
      </c>
      <c r="G161" s="323">
        <f t="shared" si="33"/>
        <v>0</v>
      </c>
      <c r="H161" s="217">
        <v>0</v>
      </c>
      <c r="I161" s="217">
        <f t="shared" si="34"/>
        <v>0</v>
      </c>
      <c r="J161" s="323">
        <f t="shared" si="35"/>
        <v>24884374.5</v>
      </c>
      <c r="K161" s="216" t="s">
        <v>628</v>
      </c>
      <c r="L161" s="327">
        <v>4649611.45</v>
      </c>
      <c r="M161" s="322">
        <f t="shared" si="36"/>
        <v>20234763.050000001</v>
      </c>
      <c r="N161" s="323">
        <f t="shared" si="37"/>
        <v>0</v>
      </c>
      <c r="O161" s="221">
        <v>2</v>
      </c>
    </row>
    <row r="162" spans="1:15" x14ac:dyDescent="0.2">
      <c r="A162" s="219" t="s">
        <v>991</v>
      </c>
      <c r="B162" s="233">
        <v>417</v>
      </c>
      <c r="C162" s="326">
        <v>4864110</v>
      </c>
      <c r="D162" s="823" t="s">
        <v>2507</v>
      </c>
      <c r="E162" s="330">
        <v>58271.56</v>
      </c>
      <c r="F162" s="323" t="str">
        <f t="shared" si="32"/>
        <v>GRSM</v>
      </c>
      <c r="G162" s="323">
        <f t="shared" si="33"/>
        <v>0</v>
      </c>
      <c r="H162" s="217">
        <v>0</v>
      </c>
      <c r="I162" s="217">
        <f t="shared" si="34"/>
        <v>0</v>
      </c>
      <c r="J162" s="323">
        <f t="shared" si="35"/>
        <v>58271.56</v>
      </c>
      <c r="K162" s="216" t="s">
        <v>628</v>
      </c>
      <c r="L162" s="327">
        <v>21485.95</v>
      </c>
      <c r="M162" s="322">
        <f t="shared" si="36"/>
        <v>36785.61</v>
      </c>
      <c r="N162" s="323">
        <f t="shared" si="37"/>
        <v>0</v>
      </c>
      <c r="O162" s="221">
        <v>2</v>
      </c>
    </row>
    <row r="163" spans="1:15" x14ac:dyDescent="0.2">
      <c r="A163" s="219" t="s">
        <v>992</v>
      </c>
      <c r="B163" s="233">
        <v>417</v>
      </c>
      <c r="C163" s="326">
        <v>4864115</v>
      </c>
      <c r="D163" s="229" t="s">
        <v>993</v>
      </c>
      <c r="E163" s="330">
        <v>310217.59000000003</v>
      </c>
      <c r="F163" s="323" t="str">
        <f t="shared" si="32"/>
        <v>GRSM</v>
      </c>
      <c r="G163" s="323">
        <f t="shared" si="33"/>
        <v>0</v>
      </c>
      <c r="H163" s="217">
        <v>0</v>
      </c>
      <c r="I163" s="217">
        <f t="shared" si="34"/>
        <v>0</v>
      </c>
      <c r="J163" s="323">
        <f t="shared" si="35"/>
        <v>310217.59000000003</v>
      </c>
      <c r="K163" s="216" t="s">
        <v>628</v>
      </c>
      <c r="L163" s="327">
        <v>61134.559999999998</v>
      </c>
      <c r="M163" s="322">
        <f t="shared" si="36"/>
        <v>249083.03000000003</v>
      </c>
      <c r="N163" s="323">
        <f t="shared" si="37"/>
        <v>0</v>
      </c>
      <c r="O163" s="221">
        <v>2</v>
      </c>
    </row>
    <row r="164" spans="1:15" x14ac:dyDescent="0.2">
      <c r="A164" s="219" t="s">
        <v>994</v>
      </c>
      <c r="B164" s="233">
        <v>417</v>
      </c>
      <c r="C164" s="326">
        <v>4862125</v>
      </c>
      <c r="D164" s="229" t="s">
        <v>995</v>
      </c>
      <c r="E164" s="330">
        <v>11614188.130000001</v>
      </c>
      <c r="F164" s="323" t="str">
        <f t="shared" si="32"/>
        <v>GRSM</v>
      </c>
      <c r="G164" s="323">
        <f t="shared" si="33"/>
        <v>0</v>
      </c>
      <c r="H164" s="217">
        <v>0</v>
      </c>
      <c r="I164" s="217">
        <f t="shared" si="34"/>
        <v>0</v>
      </c>
      <c r="J164" s="323">
        <f t="shared" si="35"/>
        <v>11614188.130000001</v>
      </c>
      <c r="K164" s="216" t="s">
        <v>628</v>
      </c>
      <c r="L164" s="327">
        <v>2133851.94</v>
      </c>
      <c r="M164" s="322">
        <f t="shared" si="36"/>
        <v>9480336.1900000013</v>
      </c>
      <c r="N164" s="323">
        <f t="shared" si="37"/>
        <v>0</v>
      </c>
      <c r="O164" s="221">
        <v>2</v>
      </c>
    </row>
    <row r="165" spans="1:15" x14ac:dyDescent="0.2">
      <c r="A165" s="219" t="s">
        <v>996</v>
      </c>
      <c r="B165" s="233">
        <v>417</v>
      </c>
      <c r="C165" s="326">
        <v>4862130</v>
      </c>
      <c r="D165" s="229" t="s">
        <v>997</v>
      </c>
      <c r="E165" s="330">
        <v>2164597.44</v>
      </c>
      <c r="F165" s="323" t="str">
        <f t="shared" si="32"/>
        <v>GRSM</v>
      </c>
      <c r="G165" s="323">
        <f t="shared" si="33"/>
        <v>0</v>
      </c>
      <c r="H165" s="217">
        <v>0</v>
      </c>
      <c r="I165" s="217">
        <f t="shared" si="34"/>
        <v>0</v>
      </c>
      <c r="J165" s="323">
        <f t="shared" si="35"/>
        <v>2164597.44</v>
      </c>
      <c r="K165" s="216" t="s">
        <v>628</v>
      </c>
      <c r="L165" s="327">
        <v>206019.99</v>
      </c>
      <c r="M165" s="322">
        <f t="shared" si="36"/>
        <v>1958577.45</v>
      </c>
      <c r="N165" s="323">
        <f t="shared" si="37"/>
        <v>0</v>
      </c>
      <c r="O165" s="221">
        <v>2</v>
      </c>
    </row>
    <row r="166" spans="1:15" x14ac:dyDescent="0.2">
      <c r="A166" s="219" t="s">
        <v>998</v>
      </c>
      <c r="B166" s="233">
        <v>417</v>
      </c>
      <c r="C166" s="326">
        <v>4863120</v>
      </c>
      <c r="D166" s="229" t="s">
        <v>999</v>
      </c>
      <c r="E166" s="330">
        <v>382695.14</v>
      </c>
      <c r="F166" s="323" t="str">
        <f t="shared" si="32"/>
        <v>GRSM</v>
      </c>
      <c r="G166" s="323">
        <f t="shared" si="33"/>
        <v>0</v>
      </c>
      <c r="H166" s="217">
        <v>0</v>
      </c>
      <c r="I166" s="217">
        <f t="shared" si="34"/>
        <v>0</v>
      </c>
      <c r="J166" s="323">
        <f t="shared" si="35"/>
        <v>382695.14</v>
      </c>
      <c r="K166" s="216" t="s">
        <v>686</v>
      </c>
      <c r="L166" s="327">
        <v>63084.21</v>
      </c>
      <c r="M166" s="322">
        <f t="shared" si="36"/>
        <v>319610.93</v>
      </c>
      <c r="N166" s="323">
        <f t="shared" si="37"/>
        <v>0</v>
      </c>
      <c r="O166" s="221">
        <v>2</v>
      </c>
    </row>
    <row r="167" spans="1:15" x14ac:dyDescent="0.2">
      <c r="A167" s="219" t="s">
        <v>1000</v>
      </c>
      <c r="B167" s="233">
        <v>417</v>
      </c>
      <c r="C167" s="326">
        <v>4863110</v>
      </c>
      <c r="D167" s="229" t="s">
        <v>1001</v>
      </c>
      <c r="E167" s="330">
        <v>2664799.77</v>
      </c>
      <c r="F167" s="323" t="str">
        <f t="shared" si="32"/>
        <v>GRSM</v>
      </c>
      <c r="G167" s="323">
        <f t="shared" si="33"/>
        <v>0</v>
      </c>
      <c r="H167" s="217">
        <v>0</v>
      </c>
      <c r="I167" s="217">
        <f t="shared" si="34"/>
        <v>0</v>
      </c>
      <c r="J167" s="323">
        <f t="shared" si="35"/>
        <v>2664799.77</v>
      </c>
      <c r="K167" s="216" t="s">
        <v>686</v>
      </c>
      <c r="L167" s="327">
        <v>481744.76</v>
      </c>
      <c r="M167" s="322">
        <f t="shared" si="36"/>
        <v>2183055.0099999998</v>
      </c>
      <c r="N167" s="323">
        <f t="shared" si="37"/>
        <v>0</v>
      </c>
      <c r="O167" s="221">
        <v>2</v>
      </c>
    </row>
    <row r="168" spans="1:15" x14ac:dyDescent="0.2">
      <c r="A168" s="219" t="s">
        <v>1002</v>
      </c>
      <c r="B168" s="233">
        <v>417</v>
      </c>
      <c r="C168" s="326">
        <v>4863115</v>
      </c>
      <c r="D168" s="229" t="s">
        <v>1003</v>
      </c>
      <c r="E168" s="330">
        <v>284285.13</v>
      </c>
      <c r="F168" s="323" t="str">
        <f t="shared" si="32"/>
        <v>GRSM</v>
      </c>
      <c r="G168" s="323">
        <f t="shared" si="33"/>
        <v>0</v>
      </c>
      <c r="H168" s="217">
        <v>0</v>
      </c>
      <c r="I168" s="217">
        <f t="shared" si="34"/>
        <v>0</v>
      </c>
      <c r="J168" s="323">
        <f t="shared" si="35"/>
        <v>284285.13</v>
      </c>
      <c r="K168" s="216" t="s">
        <v>686</v>
      </c>
      <c r="L168" s="327">
        <v>20558.62</v>
      </c>
      <c r="M168" s="322">
        <f t="shared" si="36"/>
        <v>263726.51</v>
      </c>
      <c r="N168" s="323">
        <f t="shared" si="37"/>
        <v>0</v>
      </c>
      <c r="O168" s="221">
        <v>2</v>
      </c>
    </row>
    <row r="169" spans="1:15" x14ac:dyDescent="0.2">
      <c r="A169" s="219" t="s">
        <v>1004</v>
      </c>
      <c r="B169" s="233">
        <v>417</v>
      </c>
      <c r="C169" s="326">
        <v>4863125</v>
      </c>
      <c r="D169" s="229" t="s">
        <v>1005</v>
      </c>
      <c r="E169" s="330">
        <v>702325.64</v>
      </c>
      <c r="F169" s="323" t="str">
        <f t="shared" si="32"/>
        <v>GRSM</v>
      </c>
      <c r="G169" s="323">
        <f t="shared" si="33"/>
        <v>0</v>
      </c>
      <c r="H169" s="217">
        <v>0</v>
      </c>
      <c r="I169" s="217">
        <f t="shared" si="34"/>
        <v>0</v>
      </c>
      <c r="J169" s="323">
        <f t="shared" si="35"/>
        <v>702325.64</v>
      </c>
      <c r="K169" s="216" t="s">
        <v>686</v>
      </c>
      <c r="L169" s="327">
        <v>128022.36</v>
      </c>
      <c r="M169" s="322">
        <f t="shared" si="36"/>
        <v>574303.28</v>
      </c>
      <c r="N169" s="323">
        <f t="shared" si="37"/>
        <v>0</v>
      </c>
      <c r="O169" s="221">
        <v>2</v>
      </c>
    </row>
    <row r="170" spans="1:15" x14ac:dyDescent="0.2">
      <c r="A170" s="219" t="s">
        <v>1006</v>
      </c>
      <c r="B170" s="233">
        <v>417</v>
      </c>
      <c r="C170" s="326">
        <v>4864120</v>
      </c>
      <c r="D170" s="229" t="s">
        <v>1007</v>
      </c>
      <c r="E170" s="330">
        <v>11689.59</v>
      </c>
      <c r="F170" s="323" t="str">
        <f t="shared" si="32"/>
        <v>GRSM</v>
      </c>
      <c r="G170" s="323">
        <f t="shared" si="33"/>
        <v>0</v>
      </c>
      <c r="H170" s="217">
        <v>0</v>
      </c>
      <c r="I170" s="217">
        <f t="shared" si="34"/>
        <v>0</v>
      </c>
      <c r="J170" s="323">
        <f t="shared" si="35"/>
        <v>11689.59</v>
      </c>
      <c r="K170" s="216" t="s">
        <v>628</v>
      </c>
      <c r="L170" s="327">
        <v>2286.0700000000002</v>
      </c>
      <c r="M170" s="322">
        <f t="shared" si="36"/>
        <v>9403.52</v>
      </c>
      <c r="N170" s="323">
        <f t="shared" si="37"/>
        <v>0</v>
      </c>
      <c r="O170" s="221">
        <v>2</v>
      </c>
    </row>
    <row r="171" spans="1:15" x14ac:dyDescent="0.2">
      <c r="A171" s="357"/>
      <c r="B171" s="355"/>
      <c r="C171" s="356"/>
      <c r="D171" s="354"/>
      <c r="E171" s="334"/>
      <c r="F171" s="334"/>
      <c r="G171" s="331"/>
      <c r="H171" s="329"/>
      <c r="I171" s="329"/>
      <c r="J171" s="327"/>
      <c r="K171" s="328"/>
      <c r="L171" s="327"/>
      <c r="M171" s="327"/>
      <c r="N171" s="327"/>
      <c r="O171" s="328"/>
    </row>
    <row r="172" spans="1:15" x14ac:dyDescent="0.2">
      <c r="A172" s="357"/>
      <c r="B172" s="355"/>
      <c r="C172" s="356"/>
      <c r="D172" s="354"/>
      <c r="E172" s="334"/>
      <c r="F172" s="334"/>
      <c r="G172" s="331"/>
      <c r="H172" s="329"/>
      <c r="I172" s="329"/>
      <c r="J172" s="327"/>
      <c r="K172" s="328"/>
      <c r="L172" s="327"/>
      <c r="M172" s="327"/>
      <c r="N172" s="327"/>
      <c r="O172" s="328"/>
    </row>
    <row r="173" spans="1:15" x14ac:dyDescent="0.2">
      <c r="A173" s="219">
        <v>25</v>
      </c>
      <c r="B173" s="1228" t="s">
        <v>1008</v>
      </c>
      <c r="C173" s="1229"/>
      <c r="D173" s="1230"/>
      <c r="E173" s="320">
        <f>SUM(E156:E172)</f>
        <v>53077750.510000013</v>
      </c>
      <c r="F173" s="345"/>
      <c r="G173" s="320">
        <f>SUM(G156:G172)</f>
        <v>0</v>
      </c>
      <c r="H173" s="336">
        <f>SUM(H156:H172)</f>
        <v>0</v>
      </c>
      <c r="I173" s="336">
        <f>SUM(I156:I172)</f>
        <v>0</v>
      </c>
      <c r="J173" s="320">
        <f>SUM(J156:J172)</f>
        <v>53077750.510000013</v>
      </c>
      <c r="K173" s="345"/>
      <c r="L173" s="320">
        <f>SUM(L156:L172)</f>
        <v>9563390.7299999986</v>
      </c>
      <c r="M173" s="320">
        <f>SUM(M156:M172)</f>
        <v>43514359.780000001</v>
      </c>
      <c r="N173" s="320">
        <f>SUM(N156:N172)</f>
        <v>0</v>
      </c>
      <c r="O173" s="206"/>
    </row>
    <row r="174" spans="1:15" x14ac:dyDescent="0.2">
      <c r="A174" s="219">
        <v>26</v>
      </c>
      <c r="B174" s="1228" t="s">
        <v>1009</v>
      </c>
      <c r="C174" s="1229"/>
      <c r="D174" s="1230"/>
      <c r="E174" s="333">
        <v>-714999.51000001281</v>
      </c>
      <c r="F174" s="321"/>
      <c r="G174" s="319"/>
      <c r="H174" s="337"/>
      <c r="I174" s="337"/>
      <c r="J174" s="319"/>
      <c r="K174" s="337"/>
      <c r="L174" s="319"/>
      <c r="M174" s="319"/>
      <c r="N174" s="319"/>
      <c r="O174" s="205"/>
    </row>
    <row r="175" spans="1:15" ht="25.5" customHeight="1" x14ac:dyDescent="0.2">
      <c r="A175" s="219">
        <v>27</v>
      </c>
      <c r="B175" s="1223" t="s">
        <v>1541</v>
      </c>
      <c r="C175" s="1224"/>
      <c r="D175" s="1225"/>
      <c r="E175" s="333">
        <v>52362751</v>
      </c>
      <c r="F175" s="378" t="s">
        <v>371</v>
      </c>
    </row>
    <row r="176" spans="1:15" x14ac:dyDescent="0.2">
      <c r="A176" s="227"/>
    </row>
    <row r="177" spans="1:15" x14ac:dyDescent="0.2">
      <c r="B177" s="40" t="s">
        <v>1010</v>
      </c>
    </row>
    <row r="178" spans="1:15" x14ac:dyDescent="0.2">
      <c r="A178" s="221" t="s">
        <v>1011</v>
      </c>
      <c r="B178" s="1235">
        <v>418.1</v>
      </c>
      <c r="C178" s="1236"/>
      <c r="D178" s="229" t="s">
        <v>1012</v>
      </c>
      <c r="E178" s="330">
        <v>11887975.49</v>
      </c>
      <c r="F178" s="323" t="str">
        <f>$J$2</f>
        <v>GRSM</v>
      </c>
      <c r="G178" s="323">
        <f t="shared" ref="G178:G183" si="38">IF(F178=$G$2,E178,0)</f>
        <v>0</v>
      </c>
      <c r="H178" s="216">
        <v>0</v>
      </c>
      <c r="I178" s="217">
        <f t="shared" ref="I178:I183" si="39">G178-H178</f>
        <v>0</v>
      </c>
      <c r="J178" s="323">
        <f>IF(F178=$J$2,E178,0)</f>
        <v>11887975.49</v>
      </c>
      <c r="K178" s="363" t="s">
        <v>628</v>
      </c>
      <c r="L178" s="327">
        <v>2367920.14</v>
      </c>
      <c r="M178" s="218">
        <f t="shared" ref="M178:M183" si="40">J178-L178</f>
        <v>9520055.3499999996</v>
      </c>
      <c r="N178" s="323">
        <f t="shared" ref="N178:N183" si="41">IF(F178=$N$2,E178,0)</f>
        <v>0</v>
      </c>
      <c r="O178" s="221" t="s">
        <v>1013</v>
      </c>
    </row>
    <row r="179" spans="1:15" x14ac:dyDescent="0.2">
      <c r="A179" s="221" t="s">
        <v>1014</v>
      </c>
      <c r="B179" s="1235">
        <v>418.1</v>
      </c>
      <c r="C179" s="1236"/>
      <c r="D179" s="229" t="s">
        <v>1015</v>
      </c>
      <c r="E179" s="330">
        <v>224911.05</v>
      </c>
      <c r="F179" s="323" t="str">
        <f>$J$2</f>
        <v>GRSM</v>
      </c>
      <c r="G179" s="323">
        <f t="shared" si="38"/>
        <v>0</v>
      </c>
      <c r="H179" s="216">
        <v>0</v>
      </c>
      <c r="I179" s="217">
        <f t="shared" si="39"/>
        <v>0</v>
      </c>
      <c r="J179" s="323">
        <f>IF(F179=$J$2,E179,0)</f>
        <v>224911.05</v>
      </c>
      <c r="K179" s="363" t="s">
        <v>686</v>
      </c>
      <c r="L179" s="327">
        <v>48776</v>
      </c>
      <c r="M179" s="218">
        <f t="shared" si="40"/>
        <v>176135.05</v>
      </c>
      <c r="N179" s="323">
        <f t="shared" si="41"/>
        <v>0</v>
      </c>
      <c r="O179" s="221" t="s">
        <v>1013</v>
      </c>
    </row>
    <row r="180" spans="1:15" x14ac:dyDescent="0.2">
      <c r="A180" s="221" t="s">
        <v>1016</v>
      </c>
      <c r="B180" s="1235">
        <v>418.1</v>
      </c>
      <c r="C180" s="1236"/>
      <c r="D180" s="823" t="s">
        <v>2433</v>
      </c>
      <c r="E180" s="330">
        <v>0</v>
      </c>
      <c r="F180" s="824" t="s">
        <v>643</v>
      </c>
      <c r="G180" s="323">
        <f t="shared" si="38"/>
        <v>0</v>
      </c>
      <c r="H180" s="216">
        <v>0</v>
      </c>
      <c r="I180" s="217">
        <f t="shared" si="39"/>
        <v>0</v>
      </c>
      <c r="J180" s="323">
        <f>IF(F180=$J$2,E180,0)</f>
        <v>0</v>
      </c>
      <c r="K180" s="825" t="s">
        <v>686</v>
      </c>
      <c r="L180" s="327">
        <v>0</v>
      </c>
      <c r="M180" s="218">
        <f t="shared" si="40"/>
        <v>0</v>
      </c>
      <c r="N180" s="323">
        <f t="shared" si="41"/>
        <v>0</v>
      </c>
      <c r="O180" s="821" t="s">
        <v>2434</v>
      </c>
    </row>
    <row r="181" spans="1:15" x14ac:dyDescent="0.2">
      <c r="A181" s="221" t="s">
        <v>1018</v>
      </c>
      <c r="B181" s="1235">
        <v>418.1</v>
      </c>
      <c r="C181" s="1236"/>
      <c r="D181" s="229" t="s">
        <v>1017</v>
      </c>
      <c r="E181" s="330">
        <v>-2937</v>
      </c>
      <c r="F181" s="323" t="str">
        <f>$G$2</f>
        <v>Traditional OOR</v>
      </c>
      <c r="G181" s="323">
        <f t="shared" si="38"/>
        <v>-2937</v>
      </c>
      <c r="H181" s="217">
        <v>0</v>
      </c>
      <c r="I181" s="217">
        <f t="shared" si="39"/>
        <v>-2937</v>
      </c>
      <c r="J181" s="323">
        <f>IF(F181=$J$2,E181,0)</f>
        <v>0</v>
      </c>
      <c r="K181" s="363"/>
      <c r="L181" s="327">
        <v>0</v>
      </c>
      <c r="M181" s="217">
        <f t="shared" si="40"/>
        <v>0</v>
      </c>
      <c r="N181" s="323">
        <f t="shared" si="41"/>
        <v>0</v>
      </c>
      <c r="O181" s="216">
        <v>13</v>
      </c>
    </row>
    <row r="182" spans="1:15" x14ac:dyDescent="0.2">
      <c r="A182" s="822" t="s">
        <v>1430</v>
      </c>
      <c r="B182" s="1235">
        <v>418.1</v>
      </c>
      <c r="C182" s="1236"/>
      <c r="D182" s="229" t="s">
        <v>1019</v>
      </c>
      <c r="E182" s="330">
        <v>-1840</v>
      </c>
      <c r="F182" s="323" t="str">
        <f>$G$2</f>
        <v>Traditional OOR</v>
      </c>
      <c r="G182" s="323">
        <f t="shared" si="38"/>
        <v>-1840</v>
      </c>
      <c r="H182" s="217">
        <v>0</v>
      </c>
      <c r="I182" s="217">
        <f t="shared" si="39"/>
        <v>-1840</v>
      </c>
      <c r="J182" s="323">
        <f>IF(F182=$J$2,E182,0)</f>
        <v>0</v>
      </c>
      <c r="K182" s="363"/>
      <c r="L182" s="327">
        <v>0</v>
      </c>
      <c r="M182" s="217">
        <f t="shared" si="40"/>
        <v>0</v>
      </c>
      <c r="N182" s="323">
        <f t="shared" si="41"/>
        <v>0</v>
      </c>
      <c r="O182" s="216">
        <v>14</v>
      </c>
    </row>
    <row r="183" spans="1:15" x14ac:dyDescent="0.2">
      <c r="A183" s="822" t="s">
        <v>1431</v>
      </c>
      <c r="B183" s="1044">
        <v>418.1</v>
      </c>
      <c r="C183" s="1148"/>
      <c r="D183" s="823" t="s">
        <v>2728</v>
      </c>
      <c r="E183" s="330">
        <v>981219.18</v>
      </c>
      <c r="F183" s="323" t="str">
        <f>$G$2</f>
        <v>Traditional OOR</v>
      </c>
      <c r="G183" s="323">
        <f t="shared" si="38"/>
        <v>981219.18</v>
      </c>
      <c r="H183" s="217">
        <f>E183*$D$224</f>
        <v>45224.392006200003</v>
      </c>
      <c r="I183" s="217">
        <f t="shared" si="39"/>
        <v>935994.78799380001</v>
      </c>
      <c r="J183" s="323">
        <v>0</v>
      </c>
      <c r="K183" s="363"/>
      <c r="L183" s="327">
        <v>0</v>
      </c>
      <c r="M183" s="217">
        <f t="shared" si="40"/>
        <v>0</v>
      </c>
      <c r="N183" s="323">
        <f t="shared" si="41"/>
        <v>0</v>
      </c>
      <c r="O183" s="822" t="s">
        <v>3196</v>
      </c>
    </row>
    <row r="184" spans="1:15" x14ac:dyDescent="0.2">
      <c r="A184" s="328"/>
      <c r="B184" s="370"/>
      <c r="C184" s="371"/>
      <c r="D184" s="372"/>
      <c r="E184" s="330"/>
      <c r="F184" s="327"/>
      <c r="G184" s="331"/>
      <c r="H184" s="328"/>
      <c r="I184" s="329"/>
      <c r="J184" s="327"/>
      <c r="K184" s="373"/>
      <c r="L184" s="327"/>
      <c r="M184" s="374"/>
      <c r="N184" s="327"/>
      <c r="O184" s="328"/>
    </row>
    <row r="185" spans="1:15" x14ac:dyDescent="0.2">
      <c r="A185" s="328"/>
      <c r="B185" s="370"/>
      <c r="C185" s="371"/>
      <c r="D185" s="372"/>
      <c r="E185" s="330"/>
      <c r="F185" s="327"/>
      <c r="G185" s="331"/>
      <c r="H185" s="328"/>
      <c r="I185" s="329"/>
      <c r="J185" s="327"/>
      <c r="K185" s="373"/>
      <c r="L185" s="327"/>
      <c r="M185" s="374"/>
      <c r="N185" s="327"/>
      <c r="O185" s="328"/>
    </row>
    <row r="186" spans="1:15" x14ac:dyDescent="0.2">
      <c r="A186" s="221">
        <v>29</v>
      </c>
      <c r="B186" s="1228" t="s">
        <v>1020</v>
      </c>
      <c r="C186" s="1229"/>
      <c r="D186" s="1230"/>
      <c r="E186" s="481">
        <f>SUM(E178:E185)</f>
        <v>13089328.720000001</v>
      </c>
      <c r="F186" s="382"/>
      <c r="G186" s="483">
        <f>SUM(G178:G185)</f>
        <v>976442.18</v>
      </c>
      <c r="H186" s="483">
        <f>SUM(H178:H185)</f>
        <v>45224.392006200003</v>
      </c>
      <c r="I186" s="483">
        <f>SUM(I178:I185)</f>
        <v>931217.78799380001</v>
      </c>
      <c r="J186" s="481">
        <f>SUM(J178:J185)</f>
        <v>12112886.540000001</v>
      </c>
      <c r="K186" s="346"/>
      <c r="L186" s="481">
        <f>SUM(L178:L185)</f>
        <v>2416696.14</v>
      </c>
      <c r="M186" s="481">
        <f>SUM(M178:M185)</f>
        <v>9696190.4000000004</v>
      </c>
      <c r="N186" s="481">
        <f>SUM(N178:N185)</f>
        <v>0</v>
      </c>
      <c r="O186" s="206"/>
    </row>
    <row r="187" spans="1:15" x14ac:dyDescent="0.2">
      <c r="A187" s="221">
        <v>30</v>
      </c>
      <c r="B187" s="1228" t="s">
        <v>2552</v>
      </c>
      <c r="C187" s="1238"/>
      <c r="D187" s="1239"/>
      <c r="E187" s="482">
        <v>-12441781.720000001</v>
      </c>
      <c r="F187" s="381"/>
      <c r="G187" s="381"/>
      <c r="H187" s="381"/>
      <c r="I187" s="381"/>
      <c r="J187" s="380"/>
      <c r="K187" s="381"/>
      <c r="L187" s="380"/>
      <c r="M187" s="380"/>
      <c r="N187" s="380"/>
      <c r="O187" s="205"/>
    </row>
    <row r="188" spans="1:15" ht="25.5" customHeight="1" x14ac:dyDescent="0.2">
      <c r="A188" s="221">
        <v>31</v>
      </c>
      <c r="B188" s="1237" t="s">
        <v>1540</v>
      </c>
      <c r="C188" s="1227"/>
      <c r="D188" s="1227"/>
      <c r="E188" s="482">
        <v>647547</v>
      </c>
      <c r="F188" s="381"/>
      <c r="G188" s="381"/>
      <c r="H188" s="381"/>
      <c r="I188" s="381"/>
      <c r="J188" s="380"/>
      <c r="K188" s="381"/>
      <c r="L188" s="380"/>
      <c r="M188" s="380"/>
      <c r="N188" s="380"/>
      <c r="O188" s="205"/>
    </row>
    <row r="189" spans="1:15" x14ac:dyDescent="0.2">
      <c r="A189" s="227"/>
    </row>
    <row r="190" spans="1:15" x14ac:dyDescent="0.2">
      <c r="A190" s="221">
        <v>32</v>
      </c>
      <c r="B190" s="350"/>
      <c r="C190" s="349"/>
      <c r="D190" s="238" t="s">
        <v>1021</v>
      </c>
      <c r="E190" s="484">
        <f>E9+E23+E31+E59+E118+E142+E147+E152+E173+E186</f>
        <v>294338053.48000002</v>
      </c>
      <c r="F190" s="485"/>
      <c r="G190" s="484">
        <f>G9+G23+G31+G59+G118+G142+G147+G152+G173+G186</f>
        <v>175679074.63834581</v>
      </c>
      <c r="H190" s="484">
        <f>H9+H23+H31+H59+H118+H142+H147+H152+H173+H186</f>
        <v>29993726.561025102</v>
      </c>
      <c r="I190" s="484">
        <f>I9+I23+I31+I59+I118+I142+I147+I152+I173+I186</f>
        <v>145685348.07732067</v>
      </c>
      <c r="J190" s="484">
        <f>J9+J23+J31+J59+J118+J142+J147+J152+J173+J186</f>
        <v>91431746.790000021</v>
      </c>
      <c r="K190" s="485"/>
      <c r="L190" s="484">
        <f>L9+L23+L31+L59+L118+L142+L147+L152+L173+L186</f>
        <v>16671388.48</v>
      </c>
      <c r="M190" s="484">
        <f>M9+M23+M31+M59+M118+M142+M147+M152+M173+M186</f>
        <v>74760358.310000002</v>
      </c>
      <c r="N190" s="484">
        <f>N9+N23+N31+N59+N118+N142+N147+N152+N173+N186</f>
        <v>27227232.051654201</v>
      </c>
      <c r="O190" s="206"/>
    </row>
    <row r="191" spans="1:15" x14ac:dyDescent="0.2">
      <c r="A191" s="239"/>
      <c r="B191" s="240"/>
      <c r="C191" s="239"/>
      <c r="E191" s="227"/>
      <c r="F191" s="227"/>
      <c r="G191" s="324"/>
      <c r="J191" s="341"/>
      <c r="K191" s="340"/>
      <c r="N191" s="324"/>
    </row>
    <row r="192" spans="1:15" x14ac:dyDescent="0.2">
      <c r="A192" s="239"/>
      <c r="B192" s="240"/>
      <c r="C192" s="239"/>
      <c r="E192" s="227"/>
      <c r="F192" s="227" t="s">
        <v>174</v>
      </c>
      <c r="J192" s="341"/>
      <c r="K192" s="340"/>
      <c r="N192" s="324"/>
    </row>
    <row r="193" spans="1:254" x14ac:dyDescent="0.2">
      <c r="A193" s="221">
        <v>33</v>
      </c>
      <c r="B193" s="369"/>
      <c r="C193" s="369"/>
      <c r="D193" s="365" t="s">
        <v>1022</v>
      </c>
      <c r="E193" s="362">
        <f>L190</f>
        <v>16671388.48</v>
      </c>
      <c r="F193" s="364" t="s">
        <v>1023</v>
      </c>
      <c r="G193" s="324"/>
      <c r="N193" s="324"/>
    </row>
    <row r="194" spans="1:254" x14ac:dyDescent="0.2">
      <c r="A194" s="216">
        <v>34</v>
      </c>
      <c r="B194" s="369"/>
      <c r="C194" s="369"/>
      <c r="D194" s="365" t="s">
        <v>1025</v>
      </c>
      <c r="E194" s="362">
        <f>E193*(5.425/16.671)</f>
        <v>5425126.4173714835</v>
      </c>
      <c r="F194" s="1149" t="s">
        <v>1369</v>
      </c>
      <c r="G194" s="340"/>
      <c r="N194" s="324"/>
    </row>
    <row r="195" spans="1:254" x14ac:dyDescent="0.2">
      <c r="A195" s="216">
        <v>35</v>
      </c>
      <c r="B195" s="369"/>
      <c r="C195" s="369"/>
      <c r="D195" s="367"/>
      <c r="E195" s="317"/>
      <c r="F195" s="1150"/>
      <c r="G195" s="340"/>
      <c r="N195" s="324"/>
    </row>
    <row r="196" spans="1:254" x14ac:dyDescent="0.2">
      <c r="A196" s="216">
        <v>36</v>
      </c>
      <c r="B196" s="369"/>
      <c r="C196" s="369"/>
      <c r="D196" s="365" t="s">
        <v>1026</v>
      </c>
      <c r="E196" s="362">
        <f>SUMIF(K4:K179,"=A",M4:M179)</f>
        <v>49706968.250000015</v>
      </c>
      <c r="F196" s="1151" t="s">
        <v>1027</v>
      </c>
      <c r="G196" s="340"/>
      <c r="N196" s="324"/>
    </row>
    <row r="197" spans="1:254" x14ac:dyDescent="0.2">
      <c r="A197" s="216">
        <v>37</v>
      </c>
      <c r="B197" s="359"/>
      <c r="C197" s="359"/>
      <c r="D197" s="365" t="s">
        <v>1028</v>
      </c>
      <c r="E197" s="362">
        <f>0.1*E196</f>
        <v>4970696.825000002</v>
      </c>
      <c r="F197" s="69" t="str">
        <f>"= Line "&amp;A196&amp;"D * 10%"</f>
        <v>= Line 36D * 10%</v>
      </c>
      <c r="G197" s="41"/>
      <c r="H197" s="343"/>
      <c r="I197" s="344"/>
    </row>
    <row r="198" spans="1:254" x14ac:dyDescent="0.2">
      <c r="A198" s="216">
        <v>38</v>
      </c>
      <c r="B198" s="359"/>
      <c r="C198" s="359"/>
      <c r="D198" s="365" t="s">
        <v>1029</v>
      </c>
      <c r="E198" s="362">
        <f>SUMIF(K4:K182,"=P",M4:M182)</f>
        <v>25053390.060000002</v>
      </c>
      <c r="F198" s="1152" t="s">
        <v>1030</v>
      </c>
      <c r="G198" s="41"/>
      <c r="H198" s="227"/>
      <c r="I198" s="344"/>
    </row>
    <row r="199" spans="1:254" x14ac:dyDescent="0.2">
      <c r="A199" s="216">
        <v>39</v>
      </c>
      <c r="B199" s="359"/>
      <c r="C199" s="359"/>
      <c r="D199" s="365" t="s">
        <v>1031</v>
      </c>
      <c r="E199" s="362">
        <f>0.3*E198</f>
        <v>7516017.0180000002</v>
      </c>
      <c r="F199" s="69" t="str">
        <f>"= Line "&amp;A198&amp;"D * 30%"</f>
        <v>= Line 38D * 30%</v>
      </c>
      <c r="G199" s="41"/>
      <c r="H199" s="343"/>
      <c r="I199" s="344"/>
    </row>
    <row r="200" spans="1:254" x14ac:dyDescent="0.2">
      <c r="A200" s="216">
        <v>40</v>
      </c>
      <c r="B200" s="359"/>
      <c r="C200" s="359"/>
      <c r="D200" s="365" t="s">
        <v>1032</v>
      </c>
      <c r="E200" s="362">
        <f>E197+E199</f>
        <v>12486713.843000002</v>
      </c>
      <c r="F200" s="69" t="str">
        <f>"= Line "&amp;A197&amp;"D + Line "&amp;A199&amp;"D"</f>
        <v>= Line 37D + Line 39D</v>
      </c>
      <c r="G200" s="339"/>
    </row>
    <row r="201" spans="1:254" x14ac:dyDescent="0.2">
      <c r="A201" s="216">
        <v>41</v>
      </c>
      <c r="B201" s="359"/>
      <c r="C201" s="359"/>
      <c r="D201" s="365" t="s">
        <v>1033</v>
      </c>
      <c r="E201" s="366">
        <f>5.425/16.671</f>
        <v>0.32541539199808051</v>
      </c>
      <c r="F201" s="1151" t="s">
        <v>1024</v>
      </c>
      <c r="G201" s="339"/>
    </row>
    <row r="202" spans="1:254" x14ac:dyDescent="0.2">
      <c r="A202" s="216">
        <v>42</v>
      </c>
      <c r="B202" s="359"/>
      <c r="C202" s="359"/>
      <c r="D202" s="365" t="s">
        <v>1034</v>
      </c>
      <c r="E202" s="362">
        <f>E200*E201</f>
        <v>4063368.8799877041</v>
      </c>
      <c r="F202" s="69" t="str">
        <f>"= Line "&amp;A200&amp;"D * Line "&amp;A201&amp;"D"</f>
        <v>= Line 40D * Line 41D</v>
      </c>
      <c r="G202" s="339"/>
    </row>
    <row r="203" spans="1:254" ht="12.75" customHeight="1" x14ac:dyDescent="0.2">
      <c r="A203" s="216">
        <v>43</v>
      </c>
      <c r="B203" s="359"/>
      <c r="C203" s="359"/>
      <c r="D203" s="368" t="s">
        <v>2553</v>
      </c>
      <c r="E203" s="483">
        <f>E202+E194</f>
        <v>9488495.2973591872</v>
      </c>
      <c r="F203" s="69" t="str">
        <f>"= Line "&amp;A194&amp;"D + Line "&amp;A202&amp;"D"</f>
        <v>= Line 34D + Line 42D</v>
      </c>
      <c r="G203" s="339"/>
    </row>
    <row r="204" spans="1:254" x14ac:dyDescent="0.2">
      <c r="A204" s="41"/>
      <c r="D204" s="339"/>
      <c r="E204" s="325"/>
      <c r="F204" s="364"/>
    </row>
    <row r="205" spans="1:254" x14ac:dyDescent="0.2">
      <c r="A205" s="41"/>
      <c r="D205" s="236"/>
      <c r="E205" s="242" t="s">
        <v>205</v>
      </c>
      <c r="F205" s="242" t="s">
        <v>174</v>
      </c>
      <c r="G205" s="234"/>
      <c r="I205" s="237"/>
      <c r="J205" s="41"/>
      <c r="K205" s="237"/>
      <c r="L205" s="236"/>
      <c r="M205" s="242"/>
      <c r="N205" s="242"/>
      <c r="O205" s="234"/>
      <c r="P205" s="235"/>
      <c r="Q205" s="237"/>
      <c r="R205" s="236"/>
      <c r="S205" s="242"/>
      <c r="T205" s="242"/>
      <c r="U205" s="234"/>
      <c r="V205" s="235"/>
      <c r="W205" s="237"/>
      <c r="X205" s="41"/>
      <c r="Y205" s="237"/>
      <c r="Z205" s="236"/>
      <c r="AA205" s="242"/>
      <c r="AB205" s="242"/>
      <c r="AC205" s="234"/>
      <c r="AD205" s="235"/>
      <c r="AE205" s="237"/>
      <c r="AF205" s="41"/>
      <c r="AG205" s="237"/>
      <c r="AH205" s="236"/>
      <c r="AI205" s="242"/>
      <c r="AJ205" s="242"/>
      <c r="AK205" s="234"/>
      <c r="AL205" s="235"/>
      <c r="AM205" s="237"/>
      <c r="AN205" s="41"/>
      <c r="AO205" s="237"/>
      <c r="AP205" s="236"/>
      <c r="AQ205" s="242"/>
      <c r="AR205" s="242"/>
      <c r="AS205" s="234"/>
      <c r="AT205" s="235"/>
      <c r="AU205" s="237"/>
      <c r="AV205" s="41"/>
      <c r="AW205" s="237"/>
      <c r="AX205" s="236"/>
      <c r="AY205" s="242"/>
      <c r="AZ205" s="242"/>
      <c r="BA205" s="234"/>
      <c r="BB205" s="235"/>
      <c r="BC205" s="237"/>
      <c r="BD205" s="41"/>
      <c r="BE205" s="237"/>
      <c r="BF205" s="236"/>
      <c r="BG205" s="242"/>
      <c r="BH205" s="242"/>
      <c r="BI205" s="234"/>
      <c r="BJ205" s="235"/>
      <c r="BK205" s="237"/>
      <c r="BL205" s="41"/>
      <c r="BM205" s="237"/>
      <c r="BN205" s="236"/>
      <c r="BO205" s="242"/>
      <c r="BP205" s="242"/>
      <c r="BQ205" s="234"/>
      <c r="BR205" s="235"/>
      <c r="BS205" s="237"/>
      <c r="BT205" s="41"/>
      <c r="BU205" s="237"/>
      <c r="BV205" s="236"/>
      <c r="BW205" s="242"/>
      <c r="BX205" s="242"/>
      <c r="BY205" s="234"/>
      <c r="BZ205" s="235"/>
      <c r="CA205" s="237"/>
      <c r="CB205" s="41"/>
      <c r="CC205" s="237"/>
      <c r="CD205" s="236"/>
      <c r="CE205" s="242"/>
      <c r="CF205" s="242"/>
      <c r="CG205" s="234"/>
      <c r="CH205" s="235"/>
      <c r="CI205" s="237"/>
      <c r="CJ205" s="41"/>
      <c r="CK205" s="237"/>
      <c r="CL205" s="236"/>
      <c r="CM205" s="242"/>
      <c r="CN205" s="242"/>
      <c r="CO205" s="234"/>
      <c r="CP205" s="235"/>
      <c r="CQ205" s="237"/>
      <c r="CR205" s="41"/>
      <c r="CS205" s="237"/>
      <c r="CT205" s="236"/>
      <c r="CU205" s="242"/>
      <c r="CV205" s="242"/>
      <c r="CW205" s="234"/>
      <c r="CX205" s="235"/>
      <c r="CY205" s="237"/>
      <c r="CZ205" s="41"/>
      <c r="DA205" s="237"/>
      <c r="DB205" s="236"/>
      <c r="DC205" s="242"/>
      <c r="DD205" s="242"/>
      <c r="DE205" s="234"/>
      <c r="DF205" s="235"/>
      <c r="DG205" s="237"/>
      <c r="DH205" s="41"/>
      <c r="DI205" s="237"/>
      <c r="DJ205" s="236"/>
      <c r="DK205" s="242"/>
      <c r="DL205" s="242"/>
      <c r="DM205" s="234"/>
      <c r="DN205" s="235"/>
      <c r="DO205" s="237"/>
      <c r="DP205" s="41"/>
      <c r="DQ205" s="237"/>
      <c r="DR205" s="236"/>
      <c r="DS205" s="242"/>
      <c r="DT205" s="242"/>
      <c r="DU205" s="234"/>
      <c r="DV205" s="235"/>
      <c r="DW205" s="237"/>
      <c r="DX205" s="41"/>
      <c r="DY205" s="237"/>
      <c r="DZ205" s="236"/>
      <c r="EA205" s="242"/>
      <c r="EB205" s="242"/>
      <c r="EC205" s="234"/>
      <c r="ED205" s="235"/>
      <c r="EE205" s="237"/>
      <c r="EF205" s="41"/>
      <c r="EG205" s="237"/>
      <c r="EH205" s="236"/>
      <c r="EI205" s="242"/>
      <c r="EJ205" s="242"/>
      <c r="EK205" s="234"/>
      <c r="EL205" s="235"/>
      <c r="EM205" s="237"/>
      <c r="EN205" s="41"/>
      <c r="EO205" s="237"/>
      <c r="EP205" s="236"/>
      <c r="EQ205" s="242"/>
      <c r="ER205" s="242"/>
      <c r="ES205" s="234"/>
      <c r="ET205" s="235"/>
      <c r="EU205" s="237"/>
      <c r="EV205" s="41"/>
      <c r="EW205" s="237"/>
      <c r="EX205" s="236"/>
      <c r="EY205" s="242"/>
      <c r="EZ205" s="242"/>
      <c r="FA205" s="234"/>
      <c r="FB205" s="235"/>
      <c r="FC205" s="237"/>
      <c r="FD205" s="41"/>
      <c r="FE205" s="237"/>
      <c r="FF205" s="236"/>
      <c r="FG205" s="242"/>
      <c r="FH205" s="242"/>
      <c r="FI205" s="234"/>
      <c r="FJ205" s="235"/>
      <c r="FK205" s="237"/>
      <c r="FL205" s="41"/>
      <c r="FM205" s="237"/>
      <c r="FN205" s="236"/>
      <c r="FO205" s="242"/>
      <c r="FP205" s="242"/>
      <c r="FQ205" s="234"/>
      <c r="FR205" s="235"/>
      <c r="FS205" s="237"/>
      <c r="FT205" s="41"/>
      <c r="FU205" s="237"/>
      <c r="FV205" s="236"/>
      <c r="FW205" s="242"/>
      <c r="FX205" s="242"/>
      <c r="FY205" s="234"/>
      <c r="FZ205" s="235"/>
      <c r="GA205" s="237"/>
      <c r="GB205" s="41"/>
      <c r="GC205" s="237"/>
      <c r="GD205" s="236"/>
      <c r="GE205" s="242"/>
      <c r="GF205" s="242"/>
      <c r="GG205" s="234"/>
      <c r="GH205" s="235"/>
      <c r="GI205" s="237"/>
      <c r="GJ205" s="41"/>
      <c r="GK205" s="237"/>
      <c r="GL205" s="236"/>
      <c r="GM205" s="242"/>
      <c r="GN205" s="242"/>
      <c r="GO205" s="234"/>
      <c r="GP205" s="235"/>
      <c r="GQ205" s="237"/>
      <c r="GR205" s="41"/>
      <c r="GS205" s="237"/>
      <c r="GT205" s="236"/>
      <c r="GU205" s="242"/>
      <c r="GV205" s="242"/>
      <c r="GW205" s="234"/>
      <c r="GX205" s="235"/>
      <c r="GY205" s="237"/>
      <c r="GZ205" s="41"/>
      <c r="HA205" s="237"/>
      <c r="HB205" s="236"/>
      <c r="HC205" s="242"/>
      <c r="HD205" s="242"/>
      <c r="HE205" s="234"/>
      <c r="HF205" s="235"/>
      <c r="HG205" s="237"/>
      <c r="HH205" s="41"/>
      <c r="HI205" s="237"/>
      <c r="HJ205" s="236"/>
      <c r="HK205" s="242"/>
      <c r="HL205" s="242"/>
      <c r="HM205" s="234"/>
      <c r="HN205" s="235"/>
      <c r="HO205" s="237"/>
      <c r="HP205" s="41"/>
      <c r="HQ205" s="237"/>
      <c r="HR205" s="236"/>
      <c r="HS205" s="242"/>
      <c r="HT205" s="242"/>
      <c r="HU205" s="234"/>
      <c r="HV205" s="235"/>
      <c r="HW205" s="237"/>
      <c r="HX205" s="41"/>
      <c r="HY205" s="237"/>
      <c r="HZ205" s="236"/>
      <c r="IA205" s="242"/>
      <c r="IB205" s="242"/>
      <c r="IC205" s="234"/>
      <c r="ID205" s="235"/>
      <c r="IE205" s="237"/>
      <c r="IF205" s="41"/>
      <c r="IG205" s="237"/>
      <c r="IH205" s="236"/>
      <c r="II205" s="242"/>
      <c r="IJ205" s="242"/>
      <c r="IK205" s="234"/>
      <c r="IL205" s="235"/>
      <c r="IM205" s="237"/>
      <c r="IN205" s="41"/>
      <c r="IO205" s="237"/>
      <c r="IP205" s="236"/>
      <c r="IQ205" s="242"/>
      <c r="IR205" s="242"/>
      <c r="IS205" s="234"/>
      <c r="IT205" s="235"/>
    </row>
    <row r="206" spans="1:254" x14ac:dyDescent="0.2">
      <c r="A206" s="216">
        <v>44</v>
      </c>
      <c r="B206" s="40" t="s">
        <v>1057</v>
      </c>
      <c r="D206" s="236"/>
      <c r="E206" s="486">
        <f>H190+E203</f>
        <v>39482221.858384289</v>
      </c>
      <c r="F206" s="1042" t="s">
        <v>3162</v>
      </c>
      <c r="G206" s="234"/>
      <c r="J206" s="40"/>
      <c r="K206" s="237"/>
      <c r="L206" s="236"/>
      <c r="M206" s="241"/>
      <c r="N206" s="243"/>
      <c r="O206" s="234"/>
      <c r="P206" s="235"/>
      <c r="Q206" s="237"/>
      <c r="R206" s="236"/>
      <c r="S206" s="241"/>
      <c r="T206" s="243"/>
      <c r="U206" s="234"/>
      <c r="V206" s="235"/>
      <c r="W206" s="221"/>
      <c r="X206" s="40"/>
      <c r="Y206" s="237"/>
      <c r="Z206" s="236"/>
      <c r="AA206" s="241"/>
      <c r="AB206" s="243"/>
      <c r="AC206" s="234"/>
      <c r="AD206" s="235"/>
      <c r="AE206" s="221"/>
      <c r="AF206" s="40"/>
      <c r="AG206" s="237"/>
      <c r="AH206" s="236"/>
      <c r="AI206" s="241"/>
      <c r="AJ206" s="243"/>
      <c r="AK206" s="234"/>
      <c r="AL206" s="235"/>
      <c r="AM206" s="221"/>
      <c r="AN206" s="40"/>
      <c r="AO206" s="237"/>
      <c r="AP206" s="236"/>
      <c r="AQ206" s="241"/>
      <c r="AR206" s="243"/>
      <c r="AS206" s="234"/>
      <c r="AT206" s="235"/>
      <c r="AU206" s="221"/>
      <c r="AV206" s="40"/>
      <c r="AW206" s="237"/>
      <c r="AX206" s="236"/>
      <c r="AY206" s="241"/>
      <c r="AZ206" s="243"/>
      <c r="BA206" s="234"/>
      <c r="BB206" s="235"/>
      <c r="BC206" s="221"/>
      <c r="BD206" s="40"/>
      <c r="BE206" s="237"/>
      <c r="BF206" s="236"/>
      <c r="BG206" s="241"/>
      <c r="BH206" s="243"/>
      <c r="BI206" s="234"/>
      <c r="BJ206" s="235"/>
      <c r="BK206" s="221"/>
      <c r="BL206" s="40"/>
      <c r="BM206" s="237"/>
      <c r="BN206" s="236"/>
      <c r="BO206" s="241"/>
      <c r="BP206" s="243"/>
      <c r="BQ206" s="234"/>
      <c r="BR206" s="235"/>
      <c r="BS206" s="221"/>
      <c r="BT206" s="40"/>
      <c r="BU206" s="237"/>
      <c r="BV206" s="236"/>
      <c r="BW206" s="241"/>
      <c r="BX206" s="243"/>
      <c r="BY206" s="234"/>
      <c r="BZ206" s="235"/>
      <c r="CA206" s="221"/>
      <c r="CB206" s="40"/>
      <c r="CC206" s="237"/>
      <c r="CD206" s="236"/>
      <c r="CE206" s="241"/>
      <c r="CF206" s="243"/>
      <c r="CG206" s="234"/>
      <c r="CH206" s="235"/>
      <c r="CI206" s="221"/>
      <c r="CJ206" s="40"/>
      <c r="CK206" s="237"/>
      <c r="CL206" s="236"/>
      <c r="CM206" s="241"/>
      <c r="CN206" s="243"/>
      <c r="CO206" s="234"/>
      <c r="CP206" s="235"/>
      <c r="CQ206" s="221"/>
      <c r="CR206" s="40"/>
      <c r="CS206" s="237"/>
      <c r="CT206" s="236"/>
      <c r="CU206" s="241"/>
      <c r="CV206" s="243"/>
      <c r="CW206" s="234"/>
      <c r="CX206" s="235"/>
      <c r="CY206" s="221"/>
      <c r="CZ206" s="40"/>
      <c r="DA206" s="237"/>
      <c r="DB206" s="236"/>
      <c r="DC206" s="241"/>
      <c r="DD206" s="243"/>
      <c r="DE206" s="234"/>
      <c r="DF206" s="235"/>
      <c r="DG206" s="221"/>
      <c r="DH206" s="40"/>
      <c r="DI206" s="237"/>
      <c r="DJ206" s="236"/>
      <c r="DK206" s="241"/>
      <c r="DL206" s="243"/>
      <c r="DM206" s="234"/>
      <c r="DN206" s="235"/>
      <c r="DO206" s="221"/>
      <c r="DP206" s="40"/>
      <c r="DQ206" s="237"/>
      <c r="DR206" s="236"/>
      <c r="DS206" s="241"/>
      <c r="DT206" s="243"/>
      <c r="DU206" s="234"/>
      <c r="DV206" s="235"/>
      <c r="DW206" s="221"/>
      <c r="DX206" s="40"/>
      <c r="DY206" s="237"/>
      <c r="DZ206" s="236"/>
      <c r="EA206" s="241"/>
      <c r="EB206" s="243"/>
      <c r="EC206" s="234"/>
      <c r="ED206" s="235"/>
      <c r="EE206" s="221"/>
      <c r="EF206" s="40"/>
      <c r="EG206" s="237"/>
      <c r="EH206" s="236"/>
      <c r="EI206" s="241"/>
      <c r="EJ206" s="243"/>
      <c r="EK206" s="234"/>
      <c r="EL206" s="235"/>
      <c r="EM206" s="221"/>
      <c r="EN206" s="40"/>
      <c r="EO206" s="237"/>
      <c r="EP206" s="236"/>
      <c r="EQ206" s="241"/>
      <c r="ER206" s="243"/>
      <c r="ES206" s="234"/>
      <c r="ET206" s="235"/>
      <c r="EU206" s="221"/>
      <c r="EV206" s="40"/>
      <c r="EW206" s="237"/>
      <c r="EX206" s="236"/>
      <c r="EY206" s="241"/>
      <c r="EZ206" s="243"/>
      <c r="FA206" s="234"/>
      <c r="FB206" s="235"/>
      <c r="FC206" s="221"/>
      <c r="FD206" s="40"/>
      <c r="FE206" s="237"/>
      <c r="FF206" s="236"/>
      <c r="FG206" s="241"/>
      <c r="FH206" s="243"/>
      <c r="FI206" s="234"/>
      <c r="FJ206" s="235"/>
      <c r="FK206" s="221"/>
      <c r="FL206" s="40"/>
      <c r="FM206" s="237"/>
      <c r="FN206" s="236"/>
      <c r="FO206" s="241"/>
      <c r="FP206" s="243"/>
      <c r="FQ206" s="234"/>
      <c r="FR206" s="235"/>
      <c r="FS206" s="221"/>
      <c r="FT206" s="40"/>
      <c r="FU206" s="237"/>
      <c r="FV206" s="236"/>
      <c r="FW206" s="241"/>
      <c r="FX206" s="243"/>
      <c r="FY206" s="234"/>
      <c r="FZ206" s="235"/>
      <c r="GA206" s="221"/>
      <c r="GB206" s="40"/>
      <c r="GC206" s="237"/>
      <c r="GD206" s="236"/>
      <c r="GE206" s="241"/>
      <c r="GF206" s="243"/>
      <c r="GG206" s="234"/>
      <c r="GH206" s="235"/>
      <c r="GI206" s="221"/>
      <c r="GJ206" s="40"/>
      <c r="GK206" s="237"/>
      <c r="GL206" s="236"/>
      <c r="GM206" s="241"/>
      <c r="GN206" s="243"/>
      <c r="GO206" s="234"/>
      <c r="GP206" s="235"/>
      <c r="GQ206" s="221"/>
      <c r="GR206" s="40"/>
      <c r="GS206" s="237"/>
      <c r="GT206" s="236"/>
      <c r="GU206" s="241"/>
      <c r="GV206" s="243"/>
      <c r="GW206" s="234"/>
      <c r="GX206" s="235"/>
      <c r="GY206" s="221"/>
      <c r="GZ206" s="40"/>
      <c r="HA206" s="237"/>
      <c r="HB206" s="236"/>
      <c r="HC206" s="241"/>
      <c r="HD206" s="243"/>
      <c r="HE206" s="234"/>
      <c r="HF206" s="235"/>
      <c r="HG206" s="221"/>
      <c r="HH206" s="40"/>
      <c r="HI206" s="237"/>
      <c r="HJ206" s="236"/>
      <c r="HK206" s="241"/>
      <c r="HL206" s="243"/>
      <c r="HM206" s="234"/>
      <c r="HN206" s="235"/>
      <c r="HO206" s="221"/>
      <c r="HP206" s="40"/>
      <c r="HQ206" s="237"/>
      <c r="HR206" s="236"/>
      <c r="HS206" s="241"/>
      <c r="HT206" s="243"/>
      <c r="HU206" s="234"/>
      <c r="HV206" s="235"/>
      <c r="HW206" s="221"/>
      <c r="HX206" s="40"/>
      <c r="HY206" s="237"/>
      <c r="HZ206" s="236"/>
      <c r="IA206" s="241"/>
      <c r="IB206" s="243"/>
      <c r="IC206" s="234"/>
      <c r="ID206" s="235"/>
      <c r="IE206" s="221"/>
      <c r="IF206" s="40"/>
      <c r="IG206" s="237"/>
      <c r="IH206" s="236"/>
      <c r="II206" s="241"/>
      <c r="IJ206" s="243"/>
      <c r="IK206" s="234"/>
      <c r="IL206" s="235"/>
      <c r="IM206" s="221"/>
      <c r="IN206" s="40"/>
      <c r="IO206" s="237"/>
      <c r="IP206" s="236"/>
      <c r="IQ206" s="241"/>
      <c r="IR206" s="243"/>
      <c r="IS206" s="234"/>
      <c r="IT206" s="235"/>
    </row>
    <row r="207" spans="1:254" x14ac:dyDescent="0.2">
      <c r="A207" s="41"/>
      <c r="D207" s="339"/>
      <c r="E207" s="325"/>
      <c r="F207" s="364"/>
    </row>
    <row r="209" spans="1:7" x14ac:dyDescent="0.2">
      <c r="A209" s="237" t="s">
        <v>267</v>
      </c>
    </row>
    <row r="210" spans="1:7" ht="12.75" customHeight="1" x14ac:dyDescent="0.2">
      <c r="A210" s="90" t="s">
        <v>1035</v>
      </c>
      <c r="B210" s="1244" t="s">
        <v>1956</v>
      </c>
      <c r="C210" s="1245"/>
      <c r="D210" s="1245"/>
    </row>
    <row r="211" spans="1:7" ht="77.25" customHeight="1" x14ac:dyDescent="0.2">
      <c r="A211" s="90" t="s">
        <v>1036</v>
      </c>
      <c r="B211" s="1217" t="s">
        <v>2757</v>
      </c>
      <c r="C211" s="1218"/>
      <c r="D211" s="1218"/>
      <c r="E211" s="1219"/>
      <c r="F211" s="1219"/>
    </row>
    <row r="212" spans="1:7" ht="12.75" customHeight="1" x14ac:dyDescent="0.2">
      <c r="A212" s="90" t="s">
        <v>1037</v>
      </c>
      <c r="B212" s="1232" t="s">
        <v>1038</v>
      </c>
      <c r="C212" s="1233"/>
      <c r="D212" s="1233"/>
      <c r="E212" s="1234"/>
      <c r="F212" s="1234"/>
    </row>
    <row r="213" spans="1:7" ht="12.75" customHeight="1" x14ac:dyDescent="0.2">
      <c r="A213" s="75" t="s">
        <v>1039</v>
      </c>
      <c r="B213" s="1217" t="s">
        <v>2002</v>
      </c>
      <c r="C213" s="1233"/>
      <c r="D213" s="1233"/>
      <c r="E213" s="1234"/>
      <c r="F213" s="1234"/>
    </row>
    <row r="214" spans="1:7" ht="12.75" customHeight="1" x14ac:dyDescent="0.2">
      <c r="A214" s="90" t="s">
        <v>1040</v>
      </c>
      <c r="B214" s="1232" t="s">
        <v>1041</v>
      </c>
      <c r="C214" s="1233"/>
      <c r="D214" s="1233"/>
      <c r="E214" s="1234"/>
      <c r="F214" s="1234"/>
    </row>
    <row r="215" spans="1:7" ht="12.75" customHeight="1" x14ac:dyDescent="0.2">
      <c r="A215" s="75" t="s">
        <v>1042</v>
      </c>
      <c r="B215" s="1232" t="s">
        <v>1043</v>
      </c>
      <c r="C215" s="1233"/>
      <c r="D215" s="1233"/>
      <c r="E215" s="1234"/>
      <c r="F215" s="1234"/>
    </row>
    <row r="216" spans="1:7" ht="12.75" customHeight="1" x14ac:dyDescent="0.2">
      <c r="A216" s="75" t="s">
        <v>1044</v>
      </c>
      <c r="B216" s="1217" t="s">
        <v>2514</v>
      </c>
      <c r="C216" s="1218"/>
      <c r="D216" s="1218"/>
      <c r="E216" s="1240"/>
      <c r="F216" s="1240"/>
    </row>
    <row r="217" spans="1:7" ht="12.75" customHeight="1" x14ac:dyDescent="0.2">
      <c r="A217" s="75"/>
      <c r="B217" s="1240"/>
      <c r="C217" s="1240"/>
      <c r="D217" s="1240"/>
      <c r="E217" s="1240"/>
      <c r="F217" s="1240"/>
    </row>
    <row r="218" spans="1:7" ht="12.75" customHeight="1" x14ac:dyDescent="0.2">
      <c r="A218" s="75"/>
      <c r="B218" s="1232" t="s">
        <v>1045</v>
      </c>
      <c r="C218" s="1233"/>
      <c r="D218" s="379">
        <v>4.6089999999999999E-2</v>
      </c>
      <c r="E218" s="1153" t="s">
        <v>2549</v>
      </c>
      <c r="F218" s="859" t="s">
        <v>2548</v>
      </c>
      <c r="G218" s="860"/>
    </row>
    <row r="219" spans="1:7" ht="26.25" customHeight="1" x14ac:dyDescent="0.2">
      <c r="A219" s="75" t="s">
        <v>1046</v>
      </c>
      <c r="B219" s="1232" t="s">
        <v>1047</v>
      </c>
      <c r="C219" s="1233"/>
      <c r="D219" s="1233"/>
      <c r="E219" s="1234"/>
      <c r="F219" s="1234"/>
    </row>
    <row r="220" spans="1:7" ht="27.75" customHeight="1" x14ac:dyDescent="0.2">
      <c r="A220" s="75" t="s">
        <v>1048</v>
      </c>
      <c r="B220" s="1232" t="s">
        <v>1049</v>
      </c>
      <c r="C220" s="1233"/>
      <c r="D220" s="1233"/>
      <c r="E220" s="1234"/>
      <c r="F220" s="1234"/>
    </row>
    <row r="221" spans="1:7" ht="25.5" customHeight="1" x14ac:dyDescent="0.2">
      <c r="A221" s="90" t="s">
        <v>1050</v>
      </c>
      <c r="B221" s="1232" t="s">
        <v>1051</v>
      </c>
      <c r="C221" s="1233"/>
      <c r="D221" s="1233"/>
      <c r="E221" s="1234"/>
      <c r="F221" s="1234"/>
    </row>
    <row r="222" spans="1:7" ht="39.950000000000003" customHeight="1" x14ac:dyDescent="0.2">
      <c r="A222" s="75" t="s">
        <v>1052</v>
      </c>
      <c r="B222" s="1217" t="s">
        <v>2550</v>
      </c>
      <c r="C222" s="1218"/>
      <c r="D222" s="1218"/>
      <c r="E222" s="1219"/>
      <c r="F222" s="1219"/>
    </row>
    <row r="223" spans="1:7" ht="26.1" customHeight="1" x14ac:dyDescent="0.2">
      <c r="A223" s="75" t="s">
        <v>1053</v>
      </c>
      <c r="B223" s="1217" t="s">
        <v>2515</v>
      </c>
      <c r="C223" s="1218"/>
      <c r="D223" s="1218"/>
      <c r="E223" s="1240"/>
      <c r="F223" s="1240"/>
      <c r="G223" s="1240"/>
    </row>
    <row r="224" spans="1:7" ht="12.75" customHeight="1" x14ac:dyDescent="0.2">
      <c r="A224" s="75"/>
      <c r="B224" s="1232" t="s">
        <v>1045</v>
      </c>
      <c r="C224" s="1233"/>
      <c r="D224" s="379">
        <v>4.6089999999999999E-2</v>
      </c>
      <c r="E224" s="1153" t="s">
        <v>2549</v>
      </c>
      <c r="F224" s="859" t="s">
        <v>2548</v>
      </c>
      <c r="G224" s="860"/>
    </row>
    <row r="225" spans="1:8" ht="12.75" customHeight="1" x14ac:dyDescent="0.2">
      <c r="A225" s="75" t="s">
        <v>1054</v>
      </c>
      <c r="B225" s="1217" t="s">
        <v>3156</v>
      </c>
      <c r="C225" s="1218"/>
      <c r="D225" s="1218"/>
      <c r="E225" s="1240"/>
      <c r="F225" s="1240"/>
      <c r="G225" s="1240"/>
      <c r="H225" s="1240"/>
    </row>
    <row r="226" spans="1:8" ht="12.75" customHeight="1" x14ac:dyDescent="0.2">
      <c r="A226" s="75" t="s">
        <v>1055</v>
      </c>
      <c r="B226" s="1217" t="s">
        <v>3157</v>
      </c>
      <c r="C226" s="1218"/>
      <c r="D226" s="1218"/>
      <c r="E226" s="1240"/>
      <c r="F226" s="1240"/>
      <c r="G226" s="1240"/>
    </row>
    <row r="227" spans="1:8" ht="25.5" customHeight="1" x14ac:dyDescent="0.2">
      <c r="A227" s="826" t="s">
        <v>2435</v>
      </c>
      <c r="B227" s="1217" t="s">
        <v>2579</v>
      </c>
      <c r="C227" s="1218"/>
      <c r="D227" s="1218"/>
      <c r="E227" s="1219"/>
      <c r="F227" s="1219"/>
      <c r="G227" s="339"/>
    </row>
    <row r="228" spans="1:8" x14ac:dyDescent="0.2">
      <c r="A228" s="826" t="s">
        <v>2551</v>
      </c>
      <c r="B228" s="796" t="s">
        <v>2632</v>
      </c>
      <c r="C228" s="41"/>
      <c r="E228" s="41"/>
      <c r="F228" s="41"/>
      <c r="G228" s="339"/>
    </row>
    <row r="229" spans="1:8" x14ac:dyDescent="0.2">
      <c r="A229" s="826" t="s">
        <v>2598</v>
      </c>
      <c r="B229" s="796" t="s">
        <v>2729</v>
      </c>
      <c r="C229" s="41"/>
      <c r="E229" s="339"/>
      <c r="F229" s="339"/>
      <c r="G229" s="339"/>
    </row>
    <row r="230" spans="1:8" x14ac:dyDescent="0.2">
      <c r="A230" s="41"/>
      <c r="B230" s="796" t="s">
        <v>2730</v>
      </c>
      <c r="C230" s="41"/>
      <c r="E230" s="339"/>
      <c r="F230" s="339"/>
      <c r="G230" s="339"/>
    </row>
    <row r="231" spans="1:8" x14ac:dyDescent="0.2">
      <c r="A231" s="41"/>
      <c r="B231" s="796" t="s">
        <v>2731</v>
      </c>
      <c r="C231" s="41"/>
      <c r="E231" s="339"/>
      <c r="F231" s="339"/>
      <c r="G231" s="339"/>
    </row>
    <row r="232" spans="1:8" x14ac:dyDescent="0.2">
      <c r="A232" s="41"/>
      <c r="B232" s="796" t="s">
        <v>2732</v>
      </c>
      <c r="C232" s="41"/>
      <c r="E232" s="339"/>
      <c r="F232" s="339"/>
      <c r="G232" s="339"/>
    </row>
    <row r="233" spans="1:8" x14ac:dyDescent="0.2">
      <c r="A233" s="41"/>
      <c r="C233" s="41"/>
      <c r="E233" s="339"/>
      <c r="F233" s="339"/>
      <c r="G233" s="339"/>
    </row>
  </sheetData>
  <autoFilter ref="A1:O228"/>
  <mergeCells count="46">
    <mergeCell ref="B225:H225"/>
    <mergeCell ref="B226:G226"/>
    <mergeCell ref="B118:D118"/>
    <mergeCell ref="B221:F221"/>
    <mergeCell ref="B222:F222"/>
    <mergeCell ref="B224:C224"/>
    <mergeCell ref="B223:G223"/>
    <mergeCell ref="B148:D148"/>
    <mergeCell ref="B173:D173"/>
    <mergeCell ref="B153:D153"/>
    <mergeCell ref="B182:C182"/>
    <mergeCell ref="B210:D210"/>
    <mergeCell ref="B147:D147"/>
    <mergeCell ref="B142:D142"/>
    <mergeCell ref="B218:C218"/>
    <mergeCell ref="B216:F217"/>
    <mergeCell ref="B220:F220"/>
    <mergeCell ref="B211:F211"/>
    <mergeCell ref="B178:C178"/>
    <mergeCell ref="B179:C179"/>
    <mergeCell ref="B181:C181"/>
    <mergeCell ref="B186:D186"/>
    <mergeCell ref="B188:D188"/>
    <mergeCell ref="B187:D187"/>
    <mergeCell ref="B180:C180"/>
    <mergeCell ref="B212:F212"/>
    <mergeCell ref="B213:F213"/>
    <mergeCell ref="B215:F215"/>
    <mergeCell ref="B214:F214"/>
    <mergeCell ref="B219:F219"/>
    <mergeCell ref="B227:F227"/>
    <mergeCell ref="J2:M2"/>
    <mergeCell ref="G2:I2"/>
    <mergeCell ref="B175:D175"/>
    <mergeCell ref="B143:D143"/>
    <mergeCell ref="B60:D60"/>
    <mergeCell ref="B32:D32"/>
    <mergeCell ref="B24:D24"/>
    <mergeCell ref="B174:D174"/>
    <mergeCell ref="B152:D152"/>
    <mergeCell ref="B9:D9"/>
    <mergeCell ref="B10:D10"/>
    <mergeCell ref="B31:D31"/>
    <mergeCell ref="B23:D23"/>
    <mergeCell ref="B59:D59"/>
    <mergeCell ref="B119:D119"/>
  </mergeCells>
  <conditionalFormatting sqref="A214:A215 C149:C151 C120:C141 D65 C2:C8 C11:C22 C144:C146 C229:C65538 A219:A220 C153:C162 A222:A225 C207:C209 C25:C30 C33:C58 C61:C117 C190:C204 A227:A228">
    <cfRule type="cellIs" dxfId="5" priority="6" stopIfTrue="1" operator="between">
      <formula>4990000</formula>
      <formula>4999999</formula>
    </cfRule>
  </conditionalFormatting>
  <conditionalFormatting sqref="A226">
    <cfRule type="cellIs" dxfId="4" priority="5" stopIfTrue="1" operator="between">
      <formula>4990000</formula>
      <formula>4999999</formula>
    </cfRule>
  </conditionalFormatting>
  <conditionalFormatting sqref="A216:A218">
    <cfRule type="cellIs" dxfId="3" priority="4" stopIfTrue="1" operator="between">
      <formula>4990000</formula>
      <formula>4999999</formula>
    </cfRule>
  </conditionalFormatting>
  <conditionalFormatting sqref="K205:K206 Q205:Q206 Y205:Y206 AG205:AG206 AO205:AO206 AW205:AW206 BE205:BE206 BM205:BM206 BU205:BU206 CC205:CC206 CK205:CK206 CS205:CS206 DA205:DA206 DI205:DI206 DQ205:DQ206 DY205:DY206 EG205:EG206 EO205:EO206 EW205:EW206 FE205:FE206 FM205:FM206 FU205:FU206 GC205:GC206 GK205:GK206 GS205:GS206 HA205:HA206 HI205:HI206 HQ205:HQ206 HY205:HY206 IG205:IG206 IO205:IO206">
    <cfRule type="cellIs" dxfId="2" priority="3" stopIfTrue="1" operator="between">
      <formula>4990000</formula>
      <formula>4999999</formula>
    </cfRule>
  </conditionalFormatting>
  <conditionalFormatting sqref="C205:C206">
    <cfRule type="cellIs" dxfId="1" priority="2" stopIfTrue="1" operator="between">
      <formula>4990000</formula>
      <formula>4999999</formula>
    </cfRule>
  </conditionalFormatting>
  <conditionalFormatting sqref="A229">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&amp;"Arial,Bold"Exhibit G-1</oddHeader>
    <oddFooter>&amp;R21-RevenueCredits</oddFooter>
  </headerFooter>
  <rowBreaks count="3" manualBreakCount="3">
    <brk id="60" max="16383" man="1"/>
    <brk id="119" max="16383" man="1"/>
    <brk id="1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2.75" x14ac:dyDescent="0.2"/>
  <cols>
    <col min="1" max="1" width="4.7109375" style="63" customWidth="1"/>
    <col min="2" max="2" width="14" customWidth="1"/>
    <col min="3" max="3" width="26.85546875" customWidth="1"/>
    <col min="4" max="4" width="28.5703125" customWidth="1"/>
    <col min="5" max="5" width="16.28515625" bestFit="1" customWidth="1"/>
    <col min="6" max="6" width="20.7109375" style="412" customWidth="1"/>
    <col min="7" max="7" width="9.7109375" customWidth="1"/>
  </cols>
  <sheetData>
    <row r="1" spans="1:7" x14ac:dyDescent="0.2">
      <c r="A1" s="87" t="s">
        <v>1210</v>
      </c>
      <c r="C1" s="87"/>
      <c r="D1" s="87"/>
      <c r="E1" s="87"/>
    </row>
    <row r="2" spans="1:7" x14ac:dyDescent="0.2">
      <c r="A2" s="87"/>
      <c r="C2" s="87"/>
      <c r="D2" s="87"/>
      <c r="E2" s="1055" t="s">
        <v>2524</v>
      </c>
      <c r="F2" s="469">
        <v>2010</v>
      </c>
    </row>
    <row r="3" spans="1:7" x14ac:dyDescent="0.2">
      <c r="B3" s="87" t="s">
        <v>1247</v>
      </c>
      <c r="C3" s="87"/>
      <c r="D3" s="87"/>
      <c r="E3" s="87"/>
    </row>
    <row r="4" spans="1:7" ht="15" x14ac:dyDescent="0.25">
      <c r="A4" s="53" t="s">
        <v>372</v>
      </c>
      <c r="C4" s="87"/>
      <c r="E4" s="3" t="s">
        <v>1071</v>
      </c>
      <c r="F4" s="413" t="s">
        <v>198</v>
      </c>
    </row>
    <row r="5" spans="1:7" ht="15" x14ac:dyDescent="0.25">
      <c r="A5" s="257">
        <v>1</v>
      </c>
      <c r="B5" s="52" t="s">
        <v>1211</v>
      </c>
      <c r="C5" s="52"/>
      <c r="D5" s="414"/>
      <c r="E5" s="415">
        <v>18774106</v>
      </c>
      <c r="F5" s="416" t="s">
        <v>247</v>
      </c>
    </row>
    <row r="6" spans="1:7" ht="15" x14ac:dyDescent="0.25">
      <c r="A6" s="257">
        <v>2</v>
      </c>
      <c r="B6" s="414" t="s">
        <v>1212</v>
      </c>
      <c r="C6" s="414"/>
      <c r="D6" s="414"/>
      <c r="E6" s="488">
        <v>118069285</v>
      </c>
      <c r="F6" s="416" t="s">
        <v>35</v>
      </c>
    </row>
    <row r="7" spans="1:7" ht="15" x14ac:dyDescent="0.25">
      <c r="A7" s="257">
        <v>3</v>
      </c>
      <c r="B7" s="52" t="s">
        <v>1213</v>
      </c>
      <c r="C7" s="52"/>
      <c r="D7" s="52"/>
      <c r="E7" s="61">
        <f>E5+E6</f>
        <v>136843391</v>
      </c>
      <c r="F7" s="13" t="str">
        <f>"Line "&amp;A5&amp;" + Line "&amp;A6&amp;""</f>
        <v>Line 1 + Line 2</v>
      </c>
    </row>
    <row r="8" spans="1:7" ht="15.75" x14ac:dyDescent="0.25">
      <c r="A8" s="417">
        <v>4</v>
      </c>
      <c r="B8" s="1246" t="s">
        <v>1214</v>
      </c>
      <c r="C8" s="1247"/>
      <c r="D8" s="1247"/>
      <c r="E8" s="415">
        <v>136843391</v>
      </c>
      <c r="F8" s="419" t="s">
        <v>1527</v>
      </c>
      <c r="G8" s="401"/>
    </row>
    <row r="9" spans="1:7" ht="15" x14ac:dyDescent="0.25">
      <c r="A9" s="417"/>
      <c r="B9" s="418"/>
      <c r="C9" s="420"/>
      <c r="D9" s="420"/>
      <c r="E9" s="421"/>
      <c r="F9" s="430"/>
      <c r="G9" s="401"/>
    </row>
    <row r="10" spans="1:7" ht="15" x14ac:dyDescent="0.25">
      <c r="A10" s="417"/>
      <c r="B10" s="87" t="s">
        <v>1248</v>
      </c>
      <c r="C10" s="420"/>
      <c r="D10" s="420"/>
      <c r="E10" s="421"/>
      <c r="F10" s="419"/>
      <c r="G10" s="401"/>
    </row>
    <row r="11" spans="1:7" ht="15" x14ac:dyDescent="0.25">
      <c r="A11" s="422"/>
      <c r="B11" s="52"/>
      <c r="C11" s="52"/>
      <c r="D11" s="52"/>
      <c r="E11" s="61"/>
      <c r="F11" s="419"/>
      <c r="G11" s="401"/>
    </row>
    <row r="12" spans="1:7" ht="15" x14ac:dyDescent="0.25">
      <c r="A12" s="422">
        <v>5</v>
      </c>
      <c r="B12" s="52" t="s">
        <v>1211</v>
      </c>
      <c r="C12" s="52"/>
      <c r="D12" s="52"/>
      <c r="E12" s="415">
        <v>32869941</v>
      </c>
      <c r="F12" s="419" t="s">
        <v>323</v>
      </c>
      <c r="G12" s="401"/>
    </row>
    <row r="13" spans="1:7" ht="15" x14ac:dyDescent="0.25">
      <c r="A13" s="422">
        <v>6</v>
      </c>
      <c r="B13" s="52" t="s">
        <v>1212</v>
      </c>
      <c r="C13" s="52"/>
      <c r="D13" s="52"/>
      <c r="E13" s="1154">
        <v>79057048</v>
      </c>
      <c r="F13" s="416" t="s">
        <v>35</v>
      </c>
      <c r="G13" s="401"/>
    </row>
    <row r="14" spans="1:7" ht="15" x14ac:dyDescent="0.25">
      <c r="A14" s="422">
        <v>7</v>
      </c>
      <c r="B14" s="52" t="s">
        <v>1213</v>
      </c>
      <c r="C14" s="52"/>
      <c r="D14" s="52"/>
      <c r="E14" s="421">
        <f>E12+E13</f>
        <v>111926989</v>
      </c>
      <c r="F14" s="13" t="str">
        <f>"Line "&amp;A12&amp;" + Line "&amp;A13&amp;""</f>
        <v>Line 5 + Line 6</v>
      </c>
      <c r="G14" s="401"/>
    </row>
    <row r="15" spans="1:7" ht="15.75" x14ac:dyDescent="0.25">
      <c r="A15" s="417">
        <v>8</v>
      </c>
      <c r="B15" s="1246" t="s">
        <v>1215</v>
      </c>
      <c r="C15" s="1247"/>
      <c r="D15" s="1247"/>
      <c r="E15" s="415">
        <v>111926989</v>
      </c>
      <c r="F15" s="419" t="s">
        <v>1216</v>
      </c>
      <c r="G15" s="401"/>
    </row>
    <row r="16" spans="1:7" ht="15" x14ac:dyDescent="0.25">
      <c r="A16" s="257"/>
      <c r="B16" s="52"/>
      <c r="C16" s="52"/>
      <c r="D16" s="52"/>
      <c r="E16" s="61"/>
      <c r="F16" s="416"/>
    </row>
    <row r="17" spans="1:7" ht="15" x14ac:dyDescent="0.25">
      <c r="A17" s="257">
        <v>9</v>
      </c>
      <c r="B17" s="52" t="s">
        <v>1217</v>
      </c>
      <c r="C17" s="52"/>
      <c r="D17" s="52"/>
      <c r="E17" s="61">
        <f>(E5+E12)/2</f>
        <v>25822023.5</v>
      </c>
      <c r="F17" s="16" t="str">
        <f>"(Line "&amp;A5&amp;" + Line "&amp;A12&amp;") / 2"</f>
        <v>(Line 1 + Line 5) / 2</v>
      </c>
      <c r="G17" s="423"/>
    </row>
    <row r="18" spans="1:7" ht="15" x14ac:dyDescent="0.25">
      <c r="A18" s="257"/>
      <c r="B18" s="414"/>
      <c r="C18" s="424"/>
      <c r="D18" s="425"/>
      <c r="E18" s="426"/>
      <c r="F18" s="416"/>
    </row>
    <row r="19" spans="1:7" ht="15" x14ac:dyDescent="0.25">
      <c r="A19" s="257">
        <v>10</v>
      </c>
      <c r="B19" s="414" t="s">
        <v>1218</v>
      </c>
      <c r="C19" s="424"/>
      <c r="D19" s="424"/>
      <c r="E19" s="427">
        <v>1581641</v>
      </c>
      <c r="F19" s="431" t="s">
        <v>1061</v>
      </c>
    </row>
    <row r="20" spans="1:7" ht="15" x14ac:dyDescent="0.25">
      <c r="A20" s="257">
        <v>11</v>
      </c>
      <c r="B20" s="414" t="s">
        <v>1219</v>
      </c>
      <c r="C20" s="424"/>
      <c r="D20" s="424"/>
      <c r="E20" s="488">
        <v>628500099</v>
      </c>
      <c r="F20" s="416" t="s">
        <v>35</v>
      </c>
    </row>
    <row r="21" spans="1:7" ht="15" x14ac:dyDescent="0.25">
      <c r="A21" s="257">
        <v>12</v>
      </c>
      <c r="B21" s="414" t="s">
        <v>1220</v>
      </c>
      <c r="C21" s="424"/>
      <c r="D21" s="424"/>
      <c r="E21" s="428">
        <f>E19+E20</f>
        <v>630081740</v>
      </c>
      <c r="F21" s="13" t="str">
        <f>"Line "&amp;A19&amp;" + Line "&amp;A20&amp;""</f>
        <v>Line 10 + Line 11</v>
      </c>
    </row>
    <row r="22" spans="1:7" ht="15" x14ac:dyDescent="0.25">
      <c r="A22" s="257">
        <v>13</v>
      </c>
      <c r="B22" s="1246" t="s">
        <v>1221</v>
      </c>
      <c r="C22" s="1247"/>
      <c r="D22" s="1247"/>
      <c r="E22" s="427">
        <v>630081740</v>
      </c>
      <c r="F22" s="416" t="s">
        <v>1222</v>
      </c>
    </row>
    <row r="23" spans="1:7" x14ac:dyDescent="0.2">
      <c r="C23" s="62"/>
      <c r="D23" s="62"/>
    </row>
    <row r="24" spans="1:7" x14ac:dyDescent="0.2">
      <c r="C24" s="62"/>
      <c r="D24" s="62"/>
    </row>
    <row r="25" spans="1:7" x14ac:dyDescent="0.2">
      <c r="A25" s="53" t="s">
        <v>267</v>
      </c>
    </row>
    <row r="26" spans="1:7" x14ac:dyDescent="0.2">
      <c r="A26" s="63">
        <v>1</v>
      </c>
      <c r="B26" s="12" t="s">
        <v>1246</v>
      </c>
    </row>
    <row r="27" spans="1:7" x14ac:dyDescent="0.2">
      <c r="A27" s="63">
        <v>2</v>
      </c>
      <c r="B27" s="12" t="s">
        <v>1249</v>
      </c>
    </row>
    <row r="28" spans="1:7" x14ac:dyDescent="0.2">
      <c r="A28" s="63">
        <v>3</v>
      </c>
      <c r="B28" t="s">
        <v>2432</v>
      </c>
    </row>
    <row r="29" spans="1:7" x14ac:dyDescent="0.2">
      <c r="A29" s="63">
        <v>4</v>
      </c>
      <c r="B29" t="s">
        <v>3076</v>
      </c>
      <c r="E29" s="429"/>
    </row>
    <row r="30" spans="1:7" x14ac:dyDescent="0.2">
      <c r="B30" t="s">
        <v>3075</v>
      </c>
      <c r="E30" s="429"/>
    </row>
    <row r="31" spans="1:7" x14ac:dyDescent="0.2">
      <c r="E31" s="429"/>
    </row>
    <row r="32" spans="1:7" x14ac:dyDescent="0.2">
      <c r="A32"/>
      <c r="E32" s="429"/>
    </row>
    <row r="33" spans="1:5" x14ac:dyDescent="0.2">
      <c r="A33"/>
      <c r="E33" s="429"/>
    </row>
    <row r="34" spans="1:5" x14ac:dyDescent="0.2">
      <c r="A34"/>
      <c r="E34" s="429"/>
    </row>
    <row r="35" spans="1:5" x14ac:dyDescent="0.2">
      <c r="A35"/>
      <c r="E35" s="429"/>
    </row>
    <row r="39" spans="1:5" x14ac:dyDescent="0.2">
      <c r="A39"/>
      <c r="C39" s="105"/>
      <c r="D39" s="105"/>
      <c r="E39" s="105"/>
    </row>
    <row r="40" spans="1:5" x14ac:dyDescent="0.2">
      <c r="A40"/>
      <c r="C40" s="105"/>
      <c r="D40" s="105"/>
      <c r="E40" s="105"/>
    </row>
    <row r="41" spans="1:5" x14ac:dyDescent="0.2">
      <c r="A41"/>
      <c r="C41" s="105"/>
      <c r="D41" s="105"/>
      <c r="E41" s="105"/>
    </row>
    <row r="42" spans="1:5" x14ac:dyDescent="0.2">
      <c r="A42"/>
      <c r="C42" s="105"/>
      <c r="D42" s="105"/>
      <c r="E42" s="105"/>
    </row>
    <row r="43" spans="1:5" x14ac:dyDescent="0.2">
      <c r="A43"/>
      <c r="C43" s="105"/>
      <c r="D43" s="105"/>
      <c r="E43" s="105"/>
    </row>
    <row r="44" spans="1:5" x14ac:dyDescent="0.2">
      <c r="A44"/>
      <c r="C44" s="105"/>
      <c r="D44" s="105"/>
      <c r="E44" s="105"/>
    </row>
    <row r="45" spans="1:5" x14ac:dyDescent="0.2">
      <c r="A45"/>
      <c r="C45" s="105"/>
      <c r="D45" s="105"/>
      <c r="E45" s="105"/>
    </row>
    <row r="46" spans="1:5" x14ac:dyDescent="0.2">
      <c r="A46"/>
      <c r="C46" s="105"/>
      <c r="D46" s="105"/>
      <c r="E46" s="105"/>
    </row>
    <row r="47" spans="1:5" x14ac:dyDescent="0.2">
      <c r="A47"/>
      <c r="C47" s="105"/>
      <c r="D47" s="105"/>
      <c r="E47" s="105"/>
    </row>
    <row r="48" spans="1:5" x14ac:dyDescent="0.2">
      <c r="A48"/>
      <c r="C48" s="105"/>
      <c r="D48" s="105"/>
      <c r="E48" s="105"/>
    </row>
    <row r="49" spans="1:5" x14ac:dyDescent="0.2">
      <c r="A49"/>
      <c r="C49" s="105"/>
      <c r="D49" s="105"/>
      <c r="E49" s="105"/>
    </row>
    <row r="50" spans="1:5" x14ac:dyDescent="0.2">
      <c r="A50"/>
      <c r="C50" s="105"/>
      <c r="D50" s="105"/>
      <c r="E50" s="105"/>
    </row>
    <row r="51" spans="1:5" x14ac:dyDescent="0.2">
      <c r="A51"/>
      <c r="C51" s="105"/>
      <c r="D51" s="105"/>
      <c r="E51" s="105"/>
    </row>
    <row r="54" spans="1:5" x14ac:dyDescent="0.2">
      <c r="A54"/>
      <c r="E54" s="105"/>
    </row>
  </sheetData>
  <mergeCells count="3">
    <mergeCell ref="B8:D8"/>
    <mergeCell ref="B15:D15"/>
    <mergeCell ref="B22:D22"/>
  </mergeCells>
  <pageMargins left="0.7" right="0.7" top="0.75" bottom="0.75" header="0.3" footer="0.3"/>
  <pageSetup scale="75" orientation="portrait" cellComments="asDisplayed" r:id="rId1"/>
  <headerFooter>
    <oddHeader>&amp;CSchedule 22
Network Upgrade Credits and Interest Expense
&amp;"Arial,Bold"Exhibit G-1</oddHeader>
    <oddFooter>&amp;R22-NUCs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defaultRowHeight="12.75" x14ac:dyDescent="0.2"/>
  <cols>
    <col min="1" max="1" width="4.7109375" customWidth="1"/>
    <col min="2" max="2" width="30.7109375" customWidth="1"/>
    <col min="3" max="5" width="15.7109375" customWidth="1"/>
    <col min="6" max="6" width="3.7109375" customWidth="1"/>
    <col min="7" max="8" width="10.7109375" customWidth="1"/>
  </cols>
  <sheetData>
    <row r="1" spans="1:9" x14ac:dyDescent="0.2">
      <c r="A1" s="1000" t="s">
        <v>2499</v>
      </c>
      <c r="B1" s="1001"/>
      <c r="C1" s="1001"/>
      <c r="D1" s="1001"/>
      <c r="E1" s="1001"/>
      <c r="F1" s="1001"/>
      <c r="G1" s="1001"/>
      <c r="H1" s="14"/>
      <c r="I1" s="14"/>
    </row>
    <row r="2" spans="1:9" x14ac:dyDescent="0.2">
      <c r="A2" s="14"/>
      <c r="B2" s="14"/>
      <c r="C2" s="14"/>
      <c r="D2" s="14"/>
      <c r="E2" s="14"/>
      <c r="F2" s="14"/>
      <c r="G2" s="14"/>
      <c r="H2" s="14"/>
      <c r="I2" s="14"/>
    </row>
    <row r="3" spans="1:9" x14ac:dyDescent="0.2">
      <c r="A3" s="1002" t="s">
        <v>372</v>
      </c>
      <c r="B3" s="1001"/>
      <c r="C3" s="1001"/>
      <c r="D3" s="1001"/>
      <c r="E3" s="1001"/>
      <c r="F3" s="1001"/>
      <c r="G3" s="1001"/>
      <c r="H3" s="14"/>
      <c r="I3" s="14"/>
    </row>
    <row r="4" spans="1:9" x14ac:dyDescent="0.2">
      <c r="A4" s="1003">
        <v>1</v>
      </c>
      <c r="B4" s="855" t="s">
        <v>2488</v>
      </c>
      <c r="C4" s="1001"/>
      <c r="D4" s="1001"/>
      <c r="E4" s="1001"/>
      <c r="F4" s="1001"/>
      <c r="G4" s="1001"/>
      <c r="H4" s="14"/>
      <c r="I4" s="14"/>
    </row>
    <row r="5" spans="1:9" x14ac:dyDescent="0.2">
      <c r="A5" s="1003">
        <v>2</v>
      </c>
      <c r="B5" s="855" t="s">
        <v>2489</v>
      </c>
      <c r="C5" s="1001"/>
      <c r="D5" s="1001"/>
      <c r="E5" s="1001"/>
      <c r="F5" s="1001"/>
      <c r="G5" s="1001"/>
      <c r="H5" s="14"/>
      <c r="I5" s="14"/>
    </row>
    <row r="6" spans="1:9" x14ac:dyDescent="0.2">
      <c r="A6" s="1003">
        <v>3</v>
      </c>
      <c r="B6" s="855" t="s">
        <v>2490</v>
      </c>
      <c r="C6" s="1001"/>
      <c r="D6" s="1001"/>
      <c r="E6" s="1001"/>
      <c r="F6" s="1001"/>
      <c r="G6" s="1001"/>
      <c r="H6" s="14"/>
      <c r="I6" s="14"/>
    </row>
    <row r="7" spans="1:9" x14ac:dyDescent="0.2">
      <c r="A7" s="1003">
        <v>4</v>
      </c>
      <c r="B7" s="1001"/>
      <c r="C7" s="1001"/>
      <c r="D7" s="1001"/>
      <c r="E7" s="1001"/>
      <c r="F7" s="1001"/>
      <c r="G7" s="1001"/>
      <c r="H7" s="14"/>
      <c r="I7" s="14"/>
    </row>
    <row r="8" spans="1:9" x14ac:dyDescent="0.2">
      <c r="A8" s="1003">
        <v>5</v>
      </c>
      <c r="B8" s="855" t="s">
        <v>469</v>
      </c>
      <c r="C8" s="1001"/>
      <c r="D8" s="1001"/>
      <c r="E8" s="1001"/>
      <c r="F8" s="1001"/>
      <c r="G8" s="1001"/>
      <c r="H8" s="14"/>
      <c r="I8" s="14"/>
    </row>
    <row r="9" spans="1:9" x14ac:dyDescent="0.2">
      <c r="A9" s="1003">
        <v>6</v>
      </c>
      <c r="B9" s="855" t="s">
        <v>468</v>
      </c>
      <c r="C9" s="1001"/>
      <c r="D9" s="1001"/>
      <c r="E9" s="1001"/>
      <c r="F9" s="1001"/>
      <c r="G9" s="1001"/>
      <c r="H9" s="14"/>
      <c r="I9" s="14"/>
    </row>
    <row r="10" spans="1:9" x14ac:dyDescent="0.2">
      <c r="A10" s="1003">
        <v>7</v>
      </c>
      <c r="B10" s="1001"/>
      <c r="C10" s="1001"/>
      <c r="D10" s="1001"/>
      <c r="E10" s="1001"/>
      <c r="F10" s="1001"/>
      <c r="G10" s="1001"/>
      <c r="H10" s="14"/>
      <c r="I10" s="14"/>
    </row>
    <row r="11" spans="1:9" x14ac:dyDescent="0.2">
      <c r="A11" s="1003">
        <v>8</v>
      </c>
      <c r="B11" s="855" t="s">
        <v>2491</v>
      </c>
      <c r="C11" s="1001"/>
      <c r="D11" s="1001"/>
      <c r="E11" s="1001"/>
      <c r="F11" s="1001"/>
      <c r="G11" s="1001"/>
      <c r="H11" s="14"/>
      <c r="I11" s="14"/>
    </row>
    <row r="12" spans="1:9" x14ac:dyDescent="0.2">
      <c r="A12" s="1003">
        <v>9</v>
      </c>
      <c r="B12" s="855" t="s">
        <v>2492</v>
      </c>
      <c r="C12" s="1001"/>
      <c r="D12" s="1001"/>
      <c r="E12" s="1001"/>
      <c r="F12" s="1001"/>
      <c r="G12" s="1001"/>
      <c r="H12" s="14"/>
      <c r="I12" s="14"/>
    </row>
    <row r="13" spans="1:9" x14ac:dyDescent="0.2">
      <c r="A13" s="1003">
        <v>10</v>
      </c>
      <c r="B13" s="855" t="s">
        <v>2493</v>
      </c>
      <c r="C13" s="1001"/>
      <c r="D13" s="1001"/>
      <c r="E13" s="1001"/>
      <c r="F13" s="1001"/>
      <c r="G13" s="1001"/>
      <c r="H13" s="14"/>
      <c r="I13" s="14"/>
    </row>
    <row r="14" spans="1:9" x14ac:dyDescent="0.2">
      <c r="A14" s="1003">
        <v>11</v>
      </c>
      <c r="B14" s="1001"/>
      <c r="C14" s="1001"/>
      <c r="D14" s="1001"/>
      <c r="E14" s="1001"/>
      <c r="F14" s="1001"/>
      <c r="G14" s="1001"/>
      <c r="H14" s="14"/>
      <c r="I14" s="14"/>
    </row>
    <row r="15" spans="1:9" x14ac:dyDescent="0.2">
      <c r="A15" s="1003">
        <v>12</v>
      </c>
      <c r="B15" s="855"/>
      <c r="C15" s="1001"/>
      <c r="D15" s="1001"/>
      <c r="E15" s="1003" t="s">
        <v>75</v>
      </c>
      <c r="F15" s="1001"/>
      <c r="G15" s="1001"/>
      <c r="H15" s="14"/>
      <c r="I15" s="14"/>
    </row>
    <row r="16" spans="1:9" x14ac:dyDescent="0.2">
      <c r="A16" s="1003">
        <v>13</v>
      </c>
      <c r="B16" s="1001"/>
      <c r="C16" s="1001"/>
      <c r="D16" s="1001"/>
      <c r="E16" s="1155" t="s">
        <v>205</v>
      </c>
      <c r="F16" s="1001"/>
      <c r="G16" s="1156" t="s">
        <v>2828</v>
      </c>
      <c r="H16" s="14"/>
      <c r="I16" s="14"/>
    </row>
    <row r="17" spans="1:10" x14ac:dyDescent="0.2">
      <c r="A17" s="1003">
        <v>14</v>
      </c>
      <c r="B17" s="855" t="s">
        <v>470</v>
      </c>
      <c r="C17" s="1001"/>
      <c r="D17" s="1001"/>
      <c r="E17" s="850">
        <f>D29</f>
        <v>0</v>
      </c>
      <c r="F17" s="1001"/>
      <c r="G17" s="855" t="s">
        <v>571</v>
      </c>
      <c r="H17" s="14"/>
      <c r="I17" s="14"/>
    </row>
    <row r="18" spans="1:10" x14ac:dyDescent="0.2">
      <c r="A18" s="1003">
        <v>15</v>
      </c>
      <c r="B18" s="855" t="s">
        <v>2363</v>
      </c>
      <c r="C18" s="1001"/>
      <c r="D18" s="1001"/>
      <c r="E18" s="850">
        <f>(C29+D29)/2</f>
        <v>0</v>
      </c>
      <c r="F18" s="1001"/>
      <c r="G18" s="855" t="s">
        <v>2829</v>
      </c>
      <c r="H18" s="14"/>
      <c r="I18" s="14"/>
      <c r="J18" s="14"/>
    </row>
    <row r="19" spans="1:10" x14ac:dyDescent="0.2">
      <c r="A19" s="1003">
        <v>16</v>
      </c>
      <c r="B19" s="855" t="s">
        <v>2494</v>
      </c>
      <c r="C19" s="1001"/>
      <c r="D19" s="1001"/>
      <c r="E19" s="850">
        <f>E29</f>
        <v>0</v>
      </c>
      <c r="F19" s="1001"/>
      <c r="G19" s="855" t="s">
        <v>2830</v>
      </c>
      <c r="H19" s="14"/>
      <c r="I19" s="14"/>
    </row>
    <row r="20" spans="1:10" x14ac:dyDescent="0.2">
      <c r="A20" s="1003"/>
      <c r="B20" s="855"/>
      <c r="C20" s="1001"/>
      <c r="D20" s="1001"/>
      <c r="E20" s="850"/>
      <c r="F20" s="1001"/>
      <c r="G20" s="1001"/>
      <c r="H20" s="14"/>
      <c r="I20" s="14"/>
    </row>
    <row r="21" spans="1:10" x14ac:dyDescent="0.2">
      <c r="A21" s="1003"/>
      <c r="B21" s="1001"/>
      <c r="C21" s="1009" t="s">
        <v>406</v>
      </c>
      <c r="D21" s="1009" t="s">
        <v>390</v>
      </c>
      <c r="E21" s="1009" t="s">
        <v>391</v>
      </c>
      <c r="F21" s="1001"/>
      <c r="G21" s="1001"/>
      <c r="H21" s="14"/>
      <c r="I21" s="14"/>
    </row>
    <row r="22" spans="1:10" x14ac:dyDescent="0.2">
      <c r="A22" s="1003"/>
      <c r="B22" s="1001"/>
      <c r="C22" s="1003" t="s">
        <v>75</v>
      </c>
      <c r="D22" s="1003" t="s">
        <v>75</v>
      </c>
      <c r="E22" s="1003" t="s">
        <v>75</v>
      </c>
      <c r="F22" s="1001"/>
      <c r="G22" s="1001"/>
      <c r="H22" s="14"/>
      <c r="I22" s="14"/>
    </row>
    <row r="23" spans="1:10" ht="15" x14ac:dyDescent="0.25">
      <c r="A23" s="1003"/>
      <c r="B23" s="1003" t="s">
        <v>471</v>
      </c>
      <c r="C23" s="1003" t="s">
        <v>436</v>
      </c>
      <c r="D23" s="1003" t="s">
        <v>342</v>
      </c>
      <c r="E23" s="1157" t="s">
        <v>2495</v>
      </c>
      <c r="F23" s="1001"/>
      <c r="G23" s="1158" t="s">
        <v>2831</v>
      </c>
      <c r="H23" s="1070"/>
      <c r="I23" s="14"/>
    </row>
    <row r="24" spans="1:10" x14ac:dyDescent="0.2">
      <c r="A24" s="1003"/>
      <c r="B24" s="1003" t="s">
        <v>472</v>
      </c>
      <c r="C24" s="1003" t="s">
        <v>477</v>
      </c>
      <c r="D24" s="1003" t="s">
        <v>477</v>
      </c>
      <c r="E24" s="1003" t="s">
        <v>478</v>
      </c>
      <c r="F24" s="1001"/>
      <c r="G24" s="1158" t="s">
        <v>2832</v>
      </c>
      <c r="H24" s="1070"/>
      <c r="I24" s="14"/>
    </row>
    <row r="25" spans="1:10" x14ac:dyDescent="0.2">
      <c r="A25" s="1003"/>
      <c r="B25" s="1155" t="s">
        <v>473</v>
      </c>
      <c r="C25" s="1155" t="s">
        <v>473</v>
      </c>
      <c r="D25" s="1155" t="s">
        <v>473</v>
      </c>
      <c r="E25" s="1155" t="s">
        <v>2496</v>
      </c>
      <c r="F25" s="1001"/>
      <c r="G25" s="1159" t="s">
        <v>2833</v>
      </c>
      <c r="H25" s="1070"/>
      <c r="I25" s="14"/>
    </row>
    <row r="26" spans="1:10" x14ac:dyDescent="0.2">
      <c r="A26" s="846">
        <v>17</v>
      </c>
      <c r="B26" s="851" t="s">
        <v>474</v>
      </c>
      <c r="C26" s="852">
        <v>0</v>
      </c>
      <c r="D26" s="852">
        <v>0</v>
      </c>
      <c r="E26" s="852">
        <v>0</v>
      </c>
      <c r="F26" s="844"/>
      <c r="G26" s="878"/>
      <c r="H26" s="101"/>
    </row>
    <row r="27" spans="1:10" x14ac:dyDescent="0.2">
      <c r="A27" s="846">
        <v>18</v>
      </c>
      <c r="B27" s="851" t="s">
        <v>475</v>
      </c>
      <c r="C27" s="852">
        <v>0</v>
      </c>
      <c r="D27" s="852">
        <v>0</v>
      </c>
      <c r="E27" s="852">
        <v>0</v>
      </c>
      <c r="F27" s="844"/>
      <c r="G27" s="878"/>
      <c r="H27" s="101"/>
    </row>
    <row r="28" spans="1:10" x14ac:dyDescent="0.2">
      <c r="A28" s="846">
        <v>19</v>
      </c>
      <c r="B28" s="851" t="s">
        <v>476</v>
      </c>
      <c r="C28" s="853">
        <v>0</v>
      </c>
      <c r="D28" s="853">
        <v>0</v>
      </c>
      <c r="E28" s="853">
        <v>0</v>
      </c>
      <c r="F28" s="844"/>
      <c r="G28" s="878"/>
      <c r="H28" s="101"/>
    </row>
    <row r="29" spans="1:10" x14ac:dyDescent="0.2">
      <c r="A29" s="846">
        <v>20</v>
      </c>
      <c r="B29" s="847" t="s">
        <v>227</v>
      </c>
      <c r="C29" s="854">
        <v>0</v>
      </c>
      <c r="D29" s="854">
        <v>0</v>
      </c>
      <c r="E29" s="854">
        <v>0</v>
      </c>
      <c r="F29" s="844"/>
      <c r="G29" s="847" t="s">
        <v>368</v>
      </c>
    </row>
    <row r="30" spans="1:10" x14ac:dyDescent="0.2">
      <c r="A30" s="846"/>
      <c r="B30" s="844"/>
      <c r="C30" s="844"/>
      <c r="D30" s="844"/>
      <c r="E30" s="844"/>
      <c r="F30" s="844"/>
      <c r="G30" s="844"/>
    </row>
    <row r="31" spans="1:10" x14ac:dyDescent="0.2">
      <c r="A31" s="846"/>
      <c r="B31" s="843" t="s">
        <v>433</v>
      </c>
      <c r="C31" s="844"/>
      <c r="D31" s="844"/>
      <c r="E31" s="844"/>
      <c r="F31" s="844"/>
      <c r="G31" s="844"/>
    </row>
    <row r="32" spans="1:10" x14ac:dyDescent="0.2">
      <c r="A32" s="846"/>
      <c r="B32" s="855" t="s">
        <v>2497</v>
      </c>
      <c r="C32" s="1001"/>
      <c r="D32" s="1001"/>
      <c r="E32" s="1001"/>
      <c r="F32" s="1001"/>
      <c r="G32" s="1001"/>
      <c r="H32" s="14"/>
    </row>
    <row r="33" spans="1:8" x14ac:dyDescent="0.2">
      <c r="A33" s="846"/>
      <c r="B33" s="855" t="s">
        <v>479</v>
      </c>
      <c r="C33" s="14"/>
      <c r="D33" s="14"/>
      <c r="E33" s="14"/>
      <c r="F33" s="14"/>
      <c r="G33" s="14"/>
      <c r="H33" s="14"/>
    </row>
    <row r="34" spans="1:8" x14ac:dyDescent="0.2">
      <c r="A34" s="846"/>
      <c r="B34" s="1160" t="s">
        <v>572</v>
      </c>
      <c r="C34" s="14"/>
      <c r="D34" s="14"/>
      <c r="E34" s="14"/>
      <c r="F34" s="14"/>
      <c r="G34" s="14"/>
      <c r="H34" s="14"/>
    </row>
    <row r="35" spans="1:8" x14ac:dyDescent="0.2">
      <c r="A35" s="846"/>
      <c r="B35" s="1160" t="s">
        <v>573</v>
      </c>
      <c r="C35" s="14"/>
      <c r="D35" s="14"/>
      <c r="E35" s="1070"/>
      <c r="F35" s="14"/>
      <c r="G35" s="14"/>
      <c r="H35" s="14"/>
    </row>
    <row r="36" spans="1:8" x14ac:dyDescent="0.2">
      <c r="A36" s="846"/>
      <c r="B36" s="855" t="s">
        <v>480</v>
      </c>
      <c r="C36" s="14"/>
      <c r="D36" s="14"/>
      <c r="E36" s="14"/>
      <c r="F36" s="14"/>
      <c r="G36" s="14"/>
      <c r="H36" s="14"/>
    </row>
    <row r="37" spans="1:8" x14ac:dyDescent="0.2">
      <c r="A37" s="846"/>
    </row>
    <row r="38" spans="1:8" x14ac:dyDescent="0.2">
      <c r="A38" s="846"/>
      <c r="B38" s="844"/>
    </row>
    <row r="39" spans="1:8" x14ac:dyDescent="0.2">
      <c r="A39" s="846"/>
      <c r="B39" s="844"/>
    </row>
  </sheetData>
  <pageMargins left="0.7" right="0.7" top="1" bottom="0.75" header="0.3" footer="0.3"/>
  <pageSetup orientation="landscape" cellComments="asDisplayed" r:id="rId1"/>
  <headerFooter>
    <oddHeader xml:space="preserve">&amp;CSchedule 23
Regulatory Assets and Liabilities
&amp;"Arial,Bold"Exhibit G-1&amp;"Arial,Regular"
</oddHeader>
    <oddFooter>&amp;R23-RegAssets</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zoomScale="85" zoomScaleNormal="85" workbookViewId="0"/>
  </sheetViews>
  <sheetFormatPr defaultRowHeight="12.75" x14ac:dyDescent="0.2"/>
  <cols>
    <col min="1" max="2" width="4.7109375" customWidth="1"/>
    <col min="3" max="3" width="28.7109375" customWidth="1"/>
    <col min="4" max="8" width="14.7109375" customWidth="1"/>
  </cols>
  <sheetData>
    <row r="1" spans="1:9" ht="15" x14ac:dyDescent="0.25">
      <c r="A1" s="1" t="s">
        <v>1542</v>
      </c>
      <c r="I1" s="398"/>
    </row>
    <row r="3" spans="1:9" x14ac:dyDescent="0.2">
      <c r="B3" s="1" t="s">
        <v>1990</v>
      </c>
    </row>
    <row r="4" spans="1:9" x14ac:dyDescent="0.2">
      <c r="B4" s="1"/>
    </row>
    <row r="5" spans="1:9" x14ac:dyDescent="0.2">
      <c r="B5" s="1"/>
      <c r="C5" s="1" t="s">
        <v>1741</v>
      </c>
      <c r="D5" s="88" t="s">
        <v>406</v>
      </c>
      <c r="E5" s="88" t="s">
        <v>390</v>
      </c>
      <c r="F5" s="88" t="s">
        <v>391</v>
      </c>
    </row>
    <row r="6" spans="1:9" ht="15" x14ac:dyDescent="0.25">
      <c r="D6" s="257" t="s">
        <v>75</v>
      </c>
      <c r="E6" s="257" t="s">
        <v>75</v>
      </c>
      <c r="F6" s="257" t="s">
        <v>228</v>
      </c>
    </row>
    <row r="7" spans="1:9" ht="15" x14ac:dyDescent="0.25">
      <c r="C7" s="1"/>
      <c r="D7" s="257" t="s">
        <v>342</v>
      </c>
      <c r="E7" s="257" t="s">
        <v>266</v>
      </c>
      <c r="F7" s="257" t="s">
        <v>229</v>
      </c>
    </row>
    <row r="8" spans="1:9" x14ac:dyDescent="0.2">
      <c r="A8" s="3" t="s">
        <v>372</v>
      </c>
      <c r="C8" s="3" t="s">
        <v>261</v>
      </c>
      <c r="D8" s="3" t="s">
        <v>205</v>
      </c>
      <c r="E8" s="3" t="s">
        <v>205</v>
      </c>
      <c r="F8" s="3" t="s">
        <v>205</v>
      </c>
      <c r="G8" s="3" t="s">
        <v>209</v>
      </c>
    </row>
    <row r="9" spans="1:9" x14ac:dyDescent="0.2">
      <c r="A9" s="2">
        <v>1</v>
      </c>
      <c r="C9" s="98" t="s">
        <v>1555</v>
      </c>
      <c r="D9" s="7">
        <f>'10-CWIP'!E25</f>
        <v>581251930.19000006</v>
      </c>
      <c r="E9" s="7">
        <f>'10-CWIP'!E26</f>
        <v>297083743.84538466</v>
      </c>
      <c r="F9" s="7">
        <f>'10-CWIP'!K107</f>
        <v>390683326.58493894</v>
      </c>
      <c r="G9" s="47" t="str">
        <f>"10-CWIP, Lines "&amp;'10-CWIP'!A25&amp;", "&amp;'10-CWIP'!A26&amp;", "&amp;'10-CWIP'!A107&amp;""</f>
        <v>10-CWIP, Lines 13, 14, 74</v>
      </c>
    </row>
    <row r="10" spans="1:9" x14ac:dyDescent="0.2">
      <c r="A10" s="2">
        <f>A9+1</f>
        <v>2</v>
      </c>
      <c r="C10" s="98" t="s">
        <v>1556</v>
      </c>
      <c r="D10" s="7">
        <f>'10-CWIP'!F25</f>
        <v>46741390.93</v>
      </c>
      <c r="E10" s="7">
        <f>'10-CWIP'!F26</f>
        <v>38248534.286923081</v>
      </c>
      <c r="F10" s="7">
        <f>'10-CWIP'!K135</f>
        <v>141354042.57044607</v>
      </c>
      <c r="G10" s="47" t="str">
        <f>"10-CWIP, Lines "&amp;'10-CWIP'!A25&amp;", "&amp;'10-CWIP'!A26&amp;", "&amp;'10-CWIP'!A135&amp;""</f>
        <v>10-CWIP, Lines 13, 14, 97</v>
      </c>
    </row>
    <row r="11" spans="1:9" x14ac:dyDescent="0.2">
      <c r="A11" s="2">
        <f t="shared" ref="A11:A20" si="0">A10+1</f>
        <v>3</v>
      </c>
      <c r="C11" s="98" t="s">
        <v>1557</v>
      </c>
      <c r="D11" s="7">
        <f>'10-CWIP'!G25</f>
        <v>9549455.3900000006</v>
      </c>
      <c r="E11" s="7">
        <f>'10-CWIP'!G26</f>
        <v>734573.49153846153</v>
      </c>
      <c r="F11" s="7">
        <f>'10-CWIP'!K163</f>
        <v>40292809.968941346</v>
      </c>
      <c r="G11" s="47" t="str">
        <f>"10-CWIP, Lines "&amp;'10-CWIP'!A25&amp;", "&amp;'10-CWIP'!A26&amp;", "&amp;'10-CWIP'!A163&amp;""</f>
        <v>10-CWIP, Lines 13, 14, 120</v>
      </c>
    </row>
    <row r="12" spans="1:9" x14ac:dyDescent="0.2">
      <c r="A12" s="2">
        <f t="shared" si="0"/>
        <v>4</v>
      </c>
      <c r="C12" s="98" t="s">
        <v>1558</v>
      </c>
      <c r="D12" s="7">
        <f>'10-CWIP'!H25</f>
        <v>0</v>
      </c>
      <c r="E12" s="7">
        <f>'10-CWIP'!H26</f>
        <v>0</v>
      </c>
      <c r="F12" s="7">
        <f>'10-CWIP'!K193</f>
        <v>3006477.3076923075</v>
      </c>
      <c r="G12" s="47" t="str">
        <f>"10-CWIP, Lines "&amp;'10-CWIP'!A25&amp;", "&amp;'10-CWIP'!A26&amp;", "&amp;'10-CWIP'!A193&amp;""</f>
        <v>10-CWIP, Lines 13, 14, 143</v>
      </c>
    </row>
    <row r="13" spans="1:9" x14ac:dyDescent="0.2">
      <c r="A13" s="2">
        <f t="shared" si="0"/>
        <v>5</v>
      </c>
      <c r="C13" s="98" t="s">
        <v>1559</v>
      </c>
      <c r="D13" s="7">
        <f>'10-CWIP'!I25</f>
        <v>538216</v>
      </c>
      <c r="E13" s="7">
        <f>'10-CWIP'!I26</f>
        <v>41401.230769230766</v>
      </c>
      <c r="F13" s="7">
        <f>'10-CWIP'!K221</f>
        <v>41755148.436194852</v>
      </c>
      <c r="G13" s="47" t="str">
        <f>"10-CWIP, Lines "&amp;'10-CWIP'!A25&amp;", "&amp;'10-CWIP'!A26&amp;", "&amp;'10-CWIP'!A221&amp;""</f>
        <v>10-CWIP, Lines 13, 14, 166</v>
      </c>
    </row>
    <row r="14" spans="1:9" x14ac:dyDescent="0.2">
      <c r="A14" s="2">
        <f t="shared" si="0"/>
        <v>6</v>
      </c>
      <c r="C14" s="98" t="s">
        <v>1560</v>
      </c>
      <c r="D14" s="7">
        <f>'10-CWIP'!D45</f>
        <v>0</v>
      </c>
      <c r="E14" s="7">
        <f>'10-CWIP'!D46</f>
        <v>0</v>
      </c>
      <c r="F14" s="7">
        <f>'10-CWIP'!K249</f>
        <v>3795217.6911538462</v>
      </c>
      <c r="G14" s="47" t="str">
        <f>"10-CWIP, Lines "&amp;'10-CWIP'!A45&amp;", "&amp;'10-CWIP'!A46&amp;", "&amp;'10-CWIP'!A249&amp;""</f>
        <v>10-CWIP, Lines 27, 28, 189</v>
      </c>
    </row>
    <row r="15" spans="1:9" x14ac:dyDescent="0.2">
      <c r="A15" s="2">
        <f t="shared" si="0"/>
        <v>7</v>
      </c>
      <c r="C15" s="98" t="s">
        <v>1561</v>
      </c>
      <c r="D15" s="7">
        <f>'10-CWIP'!E45</f>
        <v>0</v>
      </c>
      <c r="E15" s="7">
        <f>'10-CWIP'!E46</f>
        <v>0</v>
      </c>
      <c r="F15" s="7">
        <f>'10-CWIP'!K279</f>
        <v>29064217.651365384</v>
      </c>
      <c r="G15" s="47" t="str">
        <f>"10-CWIP, Lines "&amp;'10-CWIP'!A45&amp;", "&amp;'10-CWIP'!A46&amp;", "&amp;'10-CWIP'!A279&amp;""</f>
        <v>10-CWIP, Lines 27, 28, 212</v>
      </c>
    </row>
    <row r="16" spans="1:9" x14ac:dyDescent="0.2">
      <c r="A16" s="2">
        <f t="shared" si="0"/>
        <v>8</v>
      </c>
      <c r="C16" s="98" t="s">
        <v>1562</v>
      </c>
      <c r="D16" s="7">
        <f>'10-CWIP'!F45</f>
        <v>0</v>
      </c>
      <c r="E16" s="7">
        <f>'10-CWIP'!F46</f>
        <v>0</v>
      </c>
      <c r="F16" s="7">
        <f>'10-CWIP'!K307</f>
        <v>2431153.846153846</v>
      </c>
      <c r="G16" s="47" t="str">
        <f>"10-CWIP, Lines "&amp;'10-CWIP'!A45&amp;", "&amp;'10-CWIP'!A46&amp;", "&amp;'10-CWIP'!A307&amp;""</f>
        <v>10-CWIP, Lines 27, 28, 235</v>
      </c>
    </row>
    <row r="17" spans="1:7" x14ac:dyDescent="0.2">
      <c r="A17" s="2">
        <f t="shared" si="0"/>
        <v>9</v>
      </c>
      <c r="C17" s="98" t="s">
        <v>1563</v>
      </c>
      <c r="D17" s="7">
        <f>'10-CWIP'!G45</f>
        <v>0</v>
      </c>
      <c r="E17" s="7">
        <f>'10-CWIP'!G46</f>
        <v>0</v>
      </c>
      <c r="F17" s="7">
        <f>'10-CWIP'!K335</f>
        <v>3911957.3864423078</v>
      </c>
      <c r="G17" s="47" t="str">
        <f>"10-CWIP, Lines "&amp;'10-CWIP'!A45&amp;", "&amp;'10-CWIP'!A46&amp;", "&amp;'10-CWIP'!A335&amp;""</f>
        <v>10-CWIP, Lines 27, 28, 258</v>
      </c>
    </row>
    <row r="18" spans="1:7" x14ac:dyDescent="0.2">
      <c r="A18" s="2">
        <f t="shared" si="0"/>
        <v>10</v>
      </c>
      <c r="C18" s="489"/>
      <c r="D18" s="490" t="str">
        <f>'10-CWIP'!H44</f>
        <v>---</v>
      </c>
      <c r="E18" s="490" t="str">
        <f>'10-CWIP'!H46</f>
        <v>---</v>
      </c>
      <c r="F18" s="457">
        <f>'10-CWIP'!K365</f>
        <v>0</v>
      </c>
      <c r="G18" s="47" t="str">
        <f>"10-CWIP, Lines "&amp;'10-CWIP'!A45&amp;", "&amp;'10-CWIP'!A46&amp;", "&amp;'10-CWIP'!A365&amp;""</f>
        <v>10-CWIP, Lines 27, 28, 281</v>
      </c>
    </row>
    <row r="19" spans="1:7" x14ac:dyDescent="0.2">
      <c r="A19" s="2">
        <f t="shared" si="0"/>
        <v>11</v>
      </c>
      <c r="C19" s="489"/>
      <c r="D19" s="490" t="str">
        <f>'10-CWIP'!I44</f>
        <v>---</v>
      </c>
      <c r="E19" s="490" t="str">
        <f>'10-CWIP'!I46</f>
        <v>---</v>
      </c>
      <c r="F19" s="60">
        <f>'10-CWIP'!K365</f>
        <v>0</v>
      </c>
      <c r="G19" s="47" t="str">
        <f>"10-CWIP, Lines "&amp;'10-CWIP'!A45&amp;", "&amp;'10-CWIP'!A46&amp;", 304"</f>
        <v>10-CWIP, Lines 27, 28, 304</v>
      </c>
    </row>
    <row r="20" spans="1:7" x14ac:dyDescent="0.2">
      <c r="A20" s="2">
        <f t="shared" si="0"/>
        <v>12</v>
      </c>
      <c r="C20" s="98" t="s">
        <v>227</v>
      </c>
      <c r="D20" s="7">
        <f>SUM(D9:D19)</f>
        <v>638080992.50999999</v>
      </c>
      <c r="E20" s="7">
        <f>SUM(E9:E19)</f>
        <v>336108252.85461545</v>
      </c>
      <c r="F20" s="7">
        <f>SUM(F9:F19)</f>
        <v>656294351.44332898</v>
      </c>
      <c r="G20" s="13" t="str">
        <f>"Sum of Lines "&amp;A9&amp;" to "&amp;A19&amp;""</f>
        <v>Sum of Lines 1 to 11</v>
      </c>
    </row>
    <row r="21" spans="1:7" x14ac:dyDescent="0.2">
      <c r="A21" s="2"/>
      <c r="C21" s="1"/>
    </row>
    <row r="22" spans="1:7" ht="15" x14ac:dyDescent="0.25">
      <c r="A22" s="2"/>
      <c r="C22" s="1" t="s">
        <v>1554</v>
      </c>
      <c r="D22" s="257" t="s">
        <v>342</v>
      </c>
      <c r="E22" s="257" t="s">
        <v>266</v>
      </c>
      <c r="F22" s="13"/>
    </row>
    <row r="23" spans="1:7" x14ac:dyDescent="0.2">
      <c r="D23" s="3" t="s">
        <v>205</v>
      </c>
      <c r="E23" s="3" t="s">
        <v>205</v>
      </c>
      <c r="F23" s="3" t="s">
        <v>209</v>
      </c>
    </row>
    <row r="24" spans="1:7" x14ac:dyDescent="0.2">
      <c r="A24" s="117">
        <f>A20+1</f>
        <v>13</v>
      </c>
      <c r="B24" s="14"/>
      <c r="C24" s="390" t="s">
        <v>1742</v>
      </c>
      <c r="D24" s="65">
        <f>D20</f>
        <v>638080992.50999999</v>
      </c>
      <c r="E24" s="65">
        <f>E20</f>
        <v>336108252.85461545</v>
      </c>
      <c r="F24" s="120" t="str">
        <f>"Line "&amp;A20&amp;""</f>
        <v>Line 12</v>
      </c>
      <c r="G24" s="14"/>
    </row>
    <row r="25" spans="1:7" x14ac:dyDescent="0.2">
      <c r="A25" s="117">
        <f>A24+1</f>
        <v>14</v>
      </c>
      <c r="B25" s="14"/>
      <c r="C25" s="390" t="s">
        <v>1543</v>
      </c>
      <c r="D25" s="70">
        <f>'1-BaseTRR'!K91</f>
        <v>7.7382952013147724E-2</v>
      </c>
      <c r="E25" s="70">
        <f>'1-BaseTRR'!K91</f>
        <v>7.7382952013147724E-2</v>
      </c>
      <c r="F25" s="120" t="str">
        <f>"1-BaseTRR, Line "&amp;'1-BaseTRR'!A91&amp;""</f>
        <v>1-BaseTRR, Line 53</v>
      </c>
      <c r="G25" s="14"/>
    </row>
    <row r="26" spans="1:7" x14ac:dyDescent="0.2">
      <c r="A26" s="117">
        <f>A25+1</f>
        <v>15</v>
      </c>
      <c r="B26" s="14"/>
      <c r="C26" s="82" t="s">
        <v>1743</v>
      </c>
      <c r="D26" s="65">
        <f>D24*D25</f>
        <v>49376590.823903002</v>
      </c>
      <c r="E26" s="65">
        <f>E24*E25</f>
        <v>26009048.801871628</v>
      </c>
      <c r="F26" s="120" t="str">
        <f>"Line "&amp;A24&amp;" * Line "&amp;A25&amp;""</f>
        <v>Line 13 * Line 14</v>
      </c>
      <c r="G26" s="14"/>
    </row>
    <row r="27" spans="1:7" x14ac:dyDescent="0.2">
      <c r="A27" s="14"/>
      <c r="B27" s="14"/>
      <c r="C27" s="14"/>
      <c r="D27" s="14"/>
      <c r="E27" s="14"/>
      <c r="F27" s="14"/>
      <c r="G27" s="14"/>
    </row>
    <row r="28" spans="1:7" x14ac:dyDescent="0.2">
      <c r="A28" s="14"/>
      <c r="B28" s="14"/>
      <c r="C28" s="45" t="s">
        <v>99</v>
      </c>
      <c r="D28" s="14"/>
      <c r="E28" s="14"/>
      <c r="F28" s="14"/>
      <c r="G28" s="14"/>
    </row>
    <row r="29" spans="1:7" ht="15" x14ac:dyDescent="0.25">
      <c r="A29" s="14"/>
      <c r="B29" s="14"/>
      <c r="C29" s="14"/>
      <c r="D29" s="1161" t="s">
        <v>342</v>
      </c>
      <c r="E29" s="1161" t="s">
        <v>266</v>
      </c>
      <c r="F29" s="14"/>
      <c r="G29" s="14"/>
    </row>
    <row r="30" spans="1:7" x14ac:dyDescent="0.2">
      <c r="A30" s="14"/>
      <c r="B30" s="14"/>
      <c r="C30" s="14"/>
      <c r="D30" s="131" t="s">
        <v>205</v>
      </c>
      <c r="E30" s="131" t="s">
        <v>205</v>
      </c>
      <c r="F30" s="131" t="s">
        <v>209</v>
      </c>
      <c r="G30" s="14"/>
    </row>
    <row r="31" spans="1:7" ht="15" x14ac:dyDescent="0.25">
      <c r="A31" s="1161">
        <f>A26+1</f>
        <v>16</v>
      </c>
      <c r="B31" s="14"/>
      <c r="C31" s="390" t="s">
        <v>1742</v>
      </c>
      <c r="D31" s="65">
        <f>D20</f>
        <v>638080992.50999999</v>
      </c>
      <c r="E31" s="65">
        <f>E20</f>
        <v>336108252.85461545</v>
      </c>
      <c r="F31" s="120" t="str">
        <f>"Line "&amp;A20&amp;""</f>
        <v>Line 12</v>
      </c>
      <c r="G31" s="14"/>
    </row>
    <row r="32" spans="1:7" x14ac:dyDescent="0.2">
      <c r="A32" s="117">
        <f t="shared" ref="A32:A38" si="1">A31+1</f>
        <v>17</v>
      </c>
      <c r="B32" s="14"/>
      <c r="C32" s="390" t="s">
        <v>1744</v>
      </c>
      <c r="D32" s="70">
        <f>'1-BaseTRR'!K93</f>
        <v>5.173296743140101E-2</v>
      </c>
      <c r="E32" s="70">
        <f>'1-BaseTRR'!K93</f>
        <v>5.173296743140101E-2</v>
      </c>
      <c r="F32" s="120" t="str">
        <f>"1-BaseTRR, Line "&amp;'1-BaseTRR'!A93&amp;""</f>
        <v>1-BaseTRR, Line 54</v>
      </c>
      <c r="G32" s="14"/>
    </row>
    <row r="33" spans="1:7" x14ac:dyDescent="0.2">
      <c r="A33" s="117">
        <f t="shared" si="1"/>
        <v>18</v>
      </c>
      <c r="B33" s="14"/>
      <c r="C33" s="390" t="s">
        <v>1158</v>
      </c>
      <c r="D33" s="70">
        <f>'1-BaseTRR'!K102</f>
        <v>0.40741296259622478</v>
      </c>
      <c r="E33" s="70">
        <f>'1-BaseTRR'!K102</f>
        <v>0.40741296259622478</v>
      </c>
      <c r="F33" s="120" t="str">
        <f>"1-BaseTRR, Line "&amp;'1-BaseTRR'!A102&amp;""</f>
        <v>1-BaseTRR, Line 58</v>
      </c>
      <c r="G33" s="14"/>
    </row>
    <row r="34" spans="1:7" x14ac:dyDescent="0.2">
      <c r="A34" s="117">
        <f t="shared" si="1"/>
        <v>19</v>
      </c>
      <c r="B34" s="14"/>
      <c r="C34" s="390" t="s">
        <v>299</v>
      </c>
      <c r="D34" s="65">
        <f>((D24*D32)*(D33/(1-D33)))</f>
        <v>22694775.648969959</v>
      </c>
      <c r="E34" s="65">
        <f>((E24*E32)*(E33/(1-E33)))</f>
        <v>11954440.708689846</v>
      </c>
      <c r="F34" s="648" t="str">
        <f>"Formula on Line "&amp;A36&amp;""</f>
        <v>Formula on Line 21</v>
      </c>
      <c r="G34" s="14"/>
    </row>
    <row r="35" spans="1:7" x14ac:dyDescent="0.2">
      <c r="A35" s="117">
        <f t="shared" si="1"/>
        <v>20</v>
      </c>
      <c r="B35" s="14"/>
      <c r="C35" s="14"/>
      <c r="D35" s="14"/>
      <c r="E35" s="14"/>
      <c r="F35" s="14"/>
      <c r="G35" s="14"/>
    </row>
    <row r="36" spans="1:7" x14ac:dyDescent="0.2">
      <c r="A36" s="117">
        <f t="shared" si="1"/>
        <v>21</v>
      </c>
      <c r="B36" s="14"/>
      <c r="C36" s="47" t="str">
        <f>"Income Taxes = [(RB * ER) * (CTR/(1 – CTR)], or [(L"&amp;A24&amp;" * L"&amp;A32&amp;") * (L"&amp;A33&amp;" / (1 - L"&amp;A33&amp;")]"</f>
        <v>Income Taxes = [(RB * ER) * (CTR/(1 – CTR)], or [(L13 * L17) * (L18 / (1 - L18)]</v>
      </c>
      <c r="D36" s="14"/>
      <c r="E36" s="65"/>
      <c r="F36" s="15"/>
      <c r="G36" s="14"/>
    </row>
    <row r="37" spans="1:7" x14ac:dyDescent="0.2">
      <c r="A37" s="117">
        <f t="shared" si="1"/>
        <v>22</v>
      </c>
      <c r="B37" s="14"/>
      <c r="C37" s="648" t="s">
        <v>2617</v>
      </c>
      <c r="D37" s="14"/>
      <c r="E37" s="65"/>
      <c r="F37" s="15"/>
      <c r="G37" s="14"/>
    </row>
    <row r="38" spans="1:7" x14ac:dyDescent="0.2">
      <c r="A38" s="2">
        <f t="shared" si="1"/>
        <v>23</v>
      </c>
      <c r="D38" s="13"/>
      <c r="E38" s="7"/>
      <c r="F38" s="12"/>
      <c r="G38" s="13"/>
    </row>
    <row r="39" spans="1:7" x14ac:dyDescent="0.2">
      <c r="C39" s="1" t="s">
        <v>1551</v>
      </c>
    </row>
    <row r="40" spans="1:7" x14ac:dyDescent="0.2">
      <c r="D40" s="3" t="s">
        <v>201</v>
      </c>
      <c r="E40" s="3" t="s">
        <v>209</v>
      </c>
    </row>
    <row r="41" spans="1:7" x14ac:dyDescent="0.2">
      <c r="A41" s="117">
        <f>A38+1</f>
        <v>24</v>
      </c>
      <c r="B41" s="14"/>
      <c r="C41" s="390" t="s">
        <v>559</v>
      </c>
      <c r="D41" s="65">
        <f>'15-IncentiveAdder'!G17</f>
        <v>8346.262815871798</v>
      </c>
      <c r="E41" s="120" t="str">
        <f>"15-IncentiveAdder, Line "&amp;'15-IncentiveAdder'!A17&amp;""</f>
        <v>15-IncentiveAdder, Line 3</v>
      </c>
      <c r="F41" s="14"/>
      <c r="G41" s="14"/>
    </row>
    <row r="42" spans="1:7" x14ac:dyDescent="0.2">
      <c r="A42" s="14"/>
      <c r="B42" s="14"/>
      <c r="C42" s="14"/>
      <c r="D42" s="14"/>
      <c r="E42" s="14"/>
      <c r="F42" s="14"/>
      <c r="G42" s="14"/>
    </row>
    <row r="43" spans="1:7" x14ac:dyDescent="0.2">
      <c r="A43" s="14"/>
      <c r="B43" s="14"/>
      <c r="C43" s="1162" t="s">
        <v>381</v>
      </c>
      <c r="D43" s="14"/>
      <c r="E43" s="14"/>
      <c r="F43" s="14"/>
      <c r="G43" s="14"/>
    </row>
    <row r="44" spans="1:7" ht="15" x14ac:dyDescent="0.25">
      <c r="A44" s="14"/>
      <c r="B44" s="14"/>
      <c r="C44" s="14"/>
      <c r="D44" s="1161" t="s">
        <v>342</v>
      </c>
      <c r="E44" s="1161" t="s">
        <v>266</v>
      </c>
      <c r="F44" s="14"/>
      <c r="G44" s="14"/>
    </row>
    <row r="45" spans="1:7" x14ac:dyDescent="0.2">
      <c r="A45" s="14"/>
      <c r="B45" s="14"/>
      <c r="C45" s="14"/>
      <c r="D45" s="131" t="s">
        <v>205</v>
      </c>
      <c r="E45" s="131" t="s">
        <v>205</v>
      </c>
      <c r="F45" s="14"/>
      <c r="G45" s="14"/>
    </row>
    <row r="46" spans="1:7" x14ac:dyDescent="0.2">
      <c r="A46" s="117">
        <f>A41+1</f>
        <v>25</v>
      </c>
      <c r="B46" s="14"/>
      <c r="C46" s="390" t="s">
        <v>1745</v>
      </c>
      <c r="D46" s="65">
        <f>D9</f>
        <v>581251930.19000006</v>
      </c>
      <c r="E46" s="65">
        <f>E9</f>
        <v>297083743.84538466</v>
      </c>
      <c r="F46" s="120" t="str">
        <f>"Line "&amp;A9&amp;""</f>
        <v>Line 1</v>
      </c>
      <c r="G46" s="14"/>
    </row>
    <row r="47" spans="1:7" x14ac:dyDescent="0.2">
      <c r="A47" s="117">
        <f>A46+1</f>
        <v>26</v>
      </c>
      <c r="B47" s="14"/>
      <c r="C47" s="390" t="s">
        <v>1545</v>
      </c>
      <c r="D47" s="81">
        <f>'15-IncentiveAdder'!E26</f>
        <v>1.2500000000000001E-2</v>
      </c>
      <c r="E47" s="81">
        <f>'15-IncentiveAdder'!E26</f>
        <v>1.2500000000000001E-2</v>
      </c>
      <c r="F47" s="120" t="str">
        <f>"15-IncentiveAdder, Line "&amp;'15-IncentiveAdder'!A26&amp;""</f>
        <v>15-IncentiveAdder, Line 5</v>
      </c>
      <c r="G47" s="14"/>
    </row>
    <row r="48" spans="1:7" x14ac:dyDescent="0.2">
      <c r="A48" s="117">
        <f>A47+1</f>
        <v>27</v>
      </c>
      <c r="B48" s="14"/>
      <c r="C48" s="390" t="s">
        <v>1746</v>
      </c>
      <c r="D48" s="65">
        <f>(D46/1000000)*($D$41*(D47/0.01))</f>
        <v>6064101.7144981343</v>
      </c>
      <c r="E48" s="65">
        <f>(E46/1000000)*($D$41*(E47/0.01))</f>
        <v>3099423.7555708955</v>
      </c>
      <c r="F48" s="648" t="str">
        <f>"Formula on Line "&amp;A57&amp;""</f>
        <v>Formula on Line 32</v>
      </c>
      <c r="G48" s="14"/>
    </row>
    <row r="49" spans="1:7" x14ac:dyDescent="0.2">
      <c r="A49" s="14"/>
      <c r="B49" s="14"/>
      <c r="C49" s="407"/>
      <c r="D49" s="14"/>
      <c r="E49" s="14"/>
      <c r="F49" s="14"/>
      <c r="G49" s="14"/>
    </row>
    <row r="50" spans="1:7" x14ac:dyDescent="0.2">
      <c r="A50" s="14"/>
      <c r="B50" s="14"/>
      <c r="C50" s="1162" t="s">
        <v>1552</v>
      </c>
      <c r="D50" s="14"/>
      <c r="E50" s="131"/>
      <c r="F50" s="131"/>
      <c r="G50" s="14"/>
    </row>
    <row r="51" spans="1:7" ht="15" x14ac:dyDescent="0.25">
      <c r="A51" s="14"/>
      <c r="B51" s="14"/>
      <c r="C51" s="14"/>
      <c r="D51" s="1161" t="s">
        <v>342</v>
      </c>
      <c r="E51" s="1161" t="s">
        <v>266</v>
      </c>
      <c r="F51" s="14"/>
      <c r="G51" s="14"/>
    </row>
    <row r="52" spans="1:7" x14ac:dyDescent="0.2">
      <c r="A52" s="14"/>
      <c r="B52" s="14"/>
      <c r="C52" s="14"/>
      <c r="D52" s="131" t="s">
        <v>205</v>
      </c>
      <c r="E52" s="131" t="s">
        <v>205</v>
      </c>
      <c r="F52" s="14"/>
      <c r="G52" s="14"/>
    </row>
    <row r="53" spans="1:7" x14ac:dyDescent="0.2">
      <c r="A53" s="117">
        <f>A48+1</f>
        <v>28</v>
      </c>
      <c r="B53" s="14"/>
      <c r="C53" s="1052" t="s">
        <v>1767</v>
      </c>
      <c r="D53" s="65">
        <f>D10</f>
        <v>46741390.93</v>
      </c>
      <c r="E53" s="65">
        <f>E10</f>
        <v>38248534.286923081</v>
      </c>
      <c r="F53" s="120" t="str">
        <f>"Line "&amp;A10&amp;""</f>
        <v>Line 2</v>
      </c>
      <c r="G53" s="14"/>
    </row>
    <row r="54" spans="1:7" x14ac:dyDescent="0.2">
      <c r="A54" s="117">
        <f>A53+1</f>
        <v>29</v>
      </c>
      <c r="B54" s="14"/>
      <c r="C54" s="390" t="s">
        <v>1545</v>
      </c>
      <c r="D54" s="81">
        <f>'15-IncentiveAdder'!E27</f>
        <v>0.01</v>
      </c>
      <c r="E54" s="81">
        <f>'15-IncentiveAdder'!E27</f>
        <v>0.01</v>
      </c>
      <c r="F54" s="120" t="str">
        <f>"15-IncentiveAdder, Line "&amp;'15-IncentiveAdder'!A27&amp;""</f>
        <v>15-IncentiveAdder, Line 6</v>
      </c>
      <c r="G54" s="14"/>
    </row>
    <row r="55" spans="1:7" x14ac:dyDescent="0.2">
      <c r="A55" s="117">
        <f>A54+1</f>
        <v>30</v>
      </c>
      <c r="B55" s="14"/>
      <c r="C55" s="390" t="s">
        <v>1746</v>
      </c>
      <c r="D55" s="65">
        <f>(D53/1000000)*($D$41*(D54/0.01))</f>
        <v>390115.93308118632</v>
      </c>
      <c r="E55" s="65">
        <f>(E53/1000000)*($D$41*(E54/0.01))</f>
        <v>319232.31948054367</v>
      </c>
      <c r="F55" s="648" t="str">
        <f>"Formula on Line "&amp;A57&amp;""</f>
        <v>Formula on Line 32</v>
      </c>
      <c r="G55" s="14"/>
    </row>
    <row r="56" spans="1:7" x14ac:dyDescent="0.2">
      <c r="A56" s="117">
        <f>A55+1</f>
        <v>31</v>
      </c>
      <c r="B56" s="14"/>
      <c r="C56" s="14"/>
      <c r="D56" s="116"/>
      <c r="E56" s="65"/>
      <c r="F56" s="47"/>
      <c r="G56" s="14"/>
    </row>
    <row r="57" spans="1:7" x14ac:dyDescent="0.2">
      <c r="A57" s="117">
        <f>A56+1</f>
        <v>32</v>
      </c>
      <c r="B57" s="14"/>
      <c r="C57" s="720" t="s">
        <v>2791</v>
      </c>
      <c r="D57" s="65"/>
      <c r="E57" s="47"/>
      <c r="F57" s="14"/>
      <c r="G57" s="14"/>
    </row>
    <row r="59" spans="1:7" x14ac:dyDescent="0.2">
      <c r="C59" s="1" t="s">
        <v>1991</v>
      </c>
    </row>
    <row r="60" spans="1:7" x14ac:dyDescent="0.2">
      <c r="C60" s="1"/>
    </row>
    <row r="61" spans="1:7" ht="15" x14ac:dyDescent="0.25">
      <c r="C61" s="1"/>
      <c r="E61" s="257" t="s">
        <v>318</v>
      </c>
    </row>
    <row r="62" spans="1:7" ht="15" x14ac:dyDescent="0.25">
      <c r="C62" s="1"/>
      <c r="D62" s="257" t="s">
        <v>1748</v>
      </c>
      <c r="E62" s="257" t="s">
        <v>1066</v>
      </c>
    </row>
    <row r="63" spans="1:7" x14ac:dyDescent="0.2">
      <c r="D63" s="3" t="s">
        <v>205</v>
      </c>
      <c r="E63" s="3" t="s">
        <v>205</v>
      </c>
      <c r="F63" s="3" t="s">
        <v>209</v>
      </c>
    </row>
    <row r="64" spans="1:7" x14ac:dyDescent="0.2">
      <c r="A64" s="2">
        <f>A57+1</f>
        <v>33</v>
      </c>
      <c r="C64" s="98" t="s">
        <v>1544</v>
      </c>
      <c r="D64" s="7">
        <f>D26</f>
        <v>49376590.823903002</v>
      </c>
      <c r="E64" s="7">
        <f>E26</f>
        <v>26009048.801871628</v>
      </c>
      <c r="F64" s="16" t="str">
        <f>"Line "&amp;A26&amp;""</f>
        <v>Line 15</v>
      </c>
    </row>
    <row r="65" spans="1:9" x14ac:dyDescent="0.2">
      <c r="A65" s="2">
        <f>A64+1</f>
        <v>34</v>
      </c>
      <c r="C65" s="98" t="s">
        <v>299</v>
      </c>
      <c r="D65" s="7">
        <f>D34</f>
        <v>22694775.648969959</v>
      </c>
      <c r="E65" s="7">
        <f>E34</f>
        <v>11954440.708689846</v>
      </c>
      <c r="F65" s="16" t="str">
        <f>"Line "&amp;A34&amp;""</f>
        <v>Line 19</v>
      </c>
    </row>
    <row r="66" spans="1:9" x14ac:dyDescent="0.2">
      <c r="A66" s="2">
        <f>A65+1</f>
        <v>35</v>
      </c>
      <c r="C66" s="98" t="s">
        <v>1546</v>
      </c>
      <c r="D66" s="7">
        <f>D48</f>
        <v>6064101.7144981343</v>
      </c>
      <c r="E66" s="7">
        <f>E48</f>
        <v>3099423.7555708955</v>
      </c>
      <c r="F66" s="16" t="str">
        <f>"Line "&amp;A48&amp;""</f>
        <v>Line 27</v>
      </c>
    </row>
    <row r="67" spans="1:9" ht="15" x14ac:dyDescent="0.25">
      <c r="A67" s="2">
        <f>A66+1</f>
        <v>36</v>
      </c>
      <c r="C67" s="98" t="s">
        <v>1547</v>
      </c>
      <c r="D67" s="107">
        <f>D55</f>
        <v>390115.93308118632</v>
      </c>
      <c r="E67" s="642">
        <f>E55</f>
        <v>319232.31948054367</v>
      </c>
      <c r="F67" s="16" t="str">
        <f>"Line "&amp;A55&amp;""</f>
        <v>Line 30</v>
      </c>
    </row>
    <row r="68" spans="1:9" x14ac:dyDescent="0.2">
      <c r="A68" s="640">
        <f t="shared" ref="A68:A69" si="2">A67+1</f>
        <v>37</v>
      </c>
      <c r="C68" s="98" t="s">
        <v>1805</v>
      </c>
      <c r="D68" s="95">
        <f>SUM(D64:D67)*('28-FFU'!D22+'28-FFU'!E22)</f>
        <v>906546.45843697328</v>
      </c>
      <c r="E68" s="95">
        <f>SUM(E64:E67)*('28-FFU'!D22)</f>
        <v>378183.15207779931</v>
      </c>
      <c r="F68" s="13" t="s">
        <v>407</v>
      </c>
    </row>
    <row r="69" spans="1:9" x14ac:dyDescent="0.2">
      <c r="A69" s="640">
        <f t="shared" si="2"/>
        <v>38</v>
      </c>
      <c r="C69" s="98" t="s">
        <v>5</v>
      </c>
      <c r="D69" s="7">
        <f>SUM(D64:D68)</f>
        <v>79432130.578889236</v>
      </c>
      <c r="E69" s="7">
        <f>SUM(E64:E68)</f>
        <v>41760328.737690717</v>
      </c>
      <c r="F69" s="13" t="str">
        <f>"Sum Lines "&amp;A64&amp;" to "&amp;A68&amp;""</f>
        <v>Sum Lines 33 to 37</v>
      </c>
    </row>
    <row r="70" spans="1:9" x14ac:dyDescent="0.2">
      <c r="A70" s="2"/>
      <c r="D70" s="98"/>
      <c r="E70" s="7"/>
      <c r="F70" s="13"/>
    </row>
    <row r="71" spans="1:9" ht="12.75" customHeight="1" x14ac:dyDescent="0.25">
      <c r="A71" s="2"/>
      <c r="C71" s="398" t="s">
        <v>1992</v>
      </c>
      <c r="D71" s="98"/>
      <c r="E71" s="7"/>
      <c r="F71" s="13"/>
    </row>
    <row r="72" spans="1:9" x14ac:dyDescent="0.2">
      <c r="A72" s="2"/>
      <c r="D72" s="98"/>
      <c r="E72" s="7"/>
      <c r="F72" s="13"/>
    </row>
    <row r="73" spans="1:9" ht="12.75" customHeight="1" x14ac:dyDescent="0.25">
      <c r="A73" s="2"/>
      <c r="C73" s="398" t="s">
        <v>1749</v>
      </c>
      <c r="D73" s="98"/>
      <c r="E73" s="7"/>
      <c r="F73" s="13"/>
    </row>
    <row r="74" spans="1:9" ht="15" x14ac:dyDescent="0.25">
      <c r="A74" s="2"/>
      <c r="C74" s="398"/>
      <c r="D74" s="88" t="s">
        <v>406</v>
      </c>
      <c r="E74" s="88" t="s">
        <v>390</v>
      </c>
      <c r="F74" s="88" t="s">
        <v>391</v>
      </c>
      <c r="G74" s="88" t="s">
        <v>392</v>
      </c>
      <c r="H74" s="88" t="s">
        <v>393</v>
      </c>
    </row>
    <row r="75" spans="1:9" ht="15" x14ac:dyDescent="0.25">
      <c r="A75" s="2"/>
      <c r="C75" s="398"/>
      <c r="D75" s="2" t="s">
        <v>1750</v>
      </c>
      <c r="E75" s="626" t="s">
        <v>1751</v>
      </c>
      <c r="F75" s="2"/>
      <c r="H75" s="100" t="s">
        <v>1814</v>
      </c>
    </row>
    <row r="76" spans="1:9" ht="15" x14ac:dyDescent="0.25">
      <c r="A76" s="2"/>
      <c r="C76" s="3" t="s">
        <v>261</v>
      </c>
      <c r="D76" s="3" t="s">
        <v>1752</v>
      </c>
      <c r="E76" s="477" t="s">
        <v>1753</v>
      </c>
      <c r="F76" s="3" t="s">
        <v>10</v>
      </c>
      <c r="G76" s="3" t="s">
        <v>1757</v>
      </c>
      <c r="H76" s="3" t="s">
        <v>226</v>
      </c>
      <c r="I76" s="3" t="s">
        <v>209</v>
      </c>
    </row>
    <row r="77" spans="1:9" x14ac:dyDescent="0.2">
      <c r="A77" s="2">
        <f>A69+1</f>
        <v>39</v>
      </c>
      <c r="C77" s="98" t="s">
        <v>1555</v>
      </c>
      <c r="D77" s="627">
        <f t="shared" ref="D77:D85" si="3">$D$26*(D9/$D$20)</f>
        <v>44978990.221442267</v>
      </c>
      <c r="E77" s="627">
        <f t="shared" ref="E77:E85" si="4">$D$34*(D9/$D$20)</f>
        <v>20673523.120164193</v>
      </c>
      <c r="F77" s="627">
        <f>D48</f>
        <v>6064101.7144981343</v>
      </c>
      <c r="G77" s="7">
        <f>(D77+E77+F77)*('28-FFU'!$D$22+'28-FFU'!$E$22)</f>
        <v>827939.63417670515</v>
      </c>
      <c r="H77" s="150">
        <f>SUM(D77:G77)</f>
        <v>72544554.690281302</v>
      </c>
      <c r="I77" s="13" t="s">
        <v>408</v>
      </c>
    </row>
    <row r="78" spans="1:9" x14ac:dyDescent="0.2">
      <c r="A78" s="2">
        <f t="shared" ref="A78:A88" si="5">A77+1</f>
        <v>40</v>
      </c>
      <c r="C78" s="98" t="s">
        <v>1556</v>
      </c>
      <c r="D78" s="627">
        <f t="shared" si="3"/>
        <v>3616986.8113639681</v>
      </c>
      <c r="E78" s="627">
        <f t="shared" si="4"/>
        <v>1662461.9650624129</v>
      </c>
      <c r="F78" s="627">
        <f>D55</f>
        <v>390115.93308118632</v>
      </c>
      <c r="G78" s="7">
        <f>(D78+E78+F78)*('28-FFU'!$D$22+'28-FFU'!$E$22)</f>
        <v>65452.856745381061</v>
      </c>
      <c r="H78" s="150">
        <f t="shared" ref="H78:H85" si="6">SUM(D78:G78)</f>
        <v>5735017.5662529478</v>
      </c>
      <c r="I78" s="13" t="s">
        <v>408</v>
      </c>
    </row>
    <row r="79" spans="1:9" x14ac:dyDescent="0.2">
      <c r="A79" s="2">
        <f t="shared" si="5"/>
        <v>41</v>
      </c>
      <c r="C79" s="98" t="s">
        <v>1557</v>
      </c>
      <c r="D79" s="627">
        <f t="shared" si="3"/>
        <v>738965.04819606489</v>
      </c>
      <c r="E79" s="627">
        <f t="shared" si="4"/>
        <v>339647.70960091002</v>
      </c>
      <c r="F79" s="627">
        <v>0</v>
      </c>
      <c r="G79" s="7">
        <f>(D79+E79+F79)*('28-FFU'!$D$22+'28-FFU'!$E$22)</f>
        <v>12452.152843662956</v>
      </c>
      <c r="H79" s="150">
        <f t="shared" si="6"/>
        <v>1091064.9106406379</v>
      </c>
      <c r="I79" s="13" t="s">
        <v>408</v>
      </c>
    </row>
    <row r="80" spans="1:9" x14ac:dyDescent="0.2">
      <c r="A80" s="2">
        <f t="shared" si="5"/>
        <v>42</v>
      </c>
      <c r="C80" s="98" t="s">
        <v>1558</v>
      </c>
      <c r="D80" s="627">
        <f t="shared" si="3"/>
        <v>0</v>
      </c>
      <c r="E80" s="627">
        <f t="shared" si="4"/>
        <v>0</v>
      </c>
      <c r="F80" s="627">
        <v>0</v>
      </c>
      <c r="G80" s="7">
        <f>(D80+E80+F80)*('28-FFU'!$D$22+'28-FFU'!$E$22)</f>
        <v>0</v>
      </c>
      <c r="H80" s="150">
        <f t="shared" si="6"/>
        <v>0</v>
      </c>
      <c r="I80" s="13" t="s">
        <v>408</v>
      </c>
    </row>
    <row r="81" spans="1:9" x14ac:dyDescent="0.2">
      <c r="A81" s="2">
        <f t="shared" si="5"/>
        <v>43</v>
      </c>
      <c r="C81" s="98" t="s">
        <v>1559</v>
      </c>
      <c r="D81" s="627">
        <f t="shared" si="3"/>
        <v>41648.742900708312</v>
      </c>
      <c r="E81" s="627">
        <f t="shared" si="4"/>
        <v>19142.854142445853</v>
      </c>
      <c r="F81" s="627">
        <v>0</v>
      </c>
      <c r="G81" s="7">
        <f>(D81+E81+F81)*('28-FFU'!$D$22+'28-FFU'!$E$22)</f>
        <v>701.81467122439756</v>
      </c>
      <c r="H81" s="150">
        <f t="shared" si="6"/>
        <v>61493.411714378562</v>
      </c>
      <c r="I81" s="13" t="s">
        <v>408</v>
      </c>
    </row>
    <row r="82" spans="1:9" x14ac:dyDescent="0.2">
      <c r="A82" s="2">
        <f t="shared" si="5"/>
        <v>44</v>
      </c>
      <c r="C82" s="98" t="s">
        <v>1560</v>
      </c>
      <c r="D82" s="627">
        <f t="shared" si="3"/>
        <v>0</v>
      </c>
      <c r="E82" s="627">
        <f t="shared" si="4"/>
        <v>0</v>
      </c>
      <c r="F82" s="627">
        <v>0</v>
      </c>
      <c r="G82" s="7">
        <f>(D82+E82+F82)*('28-FFU'!$D$22+'28-FFU'!$E$22)</f>
        <v>0</v>
      </c>
      <c r="H82" s="150">
        <f t="shared" si="6"/>
        <v>0</v>
      </c>
      <c r="I82" s="13" t="s">
        <v>408</v>
      </c>
    </row>
    <row r="83" spans="1:9" x14ac:dyDescent="0.2">
      <c r="A83" s="2">
        <f t="shared" si="5"/>
        <v>45</v>
      </c>
      <c r="C83" s="98" t="s">
        <v>1561</v>
      </c>
      <c r="D83" s="627">
        <f t="shared" si="3"/>
        <v>0</v>
      </c>
      <c r="E83" s="627">
        <f t="shared" si="4"/>
        <v>0</v>
      </c>
      <c r="F83" s="627">
        <v>0</v>
      </c>
      <c r="G83" s="7">
        <f>(D83+E83+F83)*('28-FFU'!$D$22+'28-FFU'!$E$22)</f>
        <v>0</v>
      </c>
      <c r="H83" s="150">
        <f t="shared" si="6"/>
        <v>0</v>
      </c>
      <c r="I83" s="13" t="s">
        <v>408</v>
      </c>
    </row>
    <row r="84" spans="1:9" x14ac:dyDescent="0.2">
      <c r="A84" s="2">
        <f t="shared" si="5"/>
        <v>46</v>
      </c>
      <c r="C84" s="98" t="s">
        <v>1562</v>
      </c>
      <c r="D84" s="627">
        <f t="shared" si="3"/>
        <v>0</v>
      </c>
      <c r="E84" s="627">
        <f t="shared" si="4"/>
        <v>0</v>
      </c>
      <c r="F84" s="627">
        <v>0</v>
      </c>
      <c r="G84" s="7">
        <f>(D84+E84+F84)*('28-FFU'!$D$22+'28-FFU'!$E$22)</f>
        <v>0</v>
      </c>
      <c r="H84" s="150">
        <f t="shared" si="6"/>
        <v>0</v>
      </c>
      <c r="I84" s="13" t="s">
        <v>408</v>
      </c>
    </row>
    <row r="85" spans="1:9" x14ac:dyDescent="0.2">
      <c r="A85" s="2">
        <f t="shared" si="5"/>
        <v>47</v>
      </c>
      <c r="C85" s="98" t="s">
        <v>1563</v>
      </c>
      <c r="D85" s="627">
        <f t="shared" si="3"/>
        <v>0</v>
      </c>
      <c r="E85" s="627">
        <f t="shared" si="4"/>
        <v>0</v>
      </c>
      <c r="F85" s="627">
        <v>0</v>
      </c>
      <c r="G85" s="7">
        <f>(D85+E85+F85)*('28-FFU'!$D$22+'28-FFU'!$E$22)</f>
        <v>0</v>
      </c>
      <c r="H85" s="150">
        <f t="shared" si="6"/>
        <v>0</v>
      </c>
      <c r="I85" s="13" t="s">
        <v>408</v>
      </c>
    </row>
    <row r="86" spans="1:9" x14ac:dyDescent="0.2">
      <c r="A86" s="2">
        <f t="shared" si="5"/>
        <v>48</v>
      </c>
      <c r="C86" s="489"/>
      <c r="D86" s="204" t="s">
        <v>88</v>
      </c>
      <c r="E86" s="204" t="s">
        <v>88</v>
      </c>
      <c r="F86" s="204" t="s">
        <v>88</v>
      </c>
      <c r="G86" s="204" t="s">
        <v>88</v>
      </c>
      <c r="H86" s="204" t="s">
        <v>88</v>
      </c>
      <c r="I86" s="13" t="s">
        <v>408</v>
      </c>
    </row>
    <row r="87" spans="1:9" x14ac:dyDescent="0.2">
      <c r="A87" s="2">
        <f t="shared" si="5"/>
        <v>49</v>
      </c>
      <c r="C87" s="489"/>
      <c r="D87" s="204" t="s">
        <v>88</v>
      </c>
      <c r="E87" s="204" t="s">
        <v>88</v>
      </c>
      <c r="F87" s="204" t="s">
        <v>88</v>
      </c>
      <c r="G87" s="204" t="s">
        <v>88</v>
      </c>
      <c r="H87" s="204" t="s">
        <v>88</v>
      </c>
      <c r="I87" s="13" t="s">
        <v>408</v>
      </c>
    </row>
    <row r="88" spans="1:9" x14ac:dyDescent="0.2">
      <c r="A88" s="2">
        <f t="shared" si="5"/>
        <v>50</v>
      </c>
      <c r="C88" s="98" t="s">
        <v>227</v>
      </c>
      <c r="D88" s="61">
        <f>SUM(D77:D87)</f>
        <v>49376590.823903002</v>
      </c>
      <c r="E88" s="61">
        <f>SUM(E77:E87)</f>
        <v>22694775.648969963</v>
      </c>
      <c r="F88" s="61">
        <f>SUM(F77:F87)</f>
        <v>6454217.6475793207</v>
      </c>
      <c r="G88" s="61">
        <f>SUM(G77:G87)</f>
        <v>906546.45843697363</v>
      </c>
      <c r="H88" s="61">
        <f>SUM(H77:H87)</f>
        <v>79432130.578889266</v>
      </c>
      <c r="I88" s="13" t="str">
        <f>"Sum L "&amp;A77&amp;" to L "&amp;A87&amp;""</f>
        <v>Sum L 39 to L 49</v>
      </c>
    </row>
    <row r="89" spans="1:9" x14ac:dyDescent="0.2">
      <c r="A89" s="2"/>
      <c r="C89" s="98"/>
      <c r="D89" s="98"/>
      <c r="E89" s="7"/>
      <c r="F89" s="13"/>
    </row>
    <row r="90" spans="1:9" ht="15" x14ac:dyDescent="0.25">
      <c r="A90" s="2"/>
      <c r="C90" s="398" t="s">
        <v>1993</v>
      </c>
      <c r="D90" s="98"/>
      <c r="E90" s="7"/>
      <c r="F90" s="13"/>
    </row>
    <row r="91" spans="1:9" ht="15" x14ac:dyDescent="0.25">
      <c r="A91" s="2"/>
      <c r="C91" s="398"/>
      <c r="D91" s="88" t="s">
        <v>406</v>
      </c>
      <c r="E91" s="88" t="s">
        <v>390</v>
      </c>
      <c r="F91" s="88" t="s">
        <v>391</v>
      </c>
      <c r="G91" s="88" t="s">
        <v>392</v>
      </c>
      <c r="H91" s="88" t="s">
        <v>393</v>
      </c>
    </row>
    <row r="92" spans="1:9" ht="15" x14ac:dyDescent="0.25">
      <c r="A92" s="2"/>
      <c r="C92" s="398"/>
      <c r="D92" s="2" t="s">
        <v>1750</v>
      </c>
      <c r="E92" s="626" t="s">
        <v>1751</v>
      </c>
      <c r="F92" s="2"/>
      <c r="H92" s="100" t="s">
        <v>1814</v>
      </c>
    </row>
    <row r="93" spans="1:9" ht="15" x14ac:dyDescent="0.25">
      <c r="A93" s="2"/>
      <c r="C93" s="3" t="s">
        <v>261</v>
      </c>
      <c r="D93" s="3" t="s">
        <v>1752</v>
      </c>
      <c r="E93" s="477" t="s">
        <v>1753</v>
      </c>
      <c r="F93" s="3" t="s">
        <v>10</v>
      </c>
      <c r="G93" s="3" t="s">
        <v>1813</v>
      </c>
      <c r="H93" s="3" t="s">
        <v>226</v>
      </c>
      <c r="I93" s="3" t="s">
        <v>209</v>
      </c>
    </row>
    <row r="94" spans="1:9" x14ac:dyDescent="0.2">
      <c r="A94" s="2">
        <f>A88+1</f>
        <v>51</v>
      </c>
      <c r="C94" s="98" t="s">
        <v>1555</v>
      </c>
      <c r="D94" s="61">
        <f t="shared" ref="D94:D102" si="7">$E$26*(E9/$E$20)</f>
        <v>22989217.093873672</v>
      </c>
      <c r="E94" s="61">
        <f t="shared" ref="E94:E102" si="8">$E$34*(E9/$E$20)</f>
        <v>10566446.884752488</v>
      </c>
      <c r="F94" s="628">
        <f>E48</f>
        <v>3099423.7555708955</v>
      </c>
      <c r="G94" s="7">
        <f>(D94+E94+F94)*('28-FFU'!$D$22)</f>
        <v>334983.51578528009</v>
      </c>
      <c r="H94" s="457">
        <f>SUM(D94:G94)</f>
        <v>36990071.249982335</v>
      </c>
      <c r="I94" s="13" t="s">
        <v>1317</v>
      </c>
    </row>
    <row r="95" spans="1:9" x14ac:dyDescent="0.2">
      <c r="A95" s="2">
        <f t="shared" ref="A95:A105" si="9">A94+1</f>
        <v>52</v>
      </c>
      <c r="C95" s="98" t="s">
        <v>1556</v>
      </c>
      <c r="D95" s="61">
        <f t="shared" si="7"/>
        <v>2959784.4932982042</v>
      </c>
      <c r="E95" s="61">
        <f t="shared" si="8"/>
        <v>1360394.5498032533</v>
      </c>
      <c r="F95" s="628">
        <f>E55</f>
        <v>319232.31948054367</v>
      </c>
      <c r="G95" s="7">
        <f>(D95+E95+F95)*('28-FFU'!$D$22)</f>
        <v>42398.652560364404</v>
      </c>
      <c r="H95" s="457">
        <f t="shared" ref="H95:H102" si="10">SUM(D95:G95)</f>
        <v>4681810.0151423663</v>
      </c>
      <c r="I95" s="13" t="s">
        <v>1317</v>
      </c>
    </row>
    <row r="96" spans="1:9" x14ac:dyDescent="0.2">
      <c r="A96" s="2">
        <f t="shared" si="9"/>
        <v>53</v>
      </c>
      <c r="C96" s="98" t="s">
        <v>1557</v>
      </c>
      <c r="D96" s="61">
        <f t="shared" si="7"/>
        <v>56843.465245851141</v>
      </c>
      <c r="E96" s="61">
        <f t="shared" si="8"/>
        <v>26126.746892377694</v>
      </c>
      <c r="F96" s="628">
        <v>0</v>
      </c>
      <c r="G96" s="7">
        <f>(D96+E96+F96)*('28-FFU'!$D$22)</f>
        <v>758.24817468884567</v>
      </c>
      <c r="H96" s="457">
        <f t="shared" si="10"/>
        <v>83728.460312917683</v>
      </c>
      <c r="I96" s="13" t="s">
        <v>1317</v>
      </c>
    </row>
    <row r="97" spans="1:9" x14ac:dyDescent="0.2">
      <c r="A97" s="2">
        <f t="shared" si="9"/>
        <v>54</v>
      </c>
      <c r="C97" s="98" t="s">
        <v>1558</v>
      </c>
      <c r="D97" s="61">
        <f t="shared" si="7"/>
        <v>0</v>
      </c>
      <c r="E97" s="61">
        <f t="shared" si="8"/>
        <v>0</v>
      </c>
      <c r="F97" s="628">
        <v>0</v>
      </c>
      <c r="G97" s="7">
        <f>(D97+E97+F97)*('28-FFU'!$D$22)</f>
        <v>0</v>
      </c>
      <c r="H97" s="457">
        <f t="shared" si="10"/>
        <v>0</v>
      </c>
      <c r="I97" s="13" t="s">
        <v>1317</v>
      </c>
    </row>
    <row r="98" spans="1:9" x14ac:dyDescent="0.2">
      <c r="A98" s="2">
        <f t="shared" si="9"/>
        <v>55</v>
      </c>
      <c r="C98" s="98" t="s">
        <v>1559</v>
      </c>
      <c r="D98" s="61">
        <f t="shared" si="7"/>
        <v>3203.7494539006393</v>
      </c>
      <c r="E98" s="61">
        <f t="shared" si="8"/>
        <v>1472.527241726604</v>
      </c>
      <c r="F98" s="628">
        <v>0</v>
      </c>
      <c r="G98" s="7">
        <f>(D98+E98+F98)*('28-FFU'!$D$22)</f>
        <v>42.735557465998255</v>
      </c>
      <c r="H98" s="457">
        <f t="shared" si="10"/>
        <v>4719.0122530932422</v>
      </c>
      <c r="I98" s="13" t="s">
        <v>1317</v>
      </c>
    </row>
    <row r="99" spans="1:9" x14ac:dyDescent="0.2">
      <c r="A99" s="2">
        <f t="shared" si="9"/>
        <v>56</v>
      </c>
      <c r="C99" s="98" t="s">
        <v>1560</v>
      </c>
      <c r="D99" s="61">
        <f t="shared" si="7"/>
        <v>0</v>
      </c>
      <c r="E99" s="61">
        <f t="shared" si="8"/>
        <v>0</v>
      </c>
      <c r="F99" s="628">
        <v>0</v>
      </c>
      <c r="G99" s="7">
        <f>(D99+E99+F99)*('28-FFU'!$D$22)</f>
        <v>0</v>
      </c>
      <c r="H99" s="457">
        <f t="shared" si="10"/>
        <v>0</v>
      </c>
      <c r="I99" s="13" t="s">
        <v>1317</v>
      </c>
    </row>
    <row r="100" spans="1:9" x14ac:dyDescent="0.2">
      <c r="A100" s="2">
        <f t="shared" si="9"/>
        <v>57</v>
      </c>
      <c r="C100" s="98" t="s">
        <v>1561</v>
      </c>
      <c r="D100" s="61">
        <f t="shared" si="7"/>
        <v>0</v>
      </c>
      <c r="E100" s="61">
        <f t="shared" si="8"/>
        <v>0</v>
      </c>
      <c r="F100" s="628">
        <v>0</v>
      </c>
      <c r="G100" s="7">
        <f>(D100+E100+F100)*('28-FFU'!$D$22)</f>
        <v>0</v>
      </c>
      <c r="H100" s="457">
        <f t="shared" si="10"/>
        <v>0</v>
      </c>
      <c r="I100" s="13" t="s">
        <v>1317</v>
      </c>
    </row>
    <row r="101" spans="1:9" x14ac:dyDescent="0.2">
      <c r="A101" s="2">
        <f t="shared" si="9"/>
        <v>58</v>
      </c>
      <c r="C101" s="98" t="s">
        <v>1562</v>
      </c>
      <c r="D101" s="61">
        <f t="shared" si="7"/>
        <v>0</v>
      </c>
      <c r="E101" s="61">
        <f t="shared" si="8"/>
        <v>0</v>
      </c>
      <c r="F101" s="628">
        <v>0</v>
      </c>
      <c r="G101" s="7">
        <f>(D101+E101+F101)*('28-FFU'!$D$22)</f>
        <v>0</v>
      </c>
      <c r="H101" s="457">
        <f t="shared" si="10"/>
        <v>0</v>
      </c>
      <c r="I101" s="13" t="s">
        <v>1317</v>
      </c>
    </row>
    <row r="102" spans="1:9" x14ac:dyDescent="0.2">
      <c r="A102" s="2">
        <f t="shared" si="9"/>
        <v>59</v>
      </c>
      <c r="C102" s="98" t="s">
        <v>1563</v>
      </c>
      <c r="D102" s="61">
        <f t="shared" si="7"/>
        <v>0</v>
      </c>
      <c r="E102" s="61">
        <f t="shared" si="8"/>
        <v>0</v>
      </c>
      <c r="F102" s="628">
        <v>0</v>
      </c>
      <c r="G102" s="7">
        <f>(D102+E102+F102)*('28-FFU'!$D$22)</f>
        <v>0</v>
      </c>
      <c r="H102" s="457">
        <f t="shared" si="10"/>
        <v>0</v>
      </c>
      <c r="I102" s="13" t="s">
        <v>1317</v>
      </c>
    </row>
    <row r="103" spans="1:9" x14ac:dyDescent="0.2">
      <c r="A103" s="2">
        <f t="shared" si="9"/>
        <v>60</v>
      </c>
      <c r="C103" s="489"/>
      <c r="D103" s="204" t="s">
        <v>88</v>
      </c>
      <c r="E103" s="204" t="s">
        <v>88</v>
      </c>
      <c r="F103" s="204" t="s">
        <v>88</v>
      </c>
      <c r="G103" s="204" t="s">
        <v>88</v>
      </c>
      <c r="H103" s="204" t="s">
        <v>88</v>
      </c>
      <c r="I103" s="13" t="s">
        <v>1317</v>
      </c>
    </row>
    <row r="104" spans="1:9" x14ac:dyDescent="0.2">
      <c r="A104" s="2">
        <f t="shared" si="9"/>
        <v>61</v>
      </c>
      <c r="C104" s="489"/>
      <c r="D104" s="204" t="s">
        <v>88</v>
      </c>
      <c r="E104" s="204" t="s">
        <v>88</v>
      </c>
      <c r="F104" s="204" t="s">
        <v>88</v>
      </c>
      <c r="G104" s="204" t="s">
        <v>88</v>
      </c>
      <c r="H104" s="204" t="s">
        <v>88</v>
      </c>
      <c r="I104" s="13" t="s">
        <v>1317</v>
      </c>
    </row>
    <row r="105" spans="1:9" x14ac:dyDescent="0.2">
      <c r="A105" s="2">
        <f t="shared" si="9"/>
        <v>62</v>
      </c>
      <c r="C105" s="98" t="s">
        <v>227</v>
      </c>
      <c r="D105" s="7">
        <f>SUM(D94:D104)</f>
        <v>26009048.801871628</v>
      </c>
      <c r="E105" s="7">
        <f>SUM(E94:E104)</f>
        <v>11954440.708689846</v>
      </c>
      <c r="F105" s="7">
        <f>SUM(F94:F104)</f>
        <v>3418656.075051439</v>
      </c>
      <c r="G105" s="61">
        <f>SUM(G94:G104)</f>
        <v>378183.15207779931</v>
      </c>
      <c r="H105" s="7">
        <f>SUM(H94:H104)</f>
        <v>41760328.73769071</v>
      </c>
      <c r="I105" s="13" t="str">
        <f>"Sum of L "&amp;A94&amp;" to "&amp;A104&amp;""</f>
        <v>Sum of L 51 to 61</v>
      </c>
    </row>
    <row r="106" spans="1:9" x14ac:dyDescent="0.2">
      <c r="C106" s="98"/>
    </row>
    <row r="107" spans="1:9" x14ac:dyDescent="0.2">
      <c r="B107" s="1" t="s">
        <v>1553</v>
      </c>
    </row>
    <row r="108" spans="1:9" x14ac:dyDescent="0.2">
      <c r="B108" s="1"/>
    </row>
    <row r="109" spans="1:9" ht="15" x14ac:dyDescent="0.25">
      <c r="B109" s="1"/>
      <c r="C109" s="398" t="s">
        <v>1754</v>
      </c>
    </row>
    <row r="110" spans="1:9" x14ac:dyDescent="0.2">
      <c r="E110" s="3" t="s">
        <v>201</v>
      </c>
      <c r="F110" s="3" t="s">
        <v>209</v>
      </c>
    </row>
    <row r="111" spans="1:9" x14ac:dyDescent="0.2">
      <c r="A111" s="2">
        <f>A105+1</f>
        <v>63</v>
      </c>
      <c r="D111" s="98" t="s">
        <v>401</v>
      </c>
      <c r="E111" s="7">
        <f>F20</f>
        <v>656294351.44332898</v>
      </c>
      <c r="F111" s="16" t="str">
        <f>"Line "&amp;A20&amp;", Col 3"</f>
        <v>Line 12, Col 3</v>
      </c>
    </row>
    <row r="112" spans="1:9" x14ac:dyDescent="0.2">
      <c r="A112" s="2">
        <f>A111+1</f>
        <v>64</v>
      </c>
      <c r="D112" s="98" t="s">
        <v>399</v>
      </c>
      <c r="E112" s="411">
        <f>'2-IFPTRR'!D25</f>
        <v>0.11295018550759207</v>
      </c>
      <c r="F112" s="47" t="str">
        <f>"2-IFPTRR, Line "&amp;'2-IFPTRR'!A25&amp;""</f>
        <v>2-IFPTRR, Line 16</v>
      </c>
      <c r="G112" s="14"/>
      <c r="H112" s="14"/>
    </row>
    <row r="113" spans="1:8" x14ac:dyDescent="0.2">
      <c r="A113" s="2">
        <f>A112+1</f>
        <v>65</v>
      </c>
      <c r="D113" s="98" t="s">
        <v>1806</v>
      </c>
      <c r="E113" s="7">
        <f>E111*E112</f>
        <v>74128568.743108839</v>
      </c>
      <c r="F113" s="120" t="str">
        <f>"Line "&amp;A111&amp;" * Line "&amp;A112&amp;""</f>
        <v>Line 63 * Line 64</v>
      </c>
      <c r="G113" s="14"/>
      <c r="H113" s="14"/>
    </row>
    <row r="114" spans="1:8" x14ac:dyDescent="0.2">
      <c r="A114" s="640">
        <f>A113+1</f>
        <v>66</v>
      </c>
      <c r="D114" s="98" t="s">
        <v>1805</v>
      </c>
      <c r="E114" s="95">
        <f>E113*('28-FFU'!D22+'28-FFU'!E22)</f>
        <v>855784.67471169436</v>
      </c>
      <c r="F114" s="648" t="str">
        <f>"Line "&amp;A113&amp;" * (28-FFU, L"&amp;'28-FFU'!A22&amp;" FF Factor + U Factor)"</f>
        <v>Line 65 * (28-FFU, L5 FF Factor + U Factor)</v>
      </c>
      <c r="G114" s="14"/>
      <c r="H114" s="14"/>
    </row>
    <row r="115" spans="1:8" x14ac:dyDescent="0.2">
      <c r="A115" s="645">
        <f>A114+1</f>
        <v>67</v>
      </c>
      <c r="D115" s="98" t="s">
        <v>1807</v>
      </c>
      <c r="E115" s="7">
        <f>SUM(E113:E114)</f>
        <v>74984353.417820528</v>
      </c>
      <c r="F115" s="16" t="str">
        <f>"Line "&amp;A113&amp;" + Line "&amp;A114&amp;""</f>
        <v>Line 65 + Line 66</v>
      </c>
    </row>
    <row r="116" spans="1:8" x14ac:dyDescent="0.2">
      <c r="A116" s="640"/>
      <c r="D116" s="98"/>
      <c r="E116" s="7"/>
    </row>
    <row r="117" spans="1:8" ht="15" x14ac:dyDescent="0.25">
      <c r="A117" s="2"/>
      <c r="C117" s="398" t="s">
        <v>1755</v>
      </c>
      <c r="D117" s="98"/>
      <c r="E117" s="7"/>
      <c r="F117" s="16"/>
    </row>
    <row r="118" spans="1:8" x14ac:dyDescent="0.2">
      <c r="A118" s="2"/>
      <c r="D118" s="724" t="s">
        <v>205</v>
      </c>
      <c r="E118" s="724" t="s">
        <v>205</v>
      </c>
    </row>
    <row r="119" spans="1:8" x14ac:dyDescent="0.2">
      <c r="A119" s="2"/>
      <c r="C119" s="3" t="s">
        <v>261</v>
      </c>
      <c r="D119" s="3" t="s">
        <v>1959</v>
      </c>
      <c r="E119" s="3" t="s">
        <v>1960</v>
      </c>
      <c r="F119" s="3" t="s">
        <v>209</v>
      </c>
    </row>
    <row r="120" spans="1:8" x14ac:dyDescent="0.2">
      <c r="A120" s="2">
        <f>A115+1</f>
        <v>68</v>
      </c>
      <c r="C120" s="98" t="s">
        <v>1555</v>
      </c>
      <c r="D120" s="61">
        <f>$E$113*(F9/$F$20)</f>
        <v>44127754.212492034</v>
      </c>
      <c r="E120" s="61">
        <f>$E$115*(F9/$F$20)</f>
        <v>44637191.483773567</v>
      </c>
      <c r="F120" s="13" t="s">
        <v>1343</v>
      </c>
    </row>
    <row r="121" spans="1:8" x14ac:dyDescent="0.2">
      <c r="A121" s="2">
        <f t="shared" ref="A121:A131" si="11">A120+1</f>
        <v>69</v>
      </c>
      <c r="C121" s="98" t="s">
        <v>1556</v>
      </c>
      <c r="D121" s="61">
        <f t="shared" ref="D121:D128" si="12">$E$113*(F10/$F$20)</f>
        <v>15965965.330579951</v>
      </c>
      <c r="E121" s="61">
        <f t="shared" ref="E121:E128" si="13">$E$115*(F10/$F$20)</f>
        <v>16150286.013935363</v>
      </c>
      <c r="F121" s="13" t="s">
        <v>1343</v>
      </c>
    </row>
    <row r="122" spans="1:8" x14ac:dyDescent="0.2">
      <c r="A122" s="2">
        <f t="shared" si="11"/>
        <v>70</v>
      </c>
      <c r="C122" s="98" t="s">
        <v>1557</v>
      </c>
      <c r="D122" s="61">
        <f t="shared" si="12"/>
        <v>4551080.3606140809</v>
      </c>
      <c r="E122" s="61">
        <f t="shared" si="13"/>
        <v>4603620.7629452255</v>
      </c>
      <c r="F122" s="13" t="s">
        <v>1343</v>
      </c>
    </row>
    <row r="123" spans="1:8" x14ac:dyDescent="0.2">
      <c r="A123" s="2">
        <f t="shared" si="11"/>
        <v>71</v>
      </c>
      <c r="C123" s="98" t="s">
        <v>1558</v>
      </c>
      <c r="D123" s="61">
        <f t="shared" si="12"/>
        <v>339582.16962821211</v>
      </c>
      <c r="E123" s="61">
        <f t="shared" si="13"/>
        <v>343502.50994370197</v>
      </c>
      <c r="F123" s="13" t="s">
        <v>1343</v>
      </c>
    </row>
    <row r="124" spans="1:8" x14ac:dyDescent="0.2">
      <c r="A124" s="2">
        <f t="shared" si="11"/>
        <v>72</v>
      </c>
      <c r="C124" s="98" t="s">
        <v>1559</v>
      </c>
      <c r="D124" s="61">
        <f t="shared" si="12"/>
        <v>4716251.7617652519</v>
      </c>
      <c r="E124" s="61">
        <f t="shared" si="13"/>
        <v>4770699.0018541273</v>
      </c>
      <c r="F124" s="13" t="s">
        <v>1343</v>
      </c>
    </row>
    <row r="125" spans="1:8" x14ac:dyDescent="0.2">
      <c r="A125" s="2">
        <f t="shared" si="11"/>
        <v>73</v>
      </c>
      <c r="C125" s="98" t="s">
        <v>1560</v>
      </c>
      <c r="D125" s="61">
        <f t="shared" si="12"/>
        <v>428670.54225752217</v>
      </c>
      <c r="E125" s="61">
        <f t="shared" si="13"/>
        <v>433619.37219966837</v>
      </c>
      <c r="F125" s="13" t="s">
        <v>1343</v>
      </c>
    </row>
    <row r="126" spans="1:8" x14ac:dyDescent="0.2">
      <c r="A126" s="2">
        <f t="shared" si="11"/>
        <v>74</v>
      </c>
      <c r="C126" s="98" t="s">
        <v>1561</v>
      </c>
      <c r="D126" s="61">
        <f t="shared" si="12"/>
        <v>3282808.7753547523</v>
      </c>
      <c r="E126" s="61">
        <f t="shared" si="13"/>
        <v>3320707.4895427125</v>
      </c>
      <c r="F126" s="13" t="s">
        <v>1343</v>
      </c>
    </row>
    <row r="127" spans="1:8" x14ac:dyDescent="0.2">
      <c r="A127" s="2">
        <f t="shared" si="11"/>
        <v>75</v>
      </c>
      <c r="C127" s="98" t="s">
        <v>1562</v>
      </c>
      <c r="D127" s="61">
        <f t="shared" si="12"/>
        <v>274599.2779205729</v>
      </c>
      <c r="E127" s="61">
        <f t="shared" si="13"/>
        <v>277769.41674445471</v>
      </c>
      <c r="F127" s="13" t="s">
        <v>1343</v>
      </c>
    </row>
    <row r="128" spans="1:8" x14ac:dyDescent="0.2">
      <c r="A128" s="2">
        <f t="shared" si="11"/>
        <v>76</v>
      </c>
      <c r="C128" s="98" t="s">
        <v>1563</v>
      </c>
      <c r="D128" s="61">
        <f t="shared" si="12"/>
        <v>441856.31249645376</v>
      </c>
      <c r="E128" s="61">
        <f t="shared" si="13"/>
        <v>446957.36688170023</v>
      </c>
      <c r="F128" s="13" t="s">
        <v>1343</v>
      </c>
    </row>
    <row r="129" spans="1:8" x14ac:dyDescent="0.2">
      <c r="A129" s="2">
        <f t="shared" si="11"/>
        <v>77</v>
      </c>
      <c r="C129" s="489"/>
      <c r="D129" s="625" t="s">
        <v>88</v>
      </c>
      <c r="E129" s="625" t="s">
        <v>88</v>
      </c>
      <c r="F129" s="13" t="s">
        <v>1343</v>
      </c>
    </row>
    <row r="130" spans="1:8" x14ac:dyDescent="0.2">
      <c r="A130" s="2">
        <f t="shared" si="11"/>
        <v>78</v>
      </c>
      <c r="C130" s="489"/>
      <c r="D130" s="625" t="s">
        <v>88</v>
      </c>
      <c r="E130" s="625" t="s">
        <v>88</v>
      </c>
      <c r="F130" s="13" t="s">
        <v>1343</v>
      </c>
    </row>
    <row r="131" spans="1:8" x14ac:dyDescent="0.2">
      <c r="A131" s="2">
        <f t="shared" si="11"/>
        <v>79</v>
      </c>
      <c r="C131" s="98" t="s">
        <v>227</v>
      </c>
      <c r="D131" s="7">
        <f>SUM(D120:D130)</f>
        <v>74128568.743108839</v>
      </c>
      <c r="E131" s="7">
        <f>SUM(E120:E130)</f>
        <v>74984353.417820513</v>
      </c>
      <c r="F131" s="13" t="str">
        <f>"Sum of Lines "&amp;A120&amp;" to "&amp;A130&amp;""</f>
        <v>Sum of Lines 68 to 78</v>
      </c>
    </row>
    <row r="133" spans="1:8" x14ac:dyDescent="0.2">
      <c r="B133" s="1" t="s">
        <v>1965</v>
      </c>
    </row>
    <row r="134" spans="1:8" x14ac:dyDescent="0.2">
      <c r="B134" s="1"/>
    </row>
    <row r="135" spans="1:8" ht="15" x14ac:dyDescent="0.25">
      <c r="C135" s="398" t="s">
        <v>1754</v>
      </c>
    </row>
    <row r="136" spans="1:8" x14ac:dyDescent="0.2">
      <c r="E136" s="3" t="s">
        <v>201</v>
      </c>
      <c r="F136" s="3" t="s">
        <v>209</v>
      </c>
      <c r="H136" s="1"/>
    </row>
    <row r="137" spans="1:8" x14ac:dyDescent="0.2">
      <c r="A137" s="2">
        <f>A131+1</f>
        <v>80</v>
      </c>
      <c r="D137" s="98" t="s">
        <v>1564</v>
      </c>
      <c r="E137" s="7">
        <f>SUM(D64:D67)</f>
        <v>78525584.12045227</v>
      </c>
      <c r="F137" s="16" t="str">
        <f>"Sum Line "&amp;A64&amp;" to "&amp;A67&amp;""</f>
        <v>Sum Line 33 to 36</v>
      </c>
    </row>
    <row r="138" spans="1:8" x14ac:dyDescent="0.2">
      <c r="A138" s="2">
        <f t="shared" ref="A138:A145" si="14">A137+1</f>
        <v>81</v>
      </c>
      <c r="D138" s="647" t="s">
        <v>1957</v>
      </c>
      <c r="E138" s="7">
        <f>E113</f>
        <v>74128568.743108839</v>
      </c>
      <c r="F138" s="16" t="str">
        <f>"Line "&amp;A113&amp;""</f>
        <v>Line 65</v>
      </c>
    </row>
    <row r="139" spans="1:8" x14ac:dyDescent="0.2">
      <c r="A139" s="2">
        <f t="shared" si="14"/>
        <v>82</v>
      </c>
      <c r="D139" s="98" t="s">
        <v>1565</v>
      </c>
      <c r="E139" s="7">
        <f>SUM(E137:E138)</f>
        <v>152654152.86356109</v>
      </c>
      <c r="F139" s="16" t="str">
        <f>"Line "&amp;A137&amp;" + Line "&amp;A138&amp;""</f>
        <v>Line 80 + Line 81</v>
      </c>
    </row>
    <row r="140" spans="1:8" x14ac:dyDescent="0.2">
      <c r="A140" s="2">
        <f t="shared" si="14"/>
        <v>83</v>
      </c>
      <c r="D140" s="98" t="s">
        <v>1548</v>
      </c>
      <c r="E140" s="8">
        <f>'28-FFU'!D22</f>
        <v>9.1388000000000007E-3</v>
      </c>
      <c r="F140" s="47" t="str">
        <f>"28-FFU, Line "&amp;'28-FFU'!A22&amp;""</f>
        <v>28-FFU, Line 5</v>
      </c>
    </row>
    <row r="141" spans="1:8" x14ac:dyDescent="0.2">
      <c r="A141" s="2">
        <f t="shared" si="14"/>
        <v>84</v>
      </c>
      <c r="D141" s="98" t="s">
        <v>1549</v>
      </c>
      <c r="E141" s="8">
        <f>'28-FFU'!E22</f>
        <v>2.4058E-3</v>
      </c>
      <c r="F141" s="47" t="str">
        <f>"28-FFU, Line "&amp;'28-FFU'!A22&amp;""</f>
        <v>28-FFU, Line 5</v>
      </c>
    </row>
    <row r="142" spans="1:8" x14ac:dyDescent="0.2">
      <c r="A142" s="2">
        <f t="shared" si="14"/>
        <v>85</v>
      </c>
      <c r="D142" s="647" t="s">
        <v>1963</v>
      </c>
      <c r="E142" s="7">
        <f>E139*E140</f>
        <v>1395075.7721895122</v>
      </c>
      <c r="F142" s="16" t="str">
        <f>"Line "&amp;A139&amp;" * Line "&amp;A140&amp;""</f>
        <v>Line 82 * Line 83</v>
      </c>
    </row>
    <row r="143" spans="1:8" x14ac:dyDescent="0.2">
      <c r="A143" s="725">
        <f t="shared" si="14"/>
        <v>86</v>
      </c>
      <c r="D143" s="647" t="s">
        <v>1964</v>
      </c>
      <c r="E143" s="7">
        <f>E139*E141</f>
        <v>367255.36095915531</v>
      </c>
      <c r="F143" s="16" t="str">
        <f>"Line "&amp;A139&amp;" * Line "&amp;A141&amp;""</f>
        <v>Line 82 * Line 84</v>
      </c>
    </row>
    <row r="144" spans="1:8" x14ac:dyDescent="0.2">
      <c r="A144" s="725">
        <f t="shared" si="14"/>
        <v>87</v>
      </c>
      <c r="D144" s="98" t="s">
        <v>1566</v>
      </c>
      <c r="E144" s="7">
        <f>E139+E142+E143</f>
        <v>154416483.99670973</v>
      </c>
      <c r="F144" s="13" t="str">
        <f>"Line "&amp;A139&amp;" + Line "&amp;A142&amp;" + Line "&amp;A143&amp;""</f>
        <v>Line 82 + Line 85 + Line 86</v>
      </c>
    </row>
    <row r="145" spans="1:8" x14ac:dyDescent="0.2">
      <c r="A145" s="725">
        <f t="shared" si="14"/>
        <v>88</v>
      </c>
      <c r="D145" s="647" t="s">
        <v>1962</v>
      </c>
      <c r="E145" s="7">
        <f>E139+E142</f>
        <v>154049228.63575059</v>
      </c>
      <c r="F145" s="13" t="str">
        <f>"Line "&amp;A139&amp;" + Line "&amp;A142&amp;""</f>
        <v>Line 82 + Line 85</v>
      </c>
    </row>
    <row r="147" spans="1:8" ht="15" x14ac:dyDescent="0.25">
      <c r="C147" s="398" t="s">
        <v>1756</v>
      </c>
    </row>
    <row r="148" spans="1:8" ht="15" x14ac:dyDescent="0.25">
      <c r="C148" s="398"/>
      <c r="D148" s="88" t="s">
        <v>406</v>
      </c>
      <c r="E148" s="88" t="s">
        <v>390</v>
      </c>
      <c r="F148" s="88" t="s">
        <v>391</v>
      </c>
      <c r="G148" s="88" t="s">
        <v>392</v>
      </c>
    </row>
    <row r="149" spans="1:8" ht="12.75" customHeight="1" x14ac:dyDescent="0.25">
      <c r="D149" s="257" t="s">
        <v>1748</v>
      </c>
      <c r="E149" s="257" t="s">
        <v>1238</v>
      </c>
    </row>
    <row r="150" spans="1:8" ht="12.75" customHeight="1" x14ac:dyDescent="0.25">
      <c r="D150" s="3" t="s">
        <v>1959</v>
      </c>
      <c r="E150" s="3" t="s">
        <v>1959</v>
      </c>
      <c r="F150" s="3" t="s">
        <v>1757</v>
      </c>
      <c r="G150" s="259" t="s">
        <v>226</v>
      </c>
      <c r="H150" s="3" t="s">
        <v>209</v>
      </c>
    </row>
    <row r="151" spans="1:8" x14ac:dyDescent="0.2">
      <c r="A151" s="725">
        <f>A145+1</f>
        <v>89</v>
      </c>
      <c r="C151" s="98" t="s">
        <v>1555</v>
      </c>
      <c r="D151" s="7">
        <f t="shared" ref="D151:D159" si="15">D77+E77+F77</f>
        <v>71716615.0561046</v>
      </c>
      <c r="E151" s="7">
        <f t="shared" ref="E151:E159" si="16">D120</f>
        <v>44127754.212492034</v>
      </c>
      <c r="F151" s="7">
        <f>(D151+E151)*('28-FFU'!$D$22+'28-FFU'!$E$22)</f>
        <v>1337376.9054582408</v>
      </c>
      <c r="G151" s="7">
        <f>SUM(D151:F151)</f>
        <v>117181746.17405488</v>
      </c>
      <c r="H151" s="13" t="s">
        <v>1352</v>
      </c>
    </row>
    <row r="152" spans="1:8" x14ac:dyDescent="0.2">
      <c r="A152" s="725">
        <f t="shared" ref="A152:A162" si="17">A151+1</f>
        <v>90</v>
      </c>
      <c r="C152" s="98" t="s">
        <v>1556</v>
      </c>
      <c r="D152" s="7">
        <f t="shared" si="15"/>
        <v>5669564.7095075669</v>
      </c>
      <c r="E152" s="7">
        <f t="shared" si="16"/>
        <v>15965965.330579951</v>
      </c>
      <c r="F152" s="7">
        <f>(D152+E152)*('28-FFU'!$D$22+'28-FFU'!$E$22)</f>
        <v>249773.54010079437</v>
      </c>
      <c r="G152" s="7">
        <f t="shared" ref="G152:G159" si="18">SUM(D152:F152)</f>
        <v>21885303.580188312</v>
      </c>
      <c r="H152" s="13" t="s">
        <v>1352</v>
      </c>
    </row>
    <row r="153" spans="1:8" x14ac:dyDescent="0.2">
      <c r="A153" s="725">
        <f t="shared" si="17"/>
        <v>91</v>
      </c>
      <c r="C153" s="98" t="s">
        <v>1557</v>
      </c>
      <c r="D153" s="7">
        <f t="shared" si="15"/>
        <v>1078612.7577969749</v>
      </c>
      <c r="E153" s="7">
        <f t="shared" si="16"/>
        <v>4551080.3606140809</v>
      </c>
      <c r="F153" s="7">
        <f>(D153+E153)*('28-FFU'!$D$22+'28-FFU'!$E$22)</f>
        <v>64992.55517480828</v>
      </c>
      <c r="G153" s="7">
        <f t="shared" si="18"/>
        <v>5694685.6735858638</v>
      </c>
      <c r="H153" s="13" t="s">
        <v>1352</v>
      </c>
    </row>
    <row r="154" spans="1:8" x14ac:dyDescent="0.2">
      <c r="A154" s="725">
        <f t="shared" si="17"/>
        <v>92</v>
      </c>
      <c r="C154" s="98" t="s">
        <v>1558</v>
      </c>
      <c r="D154" s="7">
        <f t="shared" si="15"/>
        <v>0</v>
      </c>
      <c r="E154" s="7">
        <f t="shared" si="16"/>
        <v>339582.16962821211</v>
      </c>
      <c r="F154" s="7">
        <f>(D154+E154)*('28-FFU'!$D$22+'28-FFU'!$E$22)</f>
        <v>3920.3403154898579</v>
      </c>
      <c r="G154" s="7">
        <f t="shared" si="18"/>
        <v>343502.50994370197</v>
      </c>
      <c r="H154" s="13" t="s">
        <v>1352</v>
      </c>
    </row>
    <row r="155" spans="1:8" x14ac:dyDescent="0.2">
      <c r="A155" s="725">
        <f t="shared" si="17"/>
        <v>93</v>
      </c>
      <c r="C155" s="98" t="s">
        <v>1559</v>
      </c>
      <c r="D155" s="7">
        <f t="shared" si="15"/>
        <v>60791.597043154165</v>
      </c>
      <c r="E155" s="7">
        <f t="shared" si="16"/>
        <v>4716251.7617652519</v>
      </c>
      <c r="F155" s="7">
        <f>(D155+E155)*('28-FFU'!$D$22+'28-FFU'!$E$22)</f>
        <v>55149.05476009952</v>
      </c>
      <c r="G155" s="7">
        <f t="shared" si="18"/>
        <v>4832192.4135685051</v>
      </c>
      <c r="H155" s="13" t="s">
        <v>1352</v>
      </c>
    </row>
    <row r="156" spans="1:8" x14ac:dyDescent="0.2">
      <c r="A156" s="725">
        <f t="shared" si="17"/>
        <v>94</v>
      </c>
      <c r="C156" s="98" t="s">
        <v>1560</v>
      </c>
      <c r="D156" s="7">
        <f t="shared" si="15"/>
        <v>0</v>
      </c>
      <c r="E156" s="7">
        <f t="shared" si="16"/>
        <v>428670.54225752217</v>
      </c>
      <c r="F156" s="7">
        <f>(D156+E156)*('28-FFU'!$D$22+'28-FFU'!$E$22)</f>
        <v>4948.8299421461907</v>
      </c>
      <c r="G156" s="7">
        <f t="shared" si="18"/>
        <v>433619.37219966837</v>
      </c>
      <c r="H156" s="13" t="s">
        <v>1352</v>
      </c>
    </row>
    <row r="157" spans="1:8" x14ac:dyDescent="0.2">
      <c r="A157" s="725">
        <f t="shared" si="17"/>
        <v>95</v>
      </c>
      <c r="C157" s="98" t="s">
        <v>1561</v>
      </c>
      <c r="D157" s="7">
        <f t="shared" si="15"/>
        <v>0</v>
      </c>
      <c r="E157" s="7">
        <f t="shared" si="16"/>
        <v>3282808.7753547523</v>
      </c>
      <c r="F157" s="7">
        <f>(D157+E157)*('28-FFU'!$D$22+'28-FFU'!$E$22)</f>
        <v>37898.714187960475</v>
      </c>
      <c r="G157" s="7">
        <f t="shared" si="18"/>
        <v>3320707.4895427129</v>
      </c>
      <c r="H157" s="13" t="s">
        <v>1352</v>
      </c>
    </row>
    <row r="158" spans="1:8" x14ac:dyDescent="0.2">
      <c r="A158" s="725">
        <f t="shared" si="17"/>
        <v>96</v>
      </c>
      <c r="C158" s="98" t="s">
        <v>1562</v>
      </c>
      <c r="D158" s="7">
        <f t="shared" si="15"/>
        <v>0</v>
      </c>
      <c r="E158" s="7">
        <f t="shared" si="16"/>
        <v>274599.2779205729</v>
      </c>
      <c r="F158" s="7">
        <f>(D158+E158)*('28-FFU'!$D$22+'28-FFU'!$E$22)</f>
        <v>3170.1388238818458</v>
      </c>
      <c r="G158" s="7">
        <f t="shared" si="18"/>
        <v>277769.41674445476</v>
      </c>
      <c r="H158" s="13" t="s">
        <v>1352</v>
      </c>
    </row>
    <row r="159" spans="1:8" x14ac:dyDescent="0.2">
      <c r="A159" s="725">
        <f t="shared" si="17"/>
        <v>97</v>
      </c>
      <c r="C159" s="98" t="s">
        <v>1563</v>
      </c>
      <c r="D159" s="7">
        <f t="shared" si="15"/>
        <v>0</v>
      </c>
      <c r="E159" s="7">
        <f t="shared" si="16"/>
        <v>441856.31249645376</v>
      </c>
      <c r="F159" s="7">
        <f>(D159+E159)*('28-FFU'!$D$22+'28-FFU'!$E$22)</f>
        <v>5101.0543852465598</v>
      </c>
      <c r="G159" s="7">
        <f t="shared" si="18"/>
        <v>446957.36688170029</v>
      </c>
      <c r="H159" s="13" t="s">
        <v>1352</v>
      </c>
    </row>
    <row r="160" spans="1:8" x14ac:dyDescent="0.2">
      <c r="A160" s="725">
        <f t="shared" si="17"/>
        <v>98</v>
      </c>
      <c r="C160" s="489"/>
      <c r="D160" s="625" t="s">
        <v>88</v>
      </c>
      <c r="E160" s="625" t="s">
        <v>88</v>
      </c>
      <c r="F160" s="625" t="s">
        <v>88</v>
      </c>
      <c r="G160" s="625" t="s">
        <v>88</v>
      </c>
      <c r="H160" s="13" t="s">
        <v>1352</v>
      </c>
    </row>
    <row r="161" spans="1:8" x14ac:dyDescent="0.2">
      <c r="A161" s="725">
        <f t="shared" si="17"/>
        <v>99</v>
      </c>
      <c r="C161" s="489"/>
      <c r="D161" s="625" t="s">
        <v>88</v>
      </c>
      <c r="E161" s="625" t="s">
        <v>88</v>
      </c>
      <c r="F161" s="625" t="s">
        <v>88</v>
      </c>
      <c r="G161" s="625" t="s">
        <v>88</v>
      </c>
      <c r="H161" s="13" t="s">
        <v>1352</v>
      </c>
    </row>
    <row r="162" spans="1:8" x14ac:dyDescent="0.2">
      <c r="A162" s="725">
        <f t="shared" si="17"/>
        <v>100</v>
      </c>
      <c r="C162" s="98" t="s">
        <v>227</v>
      </c>
      <c r="D162" s="7">
        <f>SUM(D151:D161)</f>
        <v>78525584.1204523</v>
      </c>
      <c r="E162" s="7">
        <f>SUM(E151:E161)</f>
        <v>74128568.743108839</v>
      </c>
      <c r="F162" s="7">
        <f>SUM(F151:F161)</f>
        <v>1762331.1331486674</v>
      </c>
      <c r="G162" s="7">
        <f>SUM(G151:G161)</f>
        <v>154416483.99670976</v>
      </c>
    </row>
    <row r="164" spans="1:8" ht="15" x14ac:dyDescent="0.25">
      <c r="C164" s="398" t="s">
        <v>1958</v>
      </c>
    </row>
    <row r="165" spans="1:8" ht="15" x14ac:dyDescent="0.25">
      <c r="C165" s="398"/>
    </row>
    <row r="166" spans="1:8" x14ac:dyDescent="0.2">
      <c r="D166" s="88" t="s">
        <v>406</v>
      </c>
      <c r="E166" s="88" t="s">
        <v>390</v>
      </c>
      <c r="F166" s="88" t="s">
        <v>391</v>
      </c>
      <c r="G166" s="88" t="s">
        <v>392</v>
      </c>
    </row>
    <row r="167" spans="1:8" ht="12.75" customHeight="1" x14ac:dyDescent="0.25">
      <c r="D167" s="257" t="s">
        <v>1748</v>
      </c>
      <c r="E167" s="257" t="s">
        <v>1238</v>
      </c>
      <c r="F167" s="88"/>
      <c r="G167" s="88"/>
    </row>
    <row r="168" spans="1:8" ht="12.75" customHeight="1" x14ac:dyDescent="0.25">
      <c r="D168" s="3" t="s">
        <v>1959</v>
      </c>
      <c r="E168" s="3" t="s">
        <v>1959</v>
      </c>
      <c r="F168" s="3" t="s">
        <v>1813</v>
      </c>
      <c r="G168" s="259" t="s">
        <v>226</v>
      </c>
      <c r="H168" s="3" t="s">
        <v>209</v>
      </c>
    </row>
    <row r="169" spans="1:8" x14ac:dyDescent="0.2">
      <c r="A169" s="725">
        <f>A162+1</f>
        <v>101</v>
      </c>
      <c r="C169" s="98" t="s">
        <v>1555</v>
      </c>
      <c r="D169" s="7">
        <f t="shared" ref="D169:D177" si="19">D77+E77+F77</f>
        <v>71716615.0561046</v>
      </c>
      <c r="E169" s="7">
        <f t="shared" ref="E169:E177" si="20">D120</f>
        <v>44127754.212492034</v>
      </c>
      <c r="F169" s="7">
        <f>(D169+E169)*('28-FFU'!$D$22)</f>
        <v>1058678.5218718511</v>
      </c>
      <c r="G169" s="7">
        <f>SUM(D169:F169)</f>
        <v>116903047.79046848</v>
      </c>
      <c r="H169" s="653" t="s">
        <v>1353</v>
      </c>
    </row>
    <row r="170" spans="1:8" x14ac:dyDescent="0.2">
      <c r="A170" s="725">
        <f t="shared" ref="A170:A180" si="21">A169+1</f>
        <v>102</v>
      </c>
      <c r="C170" s="98" t="s">
        <v>1556</v>
      </c>
      <c r="D170" s="7">
        <f t="shared" si="19"/>
        <v>5669564.7095075669</v>
      </c>
      <c r="E170" s="7">
        <f t="shared" si="20"/>
        <v>15965965.330579951</v>
      </c>
      <c r="F170" s="7">
        <f>(D170+E170)*('28-FFU'!$D$22)</f>
        <v>197722.78193035183</v>
      </c>
      <c r="G170" s="7">
        <f t="shared" ref="G170:G177" si="22">SUM(D170:F170)</f>
        <v>21833252.822017871</v>
      </c>
      <c r="H170" s="653" t="s">
        <v>1353</v>
      </c>
    </row>
    <row r="171" spans="1:8" x14ac:dyDescent="0.2">
      <c r="A171" s="725">
        <f t="shared" si="21"/>
        <v>103</v>
      </c>
      <c r="C171" s="98" t="s">
        <v>1557</v>
      </c>
      <c r="D171" s="7">
        <f t="shared" si="19"/>
        <v>1078612.7577969749</v>
      </c>
      <c r="E171" s="7">
        <f t="shared" si="20"/>
        <v>4551080.3606140809</v>
      </c>
      <c r="F171" s="7">
        <f>(D171+E171)*('28-FFU'!$D$22)</f>
        <v>51448.639470534959</v>
      </c>
      <c r="G171" s="7">
        <f t="shared" si="22"/>
        <v>5681141.7578815911</v>
      </c>
      <c r="H171" s="653" t="s">
        <v>1353</v>
      </c>
    </row>
    <row r="172" spans="1:8" x14ac:dyDescent="0.2">
      <c r="A172" s="725">
        <f t="shared" si="21"/>
        <v>104</v>
      </c>
      <c r="C172" s="98" t="s">
        <v>1558</v>
      </c>
      <c r="D172" s="7">
        <f t="shared" si="19"/>
        <v>0</v>
      </c>
      <c r="E172" s="7">
        <f t="shared" si="20"/>
        <v>339582.16962821211</v>
      </c>
      <c r="F172" s="7">
        <f>(D172+E172)*('28-FFU'!$D$22)</f>
        <v>3103.3735317983051</v>
      </c>
      <c r="G172" s="7">
        <f t="shared" si="22"/>
        <v>342685.54316001042</v>
      </c>
      <c r="H172" s="653" t="s">
        <v>1353</v>
      </c>
    </row>
    <row r="173" spans="1:8" x14ac:dyDescent="0.2">
      <c r="A173" s="725">
        <f t="shared" si="21"/>
        <v>105</v>
      </c>
      <c r="C173" s="98" t="s">
        <v>1559</v>
      </c>
      <c r="D173" s="7">
        <f t="shared" si="19"/>
        <v>60791.597043154165</v>
      </c>
      <c r="E173" s="7">
        <f t="shared" si="20"/>
        <v>4716251.7617652519</v>
      </c>
      <c r="F173" s="7">
        <f>(D173+E173)*('28-FFU'!$D$22)</f>
        <v>43656.443847478258</v>
      </c>
      <c r="G173" s="7">
        <f t="shared" si="22"/>
        <v>4820699.8026558841</v>
      </c>
      <c r="H173" s="653" t="s">
        <v>1353</v>
      </c>
    </row>
    <row r="174" spans="1:8" x14ac:dyDescent="0.2">
      <c r="A174" s="725">
        <f t="shared" si="21"/>
        <v>106</v>
      </c>
      <c r="C174" s="98" t="s">
        <v>1560</v>
      </c>
      <c r="D174" s="7">
        <f t="shared" si="19"/>
        <v>0</v>
      </c>
      <c r="E174" s="7">
        <f t="shared" si="20"/>
        <v>428670.54225752217</v>
      </c>
      <c r="F174" s="7">
        <f>(D174+E174)*('28-FFU'!$D$22)</f>
        <v>3917.5343515830441</v>
      </c>
      <c r="G174" s="7">
        <f t="shared" si="22"/>
        <v>432588.07660910522</v>
      </c>
      <c r="H174" s="653" t="s">
        <v>1353</v>
      </c>
    </row>
    <row r="175" spans="1:8" x14ac:dyDescent="0.2">
      <c r="A175" s="725">
        <f t="shared" si="21"/>
        <v>107</v>
      </c>
      <c r="C175" s="98" t="s">
        <v>1561</v>
      </c>
      <c r="D175" s="7">
        <f t="shared" si="19"/>
        <v>0</v>
      </c>
      <c r="E175" s="7">
        <f t="shared" si="20"/>
        <v>3282808.7753547523</v>
      </c>
      <c r="F175" s="7">
        <f>(D175+E175)*('28-FFU'!$D$22)</f>
        <v>30000.932836212014</v>
      </c>
      <c r="G175" s="7">
        <f t="shared" si="22"/>
        <v>3312809.7081909645</v>
      </c>
      <c r="H175" s="653" t="s">
        <v>1353</v>
      </c>
    </row>
    <row r="176" spans="1:8" x14ac:dyDescent="0.2">
      <c r="A176" s="725">
        <f t="shared" si="21"/>
        <v>108</v>
      </c>
      <c r="C176" s="98" t="s">
        <v>1562</v>
      </c>
      <c r="D176" s="7">
        <f t="shared" si="19"/>
        <v>0</v>
      </c>
      <c r="E176" s="7">
        <f t="shared" si="20"/>
        <v>274599.2779205729</v>
      </c>
      <c r="F176" s="7">
        <f>(D176+E176)*('28-FFU'!$D$22)</f>
        <v>2509.5078810605319</v>
      </c>
      <c r="G176" s="7">
        <f t="shared" si="22"/>
        <v>277108.78580163344</v>
      </c>
      <c r="H176" s="653" t="s">
        <v>1353</v>
      </c>
    </row>
    <row r="177" spans="1:11" x14ac:dyDescent="0.2">
      <c r="A177" s="725">
        <f t="shared" si="21"/>
        <v>109</v>
      </c>
      <c r="C177" s="98" t="s">
        <v>1563</v>
      </c>
      <c r="D177" s="7">
        <f t="shared" si="19"/>
        <v>0</v>
      </c>
      <c r="E177" s="7">
        <f t="shared" si="20"/>
        <v>441856.31249645376</v>
      </c>
      <c r="F177" s="7">
        <f>(D177+E177)*('28-FFU'!$D$22)</f>
        <v>4038.0364686425919</v>
      </c>
      <c r="G177" s="7">
        <f t="shared" si="22"/>
        <v>445894.34896509635</v>
      </c>
      <c r="H177" s="653" t="s">
        <v>1353</v>
      </c>
    </row>
    <row r="178" spans="1:11" x14ac:dyDescent="0.2">
      <c r="A178" s="725">
        <f t="shared" si="21"/>
        <v>110</v>
      </c>
      <c r="C178" s="489"/>
      <c r="D178" s="625" t="s">
        <v>88</v>
      </c>
      <c r="E178" s="625" t="s">
        <v>88</v>
      </c>
      <c r="F178" s="625" t="s">
        <v>88</v>
      </c>
      <c r="G178" s="625" t="s">
        <v>88</v>
      </c>
      <c r="H178" s="653" t="s">
        <v>1353</v>
      </c>
    </row>
    <row r="179" spans="1:11" x14ac:dyDescent="0.2">
      <c r="A179" s="725">
        <f t="shared" si="21"/>
        <v>111</v>
      </c>
      <c r="C179" s="489"/>
      <c r="D179" s="625" t="s">
        <v>88</v>
      </c>
      <c r="E179" s="625" t="s">
        <v>88</v>
      </c>
      <c r="F179" s="625" t="s">
        <v>88</v>
      </c>
      <c r="G179" s="625" t="s">
        <v>88</v>
      </c>
      <c r="H179" s="653" t="s">
        <v>1353</v>
      </c>
    </row>
    <row r="180" spans="1:11" x14ac:dyDescent="0.2">
      <c r="A180" s="725">
        <f t="shared" si="21"/>
        <v>112</v>
      </c>
      <c r="C180" s="98" t="s">
        <v>227</v>
      </c>
      <c r="D180" s="7">
        <f>SUM(D169:D179)</f>
        <v>78525584.1204523</v>
      </c>
      <c r="E180" s="7">
        <f>SUM(E169:E179)</f>
        <v>74128568.743108839</v>
      </c>
      <c r="F180" s="7">
        <f>SUM(F169:F179)</f>
        <v>1395075.7721895126</v>
      </c>
      <c r="G180" s="7">
        <f>SUM(G169:G179)</f>
        <v>154049228.63575065</v>
      </c>
    </row>
    <row r="182" spans="1:11" x14ac:dyDescent="0.2">
      <c r="B182" s="1" t="s">
        <v>267</v>
      </c>
    </row>
    <row r="183" spans="1:11" x14ac:dyDescent="0.2">
      <c r="B183" s="116" t="str">
        <f>"1) (Sum Lines "&amp;A64&amp;" to "&amp;A67&amp;") * (FF + U Factors from 28-FFU) for Prior Year TRR"</f>
        <v>1) (Sum Lines 33 to 36) * (FF + U Factors from 28-FFU) for Prior Year TRR</v>
      </c>
      <c r="C183" s="14"/>
      <c r="D183" s="14"/>
      <c r="E183" s="14"/>
      <c r="F183" s="14"/>
      <c r="G183" s="14"/>
      <c r="H183" s="14"/>
      <c r="I183" s="14"/>
      <c r="J183" s="14"/>
      <c r="K183" s="14"/>
    </row>
    <row r="184" spans="1:11" x14ac:dyDescent="0.2">
      <c r="B184" s="47" t="str">
        <f>"(Sum Lines "&amp;A65&amp;" to "&amp;A68&amp;") * (FF Factor from 28-FFU) for True Up TRR"</f>
        <v>(Sum Lines 34 to 37) * (FF Factor from 28-FFU) for True Up TRR</v>
      </c>
      <c r="C184" s="14"/>
      <c r="D184" s="14"/>
      <c r="E184" s="14"/>
      <c r="F184" s="14"/>
      <c r="G184" s="14"/>
      <c r="H184" s="14"/>
      <c r="I184" s="14"/>
      <c r="J184" s="14"/>
      <c r="K184" s="14"/>
    </row>
    <row r="185" spans="1:11" x14ac:dyDescent="0.2">
      <c r="B185" s="15"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C185" s="14"/>
      <c r="D185" s="14"/>
      <c r="E185" s="14"/>
      <c r="F185" s="14"/>
      <c r="G185" s="14"/>
      <c r="H185" s="14"/>
      <c r="I185" s="14"/>
      <c r="J185" s="14"/>
      <c r="K185" s="14"/>
    </row>
    <row r="186" spans="1:11" x14ac:dyDescent="0.2">
      <c r="B186" s="47"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C186" s="14"/>
      <c r="D186" s="14"/>
      <c r="E186" s="14"/>
      <c r="F186" s="14"/>
      <c r="G186" s="14"/>
      <c r="H186" s="14"/>
      <c r="I186" s="14"/>
      <c r="J186" s="14"/>
      <c r="K186" s="14"/>
    </row>
    <row r="187" spans="1:11" x14ac:dyDescent="0.2">
      <c r="B187" s="120" t="str">
        <f>"ROE Adder is from Lines "&amp;A66&amp;" and "&amp;A67&amp;".  FF&amp;U Expenses are based on FF&amp;U Factors on 28-FFU."</f>
        <v>ROE Adder is from Lines 35 and 36.  FF&amp;U Expenses are based on FF&amp;U Factors on 28-FFU.</v>
      </c>
      <c r="C187" s="14"/>
      <c r="D187" s="14"/>
      <c r="E187" s="14"/>
      <c r="F187" s="14"/>
      <c r="G187" s="14"/>
      <c r="H187" s="14"/>
      <c r="I187" s="14"/>
      <c r="J187" s="14"/>
      <c r="K187" s="14"/>
    </row>
    <row r="188" spans="1:11" x14ac:dyDescent="0.2">
      <c r="B188" s="15"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C188" s="14"/>
      <c r="D188" s="14"/>
      <c r="E188" s="14"/>
      <c r="F188" s="14"/>
      <c r="G188" s="14"/>
      <c r="H188" s="14"/>
      <c r="I188" s="14"/>
      <c r="J188" s="14"/>
      <c r="K188" s="14"/>
    </row>
    <row r="189" spans="1:11" x14ac:dyDescent="0.2">
      <c r="B189" s="47"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C189" s="14"/>
      <c r="D189" s="14"/>
      <c r="E189" s="14"/>
      <c r="F189" s="14"/>
      <c r="G189" s="14"/>
      <c r="H189" s="14"/>
      <c r="I189" s="14"/>
      <c r="J189" s="14"/>
      <c r="K189" s="14"/>
    </row>
    <row r="190" spans="1:11" x14ac:dyDescent="0.2">
      <c r="B190" s="120" t="str">
        <f>"ROE Adder is from Lines "&amp;A66&amp;" and "&amp;A67&amp;".  FF Expenses is based on FF Factor on 28-FFU."</f>
        <v>ROE Adder is from Lines 35 and 36.  FF Expenses is based on FF Factor on 28-FFU.</v>
      </c>
      <c r="C190" s="14"/>
      <c r="D190" s="14"/>
      <c r="E190" s="14"/>
      <c r="F190" s="14"/>
      <c r="G190" s="14"/>
      <c r="H190" s="14"/>
      <c r="I190" s="14"/>
      <c r="J190" s="14"/>
      <c r="K190" s="14"/>
    </row>
    <row r="191" spans="1:11" x14ac:dyDescent="0.2">
      <c r="B191" s="15" t="str">
        <f>"4) Project contribution to total IFPTRR is based on fraction of Forecast Period CWIP Balances on Lines "&amp;A9&amp;" to "&amp;A20&amp;", Col 3."</f>
        <v>4) Project contribution to total IFPTRR is based on fraction of Forecast Period CWIP Balances on Lines 1 to 12, Col 3.</v>
      </c>
      <c r="C191" s="14"/>
      <c r="D191" s="14"/>
      <c r="E191" s="14"/>
      <c r="F191" s="14"/>
      <c r="G191" s="14"/>
      <c r="H191" s="14"/>
      <c r="I191" s="14"/>
      <c r="J191" s="14"/>
      <c r="K191" s="14"/>
    </row>
    <row r="192" spans="1:11" x14ac:dyDescent="0.2">
      <c r="B192" s="15" t="str">
        <f>"5) Column 1 is from Lines "&amp;A77&amp;" to "&amp;A87&amp;", Sum of Column 1-3 (no FF&amp;U)."</f>
        <v>5) Column 1 is from Lines 39 to 49, Sum of Column 1-3 (no FF&amp;U).</v>
      </c>
      <c r="C192" s="14"/>
      <c r="D192" s="14"/>
      <c r="E192" s="14"/>
      <c r="F192" s="14"/>
      <c r="G192" s="14"/>
      <c r="H192" s="14"/>
      <c r="I192" s="14"/>
      <c r="J192" s="14"/>
      <c r="K192" s="14"/>
    </row>
    <row r="193" spans="2:11" x14ac:dyDescent="0.2">
      <c r="B193" s="47" t="str">
        <f>"Column 2 is from Lines "&amp;A120&amp;" to "&amp;A130&amp;" (no FF&amp;U)."</f>
        <v>Column 2 is from Lines 68 to 78 (no FF&amp;U).</v>
      </c>
      <c r="C193" s="14"/>
      <c r="D193" s="14"/>
      <c r="E193" s="14"/>
      <c r="F193" s="14"/>
      <c r="G193" s="14"/>
      <c r="H193" s="14"/>
      <c r="I193" s="14"/>
      <c r="J193" s="14"/>
      <c r="K193" s="14"/>
    </row>
    <row r="194" spans="2:11" x14ac:dyDescent="0.2">
      <c r="B194" s="648" t="str">
        <f>"Column 3 is the product of (C1 + C2) and the sum of FF and U factors (28-FFU, L"&amp;'28-FFU'!A22&amp;")"</f>
        <v>Column 3 is the product of (C1 + C2) and the sum of FF and U factors (28-FFU, L5)</v>
      </c>
      <c r="C194" s="14"/>
      <c r="D194" s="14"/>
      <c r="E194" s="14"/>
      <c r="F194" s="14"/>
      <c r="G194" s="14"/>
      <c r="H194" s="14"/>
      <c r="I194" s="14"/>
      <c r="J194" s="14"/>
      <c r="K194" s="14"/>
    </row>
    <row r="195" spans="2:11" x14ac:dyDescent="0.2">
      <c r="B195" s="651" t="s">
        <v>1961</v>
      </c>
      <c r="C195" s="14"/>
      <c r="D195" s="14"/>
      <c r="E195" s="14"/>
      <c r="F195" s="14"/>
      <c r="G195" s="14"/>
      <c r="H195" s="14"/>
      <c r="I195" s="14"/>
      <c r="J195" s="14"/>
      <c r="K195" s="14"/>
    </row>
  </sheetData>
  <pageMargins left="0.7" right="0.7" top="0.75" bottom="0.75" header="0.3" footer="0.3"/>
  <pageSetup scale="70" orientation="portrait" cellComments="asDisplayed" r:id="rId1"/>
  <headerFooter>
    <oddHeader xml:space="preserve">&amp;CSchedule 24
CWIP TRR
&amp;"Arial,Bold"Exhibit G-1&amp;"Arial,Regular"
</oddHeader>
    <oddFooter>&amp;R24-CWIPTRR</oddFooter>
  </headerFooter>
  <rowBreaks count="2" manualBreakCount="2">
    <brk id="70" max="16383" man="1"/>
    <brk id="1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heetViews>
  <sheetFormatPr defaultRowHeight="12.75" x14ac:dyDescent="0.2"/>
  <cols>
    <col min="1" max="1" width="2.7109375" customWidth="1"/>
    <col min="2" max="2" width="18.7109375" customWidth="1"/>
    <col min="3" max="3" width="10.7109375" customWidth="1"/>
    <col min="4" max="4" width="66.7109375" customWidth="1"/>
  </cols>
  <sheetData>
    <row r="1" spans="1:4" x14ac:dyDescent="0.2">
      <c r="A1" s="1" t="s">
        <v>1287</v>
      </c>
      <c r="C1" s="1"/>
    </row>
    <row r="3" spans="1:4" x14ac:dyDescent="0.2">
      <c r="B3" s="3" t="s">
        <v>1288</v>
      </c>
      <c r="C3" s="3" t="s">
        <v>1479</v>
      </c>
      <c r="D3" s="440" t="s">
        <v>594</v>
      </c>
    </row>
    <row r="4" spans="1:4" x14ac:dyDescent="0.2">
      <c r="B4" s="403" t="s">
        <v>1227</v>
      </c>
      <c r="C4" s="63"/>
      <c r="D4" s="12" t="s">
        <v>1290</v>
      </c>
    </row>
    <row r="5" spans="1:4" x14ac:dyDescent="0.2">
      <c r="B5" s="866" t="s">
        <v>1289</v>
      </c>
      <c r="C5" s="63">
        <v>1</v>
      </c>
      <c r="D5" s="649" t="s">
        <v>3188</v>
      </c>
    </row>
    <row r="6" spans="1:4" x14ac:dyDescent="0.2">
      <c r="B6" s="866" t="s">
        <v>1238</v>
      </c>
      <c r="C6" s="63">
        <v>2</v>
      </c>
      <c r="D6" s="12" t="s">
        <v>1297</v>
      </c>
    </row>
    <row r="7" spans="1:4" x14ac:dyDescent="0.2">
      <c r="B7" s="866" t="s">
        <v>1239</v>
      </c>
      <c r="C7" s="63">
        <v>3</v>
      </c>
      <c r="D7" s="12" t="s">
        <v>1298</v>
      </c>
    </row>
    <row r="8" spans="1:4" x14ac:dyDescent="0.2">
      <c r="B8" s="866" t="s">
        <v>1978</v>
      </c>
      <c r="C8" s="63">
        <v>4</v>
      </c>
      <c r="D8" s="649" t="s">
        <v>1979</v>
      </c>
    </row>
    <row r="9" spans="1:4" x14ac:dyDescent="0.2">
      <c r="B9" s="866" t="s">
        <v>1228</v>
      </c>
      <c r="C9" s="63">
        <v>5</v>
      </c>
      <c r="D9" s="12" t="s">
        <v>1291</v>
      </c>
    </row>
    <row r="10" spans="1:4" x14ac:dyDescent="0.2">
      <c r="B10" s="866" t="s">
        <v>1231</v>
      </c>
      <c r="C10" s="63">
        <v>6</v>
      </c>
      <c r="D10" s="12" t="s">
        <v>1294</v>
      </c>
    </row>
    <row r="11" spans="1:4" x14ac:dyDescent="0.2">
      <c r="B11" s="866" t="s">
        <v>1232</v>
      </c>
      <c r="C11" s="63">
        <v>7</v>
      </c>
      <c r="D11" s="12" t="s">
        <v>1798</v>
      </c>
    </row>
    <row r="12" spans="1:4" x14ac:dyDescent="0.2">
      <c r="B12" s="866" t="s">
        <v>1241</v>
      </c>
      <c r="C12" s="63">
        <v>8</v>
      </c>
      <c r="D12" s="12" t="s">
        <v>1299</v>
      </c>
    </row>
    <row r="13" spans="1:4" x14ac:dyDescent="0.2">
      <c r="B13" s="866" t="s">
        <v>231</v>
      </c>
      <c r="C13" s="63">
        <v>9</v>
      </c>
      <c r="D13" s="12" t="s">
        <v>112</v>
      </c>
    </row>
    <row r="14" spans="1:4" x14ac:dyDescent="0.2">
      <c r="B14" s="866" t="s">
        <v>2</v>
      </c>
      <c r="C14" s="63">
        <v>10</v>
      </c>
      <c r="D14" s="649" t="s">
        <v>3189</v>
      </c>
    </row>
    <row r="15" spans="1:4" x14ac:dyDescent="0.2">
      <c r="B15" s="866" t="s">
        <v>1233</v>
      </c>
      <c r="C15" s="63">
        <v>11</v>
      </c>
      <c r="D15" s="12" t="s">
        <v>1459</v>
      </c>
    </row>
    <row r="16" spans="1:4" x14ac:dyDescent="0.2">
      <c r="B16" s="866" t="s">
        <v>1234</v>
      </c>
      <c r="C16" s="63">
        <v>12</v>
      </c>
      <c r="D16" s="12" t="s">
        <v>1295</v>
      </c>
    </row>
    <row r="17" spans="2:4" x14ac:dyDescent="0.2">
      <c r="B17" s="866" t="s">
        <v>1240</v>
      </c>
      <c r="C17" s="63">
        <v>13</v>
      </c>
      <c r="D17" s="12" t="s">
        <v>1309</v>
      </c>
    </row>
    <row r="18" spans="2:4" x14ac:dyDescent="0.2">
      <c r="B18" s="866" t="s">
        <v>1235</v>
      </c>
      <c r="C18" s="63">
        <v>14</v>
      </c>
      <c r="D18" s="12" t="s">
        <v>1296</v>
      </c>
    </row>
    <row r="19" spans="2:4" x14ac:dyDescent="0.2">
      <c r="B19" s="866" t="s">
        <v>1236</v>
      </c>
      <c r="C19" s="63">
        <v>15</v>
      </c>
      <c r="D19" s="649" t="s">
        <v>2470</v>
      </c>
    </row>
    <row r="20" spans="2:4" x14ac:dyDescent="0.2">
      <c r="B20" s="866" t="s">
        <v>1237</v>
      </c>
      <c r="C20" s="63">
        <v>16</v>
      </c>
      <c r="D20" s="12" t="s">
        <v>1471</v>
      </c>
    </row>
    <row r="21" spans="2:4" x14ac:dyDescent="0.2">
      <c r="B21" s="866" t="s">
        <v>1229</v>
      </c>
      <c r="C21" s="63">
        <v>17</v>
      </c>
      <c r="D21" s="12" t="s">
        <v>1292</v>
      </c>
    </row>
    <row r="22" spans="2:4" x14ac:dyDescent="0.2">
      <c r="B22" s="866" t="s">
        <v>1230</v>
      </c>
      <c r="C22" s="63">
        <v>18</v>
      </c>
      <c r="D22" s="12" t="s">
        <v>1293</v>
      </c>
    </row>
    <row r="23" spans="2:4" x14ac:dyDescent="0.2">
      <c r="B23" s="866" t="s">
        <v>1242</v>
      </c>
      <c r="C23" s="63">
        <v>19</v>
      </c>
      <c r="D23" s="12" t="s">
        <v>1300</v>
      </c>
    </row>
    <row r="24" spans="2:4" x14ac:dyDescent="0.2">
      <c r="B24" s="866" t="s">
        <v>1243</v>
      </c>
      <c r="C24" s="63">
        <v>20</v>
      </c>
      <c r="D24" s="649" t="s">
        <v>319</v>
      </c>
    </row>
    <row r="25" spans="2:4" x14ac:dyDescent="0.2">
      <c r="B25" s="866" t="s">
        <v>1266</v>
      </c>
      <c r="C25" s="63">
        <v>21</v>
      </c>
      <c r="D25" s="12" t="s">
        <v>1301</v>
      </c>
    </row>
    <row r="26" spans="2:4" x14ac:dyDescent="0.2">
      <c r="B26" s="866" t="s">
        <v>1267</v>
      </c>
      <c r="C26" s="63">
        <v>22</v>
      </c>
      <c r="D26" s="12" t="s">
        <v>1470</v>
      </c>
    </row>
    <row r="27" spans="2:4" x14ac:dyDescent="0.2">
      <c r="B27" s="866" t="s">
        <v>1268</v>
      </c>
      <c r="C27" s="63">
        <v>23</v>
      </c>
      <c r="D27" s="12" t="s">
        <v>1302</v>
      </c>
    </row>
    <row r="28" spans="2:4" ht="12.75" customHeight="1" x14ac:dyDescent="0.2">
      <c r="B28" s="866" t="s">
        <v>1774</v>
      </c>
      <c r="C28" s="63">
        <v>24</v>
      </c>
      <c r="D28" s="12" t="s">
        <v>1775</v>
      </c>
    </row>
    <row r="29" spans="2:4" x14ac:dyDescent="0.2">
      <c r="B29" s="866" t="s">
        <v>1712</v>
      </c>
      <c r="C29" s="63">
        <v>25</v>
      </c>
      <c r="D29" s="12" t="s">
        <v>1713</v>
      </c>
    </row>
    <row r="30" spans="2:4" x14ac:dyDescent="0.2">
      <c r="B30" s="866" t="s">
        <v>1271</v>
      </c>
      <c r="C30" s="63">
        <v>26</v>
      </c>
      <c r="D30" s="12" t="s">
        <v>1303</v>
      </c>
    </row>
    <row r="31" spans="2:4" x14ac:dyDescent="0.2">
      <c r="B31" s="866" t="s">
        <v>1270</v>
      </c>
      <c r="C31" s="63">
        <v>27</v>
      </c>
      <c r="D31" s="12" t="s">
        <v>232</v>
      </c>
    </row>
    <row r="32" spans="2:4" x14ac:dyDescent="0.2">
      <c r="B32" s="866" t="s">
        <v>1269</v>
      </c>
      <c r="C32" s="63">
        <v>28</v>
      </c>
      <c r="D32" s="12" t="s">
        <v>1304</v>
      </c>
    </row>
    <row r="33" spans="2:4" x14ac:dyDescent="0.2">
      <c r="B33" s="866" t="s">
        <v>1272</v>
      </c>
      <c r="C33" s="63">
        <v>29</v>
      </c>
      <c r="D33" s="12" t="s">
        <v>1305</v>
      </c>
    </row>
    <row r="34" spans="2:4" x14ac:dyDescent="0.2">
      <c r="B34" s="866" t="s">
        <v>1273</v>
      </c>
      <c r="C34" s="63">
        <v>30</v>
      </c>
      <c r="D34" s="12" t="s">
        <v>1472</v>
      </c>
    </row>
    <row r="35" spans="2:4" x14ac:dyDescent="0.2">
      <c r="B35" s="866" t="s">
        <v>1274</v>
      </c>
      <c r="C35" s="63">
        <v>31</v>
      </c>
      <c r="D35" s="12" t="s">
        <v>1306</v>
      </c>
    </row>
    <row r="36" spans="2:4" x14ac:dyDescent="0.2">
      <c r="B36" s="866" t="s">
        <v>1275</v>
      </c>
      <c r="C36" s="63">
        <v>32</v>
      </c>
      <c r="D36" s="12" t="s">
        <v>1307</v>
      </c>
    </row>
    <row r="37" spans="2:4" x14ac:dyDescent="0.2">
      <c r="B37" s="866" t="s">
        <v>1276</v>
      </c>
      <c r="C37" s="630">
        <v>33</v>
      </c>
      <c r="D37" s="12" t="s">
        <v>1308</v>
      </c>
    </row>
    <row r="38" spans="2:4" x14ac:dyDescent="0.2">
      <c r="B38" s="1046" t="s">
        <v>3015</v>
      </c>
      <c r="C38" s="1047">
        <v>34</v>
      </c>
      <c r="D38" s="651" t="s">
        <v>3074</v>
      </c>
    </row>
    <row r="39" spans="2:4" x14ac:dyDescent="0.2">
      <c r="B39" s="1046" t="s">
        <v>548</v>
      </c>
      <c r="C39" s="1047">
        <v>35</v>
      </c>
      <c r="D39" s="651" t="s">
        <v>3005</v>
      </c>
    </row>
    <row r="40" spans="2:4" x14ac:dyDescent="0.2">
      <c r="B40" s="12"/>
    </row>
    <row r="41" spans="2:4" x14ac:dyDescent="0.2">
      <c r="B41" s="12"/>
    </row>
    <row r="42" spans="2:4" x14ac:dyDescent="0.2">
      <c r="B42" s="12"/>
    </row>
    <row r="43" spans="2:4" x14ac:dyDescent="0.2">
      <c r="B43" s="12"/>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s>
  <pageMargins left="0.7" right="0.7" top="0.75" bottom="0.75" header="0.3" footer="0.3"/>
  <pageSetup scale="90" orientation="portrait" cellComments="asDisplayed" r:id="rId1"/>
  <headerFooter>
    <oddHeader>&amp;C&amp;"Arial,Bold"Exhibit G-1</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workbookViewId="0"/>
  </sheetViews>
  <sheetFormatPr defaultRowHeight="12.75" x14ac:dyDescent="0.2"/>
  <cols>
    <col min="1" max="1" width="4.7109375" customWidth="1"/>
    <col min="6" max="6" width="11.7109375" customWidth="1"/>
    <col min="7" max="7" width="21.7109375" customWidth="1"/>
    <col min="8" max="9" width="14.7109375" customWidth="1"/>
  </cols>
  <sheetData>
    <row r="1" spans="1:12" x14ac:dyDescent="0.2">
      <c r="A1" s="1" t="s">
        <v>1673</v>
      </c>
      <c r="B1" s="244"/>
      <c r="C1" s="244"/>
      <c r="D1" s="244"/>
      <c r="E1" s="244"/>
      <c r="F1" s="244"/>
      <c r="G1" s="244"/>
      <c r="H1" s="244"/>
      <c r="I1" s="244"/>
      <c r="J1" s="244"/>
      <c r="K1" s="244"/>
      <c r="L1" s="244"/>
    </row>
    <row r="2" spans="1:12" x14ac:dyDescent="0.2">
      <c r="A2" s="1"/>
      <c r="B2" s="244"/>
      <c r="C2" s="244"/>
      <c r="D2" s="244"/>
      <c r="E2" s="244"/>
      <c r="F2" s="244"/>
      <c r="G2" s="244"/>
      <c r="H2" s="609" t="s">
        <v>18</v>
      </c>
      <c r="I2" s="469"/>
      <c r="J2" s="244"/>
      <c r="K2" s="244"/>
      <c r="L2" s="244"/>
    </row>
    <row r="3" spans="1:12" x14ac:dyDescent="0.2">
      <c r="A3" s="1"/>
      <c r="B3" s="244" t="s">
        <v>1674</v>
      </c>
      <c r="C3" s="244"/>
      <c r="D3" s="244"/>
      <c r="E3" s="244"/>
      <c r="F3" s="244"/>
      <c r="G3" s="244"/>
      <c r="H3" s="254"/>
      <c r="I3" s="254"/>
      <c r="J3" s="244"/>
      <c r="K3" s="244"/>
      <c r="L3" s="244"/>
    </row>
    <row r="4" spans="1:12" x14ac:dyDescent="0.2">
      <c r="A4" s="45"/>
      <c r="B4" s="254" t="s">
        <v>2751</v>
      </c>
      <c r="C4" s="254"/>
      <c r="D4" s="254"/>
      <c r="E4" s="254"/>
      <c r="F4" s="254"/>
      <c r="G4" s="254"/>
      <c r="H4" s="254"/>
      <c r="I4" s="254"/>
      <c r="J4" s="244"/>
      <c r="K4" s="244"/>
      <c r="L4" s="244"/>
    </row>
    <row r="5" spans="1:12" x14ac:dyDescent="0.2">
      <c r="A5" s="45"/>
      <c r="B5" s="254" t="s">
        <v>2538</v>
      </c>
      <c r="C5" s="254"/>
      <c r="D5" s="254"/>
      <c r="E5" s="254"/>
      <c r="F5" s="254"/>
      <c r="G5" s="254"/>
      <c r="H5" s="254"/>
      <c r="I5" s="254"/>
      <c r="J5" s="244"/>
      <c r="K5" s="244"/>
      <c r="L5" s="244"/>
    </row>
    <row r="6" spans="1:12" x14ac:dyDescent="0.2">
      <c r="A6" s="45"/>
      <c r="B6" s="254"/>
      <c r="C6" s="254"/>
      <c r="D6" s="254"/>
      <c r="E6" s="254"/>
      <c r="F6" s="254"/>
      <c r="G6" s="254"/>
      <c r="H6" s="254"/>
      <c r="I6" s="254"/>
      <c r="J6" s="244"/>
      <c r="K6" s="244"/>
      <c r="L6" s="244"/>
    </row>
    <row r="7" spans="1:12" x14ac:dyDescent="0.2">
      <c r="A7" s="45"/>
      <c r="B7" s="254" t="s">
        <v>2752</v>
      </c>
      <c r="C7" s="254"/>
      <c r="D7" s="254"/>
      <c r="E7" s="254"/>
      <c r="F7" s="254"/>
      <c r="G7" s="254"/>
      <c r="H7" s="254"/>
      <c r="I7" s="254"/>
      <c r="J7" s="244"/>
      <c r="K7" s="244"/>
      <c r="L7" s="244"/>
    </row>
    <row r="8" spans="1:12" x14ac:dyDescent="0.2">
      <c r="A8" s="45"/>
      <c r="B8" s="254" t="s">
        <v>1675</v>
      </c>
      <c r="C8" s="254"/>
      <c r="D8" s="254"/>
      <c r="E8" s="254"/>
      <c r="F8" s="254"/>
      <c r="G8" s="254"/>
      <c r="H8" s="254"/>
      <c r="I8" s="254"/>
      <c r="J8" s="244"/>
      <c r="K8" s="244"/>
      <c r="L8" s="244"/>
    </row>
    <row r="9" spans="1:12" x14ac:dyDescent="0.2">
      <c r="A9" s="45"/>
      <c r="B9" s="254" t="s">
        <v>1676</v>
      </c>
      <c r="C9" s="254"/>
      <c r="D9" s="254"/>
      <c r="E9" s="254"/>
      <c r="F9" s="254"/>
      <c r="G9" s="254"/>
      <c r="H9" s="254"/>
      <c r="I9" s="254"/>
      <c r="J9" s="244"/>
      <c r="K9" s="244"/>
      <c r="L9" s="244"/>
    </row>
    <row r="10" spans="1:12" x14ac:dyDescent="0.2">
      <c r="A10" s="45"/>
      <c r="B10" s="254"/>
      <c r="C10" s="254"/>
      <c r="D10" s="254"/>
      <c r="E10" s="254"/>
      <c r="F10" s="254"/>
      <c r="G10" s="254"/>
      <c r="H10" s="610" t="s">
        <v>1677</v>
      </c>
      <c r="I10" s="254"/>
      <c r="J10" s="244"/>
      <c r="K10" s="244"/>
      <c r="L10" s="244"/>
    </row>
    <row r="11" spans="1:12" ht="15" x14ac:dyDescent="0.25">
      <c r="A11" s="45"/>
      <c r="B11" s="254"/>
      <c r="C11" s="254"/>
      <c r="D11" s="254"/>
      <c r="E11" s="254"/>
      <c r="F11" s="254"/>
      <c r="G11" s="610" t="s">
        <v>203</v>
      </c>
      <c r="H11" s="1161" t="s">
        <v>1678</v>
      </c>
      <c r="I11" s="610" t="s">
        <v>366</v>
      </c>
      <c r="J11" s="244"/>
      <c r="K11" s="244"/>
      <c r="L11" s="244"/>
    </row>
    <row r="12" spans="1:12" x14ac:dyDescent="0.2">
      <c r="A12" s="1067" t="s">
        <v>372</v>
      </c>
      <c r="B12" s="254"/>
      <c r="C12" s="254"/>
      <c r="D12" s="254"/>
      <c r="E12" s="254"/>
      <c r="F12" s="254"/>
      <c r="G12" s="611" t="s">
        <v>329</v>
      </c>
      <c r="H12" s="611" t="s">
        <v>329</v>
      </c>
      <c r="I12" s="611" t="s">
        <v>1679</v>
      </c>
      <c r="J12" s="244"/>
      <c r="K12" s="244"/>
      <c r="L12" s="244"/>
    </row>
    <row r="13" spans="1:12" x14ac:dyDescent="0.2">
      <c r="A13" s="117">
        <v>1</v>
      </c>
      <c r="B13" s="254" t="s">
        <v>1680</v>
      </c>
      <c r="C13" s="254"/>
      <c r="D13" s="254"/>
      <c r="E13" s="254"/>
      <c r="F13" s="254"/>
      <c r="G13" s="612" t="s">
        <v>257</v>
      </c>
      <c r="H13" s="612" t="s">
        <v>257</v>
      </c>
      <c r="I13" s="1047" t="s">
        <v>259</v>
      </c>
      <c r="J13" s="244"/>
      <c r="K13" s="244"/>
      <c r="L13" s="244"/>
    </row>
    <row r="14" spans="1:12" x14ac:dyDescent="0.2">
      <c r="A14" s="117">
        <f>A13+1</f>
        <v>2</v>
      </c>
      <c r="B14" s="254" t="s">
        <v>1681</v>
      </c>
      <c r="C14" s="254"/>
      <c r="D14" s="254"/>
      <c r="E14" s="254"/>
      <c r="F14" s="254"/>
      <c r="G14" s="612" t="s">
        <v>257</v>
      </c>
      <c r="H14" s="612" t="s">
        <v>257</v>
      </c>
      <c r="I14" s="612" t="s">
        <v>257</v>
      </c>
      <c r="J14" s="244"/>
      <c r="K14" s="244"/>
      <c r="L14" s="244"/>
    </row>
    <row r="15" spans="1:12" x14ac:dyDescent="0.2">
      <c r="A15" s="117">
        <f>A14+1</f>
        <v>3</v>
      </c>
      <c r="B15" s="254" t="s">
        <v>1997</v>
      </c>
      <c r="C15" s="254"/>
      <c r="D15" s="254"/>
      <c r="E15" s="254"/>
      <c r="F15" s="254"/>
      <c r="G15" s="612" t="s">
        <v>257</v>
      </c>
      <c r="H15" s="612" t="s">
        <v>257</v>
      </c>
      <c r="I15" s="612" t="s">
        <v>257</v>
      </c>
      <c r="J15" s="244"/>
      <c r="K15" s="244"/>
      <c r="L15" s="244"/>
    </row>
    <row r="16" spans="1:12" x14ac:dyDescent="0.2">
      <c r="A16" s="117">
        <f>A15+1</f>
        <v>4</v>
      </c>
      <c r="B16" s="254" t="s">
        <v>1682</v>
      </c>
      <c r="C16" s="254"/>
      <c r="D16" s="254"/>
      <c r="E16" s="254"/>
      <c r="F16" s="254"/>
      <c r="G16" s="612" t="s">
        <v>257</v>
      </c>
      <c r="H16" s="612" t="s">
        <v>257</v>
      </c>
      <c r="I16" s="612" t="s">
        <v>259</v>
      </c>
      <c r="J16" s="244"/>
      <c r="K16" s="244"/>
      <c r="L16" s="244"/>
    </row>
    <row r="17" spans="1:12" x14ac:dyDescent="0.2">
      <c r="A17" s="117">
        <f>A16+1</f>
        <v>5</v>
      </c>
      <c r="B17" s="254" t="s">
        <v>1683</v>
      </c>
      <c r="C17" s="254"/>
      <c r="D17" s="254"/>
      <c r="E17" s="254"/>
      <c r="F17" s="254"/>
      <c r="G17" s="612" t="s">
        <v>259</v>
      </c>
      <c r="H17" s="612" t="s">
        <v>257</v>
      </c>
      <c r="I17" s="612" t="s">
        <v>259</v>
      </c>
      <c r="J17" s="244"/>
      <c r="K17" s="244"/>
      <c r="L17" s="244"/>
    </row>
    <row r="18" spans="1:12" x14ac:dyDescent="0.2">
      <c r="A18" s="117">
        <f>A17+1</f>
        <v>6</v>
      </c>
      <c r="B18" s="254" t="s">
        <v>3052</v>
      </c>
      <c r="C18" s="254"/>
      <c r="D18" s="254"/>
      <c r="E18" s="254"/>
      <c r="F18" s="254"/>
      <c r="G18" s="612" t="s">
        <v>259</v>
      </c>
      <c r="H18" s="612" t="s">
        <v>257</v>
      </c>
      <c r="I18" s="612" t="s">
        <v>259</v>
      </c>
      <c r="J18" s="244"/>
      <c r="K18" s="244"/>
      <c r="L18" s="244"/>
    </row>
    <row r="19" spans="1:12" x14ac:dyDescent="0.2">
      <c r="A19" s="244"/>
      <c r="B19" s="244"/>
      <c r="C19" s="613"/>
      <c r="D19" s="254"/>
      <c r="E19" s="254"/>
      <c r="F19" s="254"/>
      <c r="G19" s="244"/>
      <c r="H19" s="244"/>
      <c r="I19" s="244"/>
      <c r="J19" s="244"/>
      <c r="K19" s="244"/>
      <c r="L19" s="244"/>
    </row>
    <row r="20" spans="1:12" x14ac:dyDescent="0.2">
      <c r="A20" s="244"/>
      <c r="B20" s="468" t="s">
        <v>1684</v>
      </c>
      <c r="C20" s="406"/>
      <c r="D20" s="254"/>
      <c r="E20" s="254"/>
      <c r="F20" s="254"/>
      <c r="G20" s="244"/>
      <c r="H20" s="244"/>
      <c r="I20" s="244"/>
      <c r="J20" s="244"/>
      <c r="K20" s="244"/>
      <c r="L20" s="244"/>
    </row>
    <row r="21" spans="1:12" x14ac:dyDescent="0.2">
      <c r="A21" s="244"/>
      <c r="B21" s="468"/>
      <c r="C21" s="406"/>
      <c r="D21" s="254"/>
      <c r="E21" s="254"/>
      <c r="F21" s="254"/>
      <c r="G21" s="244"/>
      <c r="H21" s="244"/>
      <c r="I21" s="244"/>
      <c r="J21" s="244"/>
      <c r="K21" s="244"/>
      <c r="L21" s="244"/>
    </row>
    <row r="22" spans="1:12" x14ac:dyDescent="0.2">
      <c r="A22" s="244"/>
      <c r="B22" s="614" t="s">
        <v>1685</v>
      </c>
      <c r="C22" s="408"/>
      <c r="D22" s="254"/>
      <c r="E22" s="254"/>
      <c r="F22" s="254"/>
      <c r="G22" s="244"/>
      <c r="H22" s="244"/>
      <c r="I22" s="244"/>
      <c r="J22" s="244"/>
      <c r="K22" s="244"/>
      <c r="L22" s="244"/>
    </row>
    <row r="23" spans="1:12" x14ac:dyDescent="0.2">
      <c r="A23" s="244"/>
      <c r="B23" s="264" t="s">
        <v>1686</v>
      </c>
      <c r="C23" s="408"/>
      <c r="D23" s="254"/>
      <c r="E23" s="254"/>
      <c r="F23" s="254"/>
      <c r="G23" s="244"/>
      <c r="H23" s="244"/>
      <c r="I23" s="244"/>
      <c r="J23" s="244"/>
      <c r="K23" s="244"/>
      <c r="L23" s="244"/>
    </row>
    <row r="24" spans="1:12" x14ac:dyDescent="0.2">
      <c r="A24" s="244"/>
      <c r="B24" s="264" t="s">
        <v>1687</v>
      </c>
      <c r="C24" s="244"/>
      <c r="D24" s="244"/>
      <c r="E24" s="244"/>
      <c r="F24" s="244"/>
      <c r="G24" s="244"/>
      <c r="H24" s="244"/>
      <c r="I24" s="244"/>
      <c r="J24" s="244"/>
      <c r="K24" s="244"/>
      <c r="L24" s="244"/>
    </row>
    <row r="25" spans="1:12" x14ac:dyDescent="0.2">
      <c r="A25" s="244"/>
      <c r="B25" s="244"/>
      <c r="C25" s="244"/>
      <c r="D25" s="244"/>
      <c r="E25" s="244"/>
      <c r="F25" s="244"/>
      <c r="G25" s="244"/>
      <c r="H25" s="88" t="s">
        <v>406</v>
      </c>
      <c r="I25" s="88" t="s">
        <v>390</v>
      </c>
      <c r="J25" s="244"/>
      <c r="K25" s="244"/>
      <c r="L25" s="244"/>
    </row>
    <row r="26" spans="1:12" x14ac:dyDescent="0.2">
      <c r="A26" s="244"/>
      <c r="B26" s="244"/>
      <c r="C26" s="244"/>
      <c r="D26" s="244"/>
      <c r="E26" s="244"/>
      <c r="F26" s="244"/>
      <c r="G26" s="244"/>
      <c r="H26" s="615" t="s">
        <v>1688</v>
      </c>
      <c r="I26" s="244"/>
      <c r="J26" s="244"/>
      <c r="K26" s="244"/>
      <c r="L26" s="244"/>
    </row>
    <row r="27" spans="1:12" x14ac:dyDescent="0.2">
      <c r="A27" s="244"/>
      <c r="B27" s="244"/>
      <c r="C27" s="244"/>
      <c r="D27" s="244"/>
      <c r="E27" s="244"/>
      <c r="F27" s="244"/>
      <c r="G27" s="244"/>
      <c r="H27" s="615" t="s">
        <v>329</v>
      </c>
      <c r="I27" s="247" t="s">
        <v>1689</v>
      </c>
      <c r="J27" s="244"/>
      <c r="K27" s="244"/>
      <c r="L27" s="244"/>
    </row>
    <row r="28" spans="1:12" x14ac:dyDescent="0.2">
      <c r="A28" s="244"/>
      <c r="B28" s="244"/>
      <c r="C28" s="244"/>
      <c r="D28" s="244"/>
      <c r="E28" s="244"/>
      <c r="F28" s="244"/>
      <c r="G28" s="26" t="s">
        <v>224</v>
      </c>
      <c r="H28" s="247" t="s">
        <v>1690</v>
      </c>
      <c r="I28" s="247" t="s">
        <v>1691</v>
      </c>
      <c r="J28" s="244"/>
      <c r="K28" s="244"/>
      <c r="L28" s="244"/>
    </row>
    <row r="29" spans="1:12" ht="15" x14ac:dyDescent="0.25">
      <c r="A29" s="53"/>
      <c r="B29" s="244"/>
      <c r="C29" s="244"/>
      <c r="D29" s="244"/>
      <c r="E29" s="244"/>
      <c r="F29" s="244"/>
      <c r="G29" s="25" t="s">
        <v>209</v>
      </c>
      <c r="H29" s="616" t="s">
        <v>1692</v>
      </c>
      <c r="I29" s="259" t="s">
        <v>1678</v>
      </c>
      <c r="J29" s="395"/>
      <c r="K29" s="244"/>
      <c r="L29" s="244"/>
    </row>
    <row r="30" spans="1:12" x14ac:dyDescent="0.2">
      <c r="A30" s="117">
        <f>A18+1</f>
        <v>7</v>
      </c>
      <c r="B30" s="244"/>
      <c r="C30" s="244" t="s">
        <v>1693</v>
      </c>
      <c r="D30" s="244"/>
      <c r="E30" s="244"/>
      <c r="F30" s="244"/>
      <c r="G30" s="13" t="s">
        <v>1694</v>
      </c>
      <c r="H30" s="248">
        <v>31556000</v>
      </c>
      <c r="I30" s="246">
        <v>-2176300</v>
      </c>
      <c r="J30" s="244"/>
      <c r="K30" s="244"/>
      <c r="L30" s="244"/>
    </row>
    <row r="31" spans="1:12" x14ac:dyDescent="0.2">
      <c r="A31" s="117">
        <f>A30+1</f>
        <v>8</v>
      </c>
      <c r="B31" s="244"/>
      <c r="C31" s="244" t="s">
        <v>1695</v>
      </c>
      <c r="D31" s="244"/>
      <c r="E31" s="244"/>
      <c r="F31" s="244"/>
      <c r="G31" s="13" t="s">
        <v>1694</v>
      </c>
      <c r="H31" s="246">
        <v>-35044000</v>
      </c>
      <c r="I31" s="246">
        <v>2503000</v>
      </c>
      <c r="J31" s="244"/>
      <c r="K31" s="244"/>
      <c r="L31" s="244"/>
    </row>
    <row r="32" spans="1:12" x14ac:dyDescent="0.2">
      <c r="A32" s="117">
        <f>A31+1</f>
        <v>9</v>
      </c>
      <c r="B32" s="254"/>
      <c r="C32" s="254" t="s">
        <v>1998</v>
      </c>
      <c r="D32" s="254"/>
      <c r="E32" s="254"/>
      <c r="F32" s="254"/>
      <c r="G32" s="47" t="s">
        <v>1694</v>
      </c>
      <c r="H32" s="248">
        <v>-624650</v>
      </c>
      <c r="I32" s="248">
        <v>43100</v>
      </c>
      <c r="J32" s="244"/>
      <c r="K32" s="244"/>
      <c r="L32" s="244"/>
    </row>
    <row r="33" spans="1:12" x14ac:dyDescent="0.2">
      <c r="A33" s="117">
        <f>A32+1</f>
        <v>10</v>
      </c>
      <c r="B33" s="244"/>
      <c r="C33" s="244" t="s">
        <v>1696</v>
      </c>
      <c r="D33" s="244"/>
      <c r="E33" s="244"/>
      <c r="F33" s="244"/>
      <c r="G33" s="13" t="s">
        <v>1694</v>
      </c>
      <c r="H33" s="394">
        <v>-7410000</v>
      </c>
      <c r="I33" s="617">
        <v>511200</v>
      </c>
      <c r="J33" s="244"/>
      <c r="K33" s="244"/>
      <c r="L33" s="244"/>
    </row>
    <row r="34" spans="1:12" x14ac:dyDescent="0.2">
      <c r="A34" s="117">
        <f>A33+1</f>
        <v>11</v>
      </c>
      <c r="B34" s="244"/>
      <c r="C34" s="244"/>
      <c r="D34" s="244"/>
      <c r="E34" s="244"/>
      <c r="G34" s="245" t="s">
        <v>227</v>
      </c>
      <c r="H34" s="246">
        <f>SUM(H30:H33)</f>
        <v>-11522650</v>
      </c>
      <c r="I34" s="246">
        <f>SUM(I30:I33)</f>
        <v>881000</v>
      </c>
      <c r="J34" s="244"/>
      <c r="K34" s="244"/>
      <c r="L34" s="244"/>
    </row>
    <row r="35" spans="1:12" x14ac:dyDescent="0.2">
      <c r="A35" s="117"/>
      <c r="B35" s="244"/>
      <c r="C35" s="244"/>
      <c r="D35" s="244"/>
      <c r="E35" s="244"/>
      <c r="G35" s="245"/>
      <c r="H35" s="246"/>
      <c r="I35" s="246"/>
      <c r="J35" s="244"/>
      <c r="K35" s="244"/>
      <c r="L35" s="244"/>
    </row>
    <row r="36" spans="1:12" x14ac:dyDescent="0.2">
      <c r="A36" s="117"/>
      <c r="B36" s="614" t="s">
        <v>1697</v>
      </c>
      <c r="C36" s="244"/>
      <c r="D36" s="244"/>
      <c r="E36" s="244"/>
      <c r="G36" s="245"/>
      <c r="H36" s="246"/>
      <c r="I36" s="246"/>
      <c r="J36" s="244"/>
      <c r="K36" s="244"/>
      <c r="L36" s="244"/>
    </row>
    <row r="37" spans="1:12" x14ac:dyDescent="0.2">
      <c r="A37" s="117"/>
      <c r="B37" s="264" t="s">
        <v>2364</v>
      </c>
      <c r="C37" s="244"/>
      <c r="D37" s="244"/>
      <c r="E37" s="244"/>
      <c r="G37" s="245"/>
      <c r="H37" s="246"/>
      <c r="I37" s="246"/>
      <c r="J37" s="244"/>
      <c r="K37" s="244"/>
      <c r="L37" s="244"/>
    </row>
    <row r="38" spans="1:12" x14ac:dyDescent="0.2">
      <c r="A38" s="117"/>
      <c r="B38" s="264" t="s">
        <v>1698</v>
      </c>
      <c r="C38" s="244"/>
      <c r="D38" s="244"/>
      <c r="E38" s="244"/>
      <c r="G38" s="245"/>
      <c r="H38" s="246"/>
      <c r="I38" s="246"/>
      <c r="J38" s="244"/>
      <c r="K38" s="244"/>
      <c r="L38" s="244"/>
    </row>
    <row r="39" spans="1:12" x14ac:dyDescent="0.2">
      <c r="A39" s="610"/>
      <c r="B39" s="244"/>
      <c r="C39" s="244"/>
      <c r="D39" s="244"/>
      <c r="E39" s="244"/>
      <c r="F39" s="244"/>
      <c r="G39" s="26" t="s">
        <v>224</v>
      </c>
      <c r="H39" s="244"/>
      <c r="I39" s="244"/>
      <c r="J39" s="244"/>
      <c r="K39" s="244"/>
      <c r="L39" s="244"/>
    </row>
    <row r="40" spans="1:12" x14ac:dyDescent="0.2">
      <c r="A40" s="610"/>
      <c r="B40" s="618"/>
      <c r="C40" s="406"/>
      <c r="D40" s="254"/>
      <c r="E40" s="254"/>
      <c r="F40" s="254"/>
      <c r="G40" s="25" t="s">
        <v>209</v>
      </c>
      <c r="H40" s="3" t="s">
        <v>201</v>
      </c>
      <c r="I40" s="619" t="s">
        <v>1699</v>
      </c>
      <c r="J40" s="244"/>
      <c r="K40" s="244"/>
      <c r="L40" s="244"/>
    </row>
    <row r="41" spans="1:12" x14ac:dyDescent="0.2">
      <c r="A41" s="117">
        <f>A34+1</f>
        <v>12</v>
      </c>
      <c r="B41" s="264" t="s">
        <v>1700</v>
      </c>
      <c r="C41" s="244"/>
      <c r="D41" s="244"/>
      <c r="E41" s="254"/>
      <c r="F41" s="244"/>
      <c r="G41" s="621" t="str">
        <f>"2-IFPTRR Line "&amp;'2-IFPTRR'!A25&amp;""</f>
        <v>2-IFPTRR Line 16</v>
      </c>
      <c r="H41" s="393">
        <f>'2-IFPTRR'!D25</f>
        <v>0.11295018550759207</v>
      </c>
      <c r="I41" s="266">
        <v>1</v>
      </c>
      <c r="J41" s="244"/>
      <c r="K41" s="244"/>
      <c r="L41" s="244"/>
    </row>
    <row r="42" spans="1:12" x14ac:dyDescent="0.2">
      <c r="A42" s="117">
        <f>A41+1</f>
        <v>13</v>
      </c>
      <c r="B42" s="264" t="s">
        <v>75</v>
      </c>
      <c r="C42" s="244"/>
      <c r="D42" s="244"/>
      <c r="E42" s="254"/>
      <c r="F42" s="244"/>
      <c r="G42" s="264"/>
      <c r="H42" s="620">
        <v>2010</v>
      </c>
      <c r="I42" s="266">
        <v>2</v>
      </c>
      <c r="J42" s="244"/>
      <c r="K42" s="244"/>
      <c r="L42" s="244"/>
    </row>
    <row r="43" spans="1:12" x14ac:dyDescent="0.2">
      <c r="A43" s="117">
        <f>A42+1</f>
        <v>14</v>
      </c>
      <c r="B43" s="264" t="s">
        <v>1701</v>
      </c>
      <c r="C43" s="244"/>
      <c r="D43" s="244"/>
      <c r="E43" s="244"/>
      <c r="F43" s="244"/>
      <c r="G43" s="246"/>
      <c r="H43" s="246">
        <f>H34+ (I34*(H42-2010))</f>
        <v>-11522650</v>
      </c>
      <c r="I43" s="266">
        <v>3</v>
      </c>
      <c r="J43" s="244"/>
      <c r="K43" s="244"/>
      <c r="L43" s="244"/>
    </row>
    <row r="44" spans="1:12" x14ac:dyDescent="0.2">
      <c r="A44" s="117">
        <f>A43+1</f>
        <v>15</v>
      </c>
      <c r="B44" s="264" t="s">
        <v>1702</v>
      </c>
      <c r="C44" s="406"/>
      <c r="D44" s="254"/>
      <c r="E44" s="254"/>
      <c r="F44" s="254"/>
      <c r="G44" s="13" t="str">
        <f>"Line "&amp;A43&amp;" * Line "&amp;A41&amp;""</f>
        <v>Line 14 * Line 12</v>
      </c>
      <c r="H44" s="246">
        <f xml:space="preserve"> H43*H41</f>
        <v>-1301485.4550390558</v>
      </c>
      <c r="I44" s="244"/>
      <c r="J44" s="244"/>
      <c r="K44" s="244"/>
      <c r="L44" s="244"/>
    </row>
    <row r="45" spans="1:12" x14ac:dyDescent="0.2">
      <c r="L45" s="244"/>
    </row>
    <row r="46" spans="1:12" x14ac:dyDescent="0.2">
      <c r="B46" s="468" t="s">
        <v>2003</v>
      </c>
      <c r="L46" s="244"/>
    </row>
    <row r="47" spans="1:12" x14ac:dyDescent="0.2">
      <c r="L47" s="244"/>
    </row>
    <row r="48" spans="1:12" x14ac:dyDescent="0.2">
      <c r="B48" s="244" t="str">
        <f>"The annual Wholesale Expense Difference impact is the negative of amounts stated in Lines "&amp;A30&amp;" to "&amp;A33&amp;" above, Column 2."</f>
        <v>The annual Wholesale Expense Difference impact is the negative of amounts stated in Lines 7 to 10 above, Column 2.</v>
      </c>
      <c r="L48" s="244"/>
    </row>
    <row r="49" spans="1:12" x14ac:dyDescent="0.2">
      <c r="B49" s="244" t="s">
        <v>1729</v>
      </c>
      <c r="L49" s="244"/>
    </row>
    <row r="50" spans="1:12" x14ac:dyDescent="0.2">
      <c r="A50" s="244"/>
      <c r="B50" s="244" t="s">
        <v>2365</v>
      </c>
      <c r="C50" s="244"/>
      <c r="D50" s="244"/>
      <c r="E50" s="244"/>
      <c r="F50" s="244"/>
      <c r="G50" s="244"/>
      <c r="H50" s="244"/>
      <c r="I50" s="244"/>
      <c r="J50" s="244"/>
      <c r="K50" s="244"/>
      <c r="L50" s="244"/>
    </row>
    <row r="52" spans="1:12" x14ac:dyDescent="0.2">
      <c r="A52" s="244"/>
      <c r="B52" s="73" t="s">
        <v>1703</v>
      </c>
      <c r="C52" s="244"/>
      <c r="D52" s="244"/>
      <c r="E52" s="244"/>
      <c r="F52" s="244"/>
      <c r="G52" s="244"/>
      <c r="H52" s="244"/>
      <c r="I52" s="244"/>
      <c r="J52" s="244"/>
      <c r="K52" s="244"/>
      <c r="L52" s="244"/>
    </row>
    <row r="53" spans="1:12" x14ac:dyDescent="0.2">
      <c r="A53" s="244"/>
      <c r="B53" s="244"/>
      <c r="C53" s="244"/>
      <c r="D53" s="244"/>
      <c r="E53" s="244"/>
      <c r="F53" s="244"/>
      <c r="G53" s="26"/>
      <c r="H53" s="244"/>
      <c r="I53" s="244"/>
      <c r="J53" s="244"/>
      <c r="K53" s="244"/>
      <c r="L53" s="244"/>
    </row>
    <row r="54" spans="1:12" x14ac:dyDescent="0.2">
      <c r="B54" s="244"/>
      <c r="C54" s="244"/>
      <c r="D54" s="244"/>
      <c r="E54" s="244"/>
      <c r="F54" s="244"/>
      <c r="G54" s="25" t="s">
        <v>209</v>
      </c>
      <c r="H54" s="3" t="s">
        <v>201</v>
      </c>
      <c r="I54" s="244"/>
      <c r="J54" s="395"/>
      <c r="K54" s="244"/>
      <c r="L54" s="244"/>
    </row>
    <row r="55" spans="1:12" x14ac:dyDescent="0.2">
      <c r="A55" s="117">
        <f>A44+1</f>
        <v>16</v>
      </c>
      <c r="B55" s="621" t="s">
        <v>1704</v>
      </c>
      <c r="C55" s="254"/>
      <c r="D55" s="254"/>
      <c r="E55" s="254"/>
      <c r="F55" s="254"/>
      <c r="G55" s="47" t="str">
        <f>"Line "&amp;A31&amp;""</f>
        <v>Line 8</v>
      </c>
      <c r="H55" s="248">
        <f>I31</f>
        <v>2503000</v>
      </c>
      <c r="I55" s="244"/>
      <c r="J55" s="244"/>
      <c r="K55" s="244"/>
      <c r="L55" s="244"/>
    </row>
    <row r="56" spans="1:12" x14ac:dyDescent="0.2">
      <c r="A56" s="117">
        <f>A55+1</f>
        <v>17</v>
      </c>
      <c r="B56" s="47" t="s">
        <v>331</v>
      </c>
      <c r="C56" s="254"/>
      <c r="D56" s="254"/>
      <c r="E56" s="254"/>
      <c r="F56" s="254"/>
      <c r="G56" s="621" t="str">
        <f>"1-BaseTRR L "&amp;'1-BaseTRR'!A102&amp;""</f>
        <v>1-BaseTRR L 58</v>
      </c>
      <c r="H56" s="1060">
        <f>'1-BaseTRR'!K102</f>
        <v>0.40741296259622478</v>
      </c>
      <c r="I56" s="244"/>
      <c r="J56" s="244"/>
      <c r="K56" s="244"/>
      <c r="L56" s="244"/>
    </row>
    <row r="57" spans="1:12" x14ac:dyDescent="0.2">
      <c r="A57" s="117">
        <f>A56+1</f>
        <v>18</v>
      </c>
      <c r="B57" s="47" t="s">
        <v>1728</v>
      </c>
      <c r="C57" s="254"/>
      <c r="D57" s="254"/>
      <c r="E57" s="254"/>
      <c r="F57" s="254"/>
      <c r="G57" s="72" t="s">
        <v>330</v>
      </c>
      <c r="H57" s="1163">
        <f>1/(1-H56)</f>
        <v>1.6875158194164532</v>
      </c>
      <c r="I57" s="244"/>
      <c r="J57" s="244"/>
      <c r="K57" s="244"/>
      <c r="L57" s="244"/>
    </row>
    <row r="58" spans="1:12" x14ac:dyDescent="0.2">
      <c r="A58" s="117">
        <f>A57+1</f>
        <v>19</v>
      </c>
      <c r="B58" s="47" t="s">
        <v>374</v>
      </c>
      <c r="C58" s="254"/>
      <c r="D58" s="254"/>
      <c r="E58" s="254"/>
      <c r="F58" s="254"/>
      <c r="G58" s="254"/>
      <c r="H58" s="254"/>
      <c r="I58" s="244"/>
      <c r="J58" s="244"/>
      <c r="K58" s="244"/>
      <c r="L58" s="244"/>
    </row>
    <row r="59" spans="1:12" x14ac:dyDescent="0.2">
      <c r="A59" s="117">
        <f>A58+1</f>
        <v>20</v>
      </c>
      <c r="B59" s="47" t="s">
        <v>373</v>
      </c>
      <c r="C59" s="254"/>
      <c r="D59" s="254"/>
      <c r="E59" s="254"/>
      <c r="F59" s="254"/>
      <c r="G59" s="47" t="str">
        <f>"- Line "&amp;A55&amp;" * Line "&amp;A57&amp;""</f>
        <v>- Line 16 * Line 18</v>
      </c>
      <c r="H59" s="1109">
        <f>-H57*H55</f>
        <v>-4223852.0959993824</v>
      </c>
      <c r="I59" s="244"/>
      <c r="J59" s="244"/>
      <c r="K59" s="244"/>
      <c r="L59" s="244"/>
    </row>
    <row r="60" spans="1:12" x14ac:dyDescent="0.2">
      <c r="A60" s="14"/>
      <c r="B60" s="14"/>
      <c r="C60" s="14"/>
      <c r="D60" s="14"/>
      <c r="E60" s="14"/>
      <c r="F60" s="14"/>
      <c r="G60" s="14"/>
      <c r="H60" s="14"/>
    </row>
    <row r="61" spans="1:12" x14ac:dyDescent="0.2">
      <c r="A61" s="14"/>
      <c r="B61" s="1068" t="s">
        <v>2000</v>
      </c>
      <c r="C61" s="14"/>
      <c r="D61" s="14"/>
      <c r="E61" s="14"/>
      <c r="F61" s="14"/>
      <c r="G61" s="14"/>
      <c r="H61" s="14"/>
    </row>
    <row r="62" spans="1:12" x14ac:dyDescent="0.2">
      <c r="A62" s="14"/>
      <c r="B62" s="14"/>
      <c r="C62" s="14"/>
      <c r="D62" s="14"/>
      <c r="E62" s="14"/>
      <c r="F62" s="14"/>
      <c r="G62" s="14"/>
      <c r="H62" s="14"/>
    </row>
    <row r="63" spans="1:12" x14ac:dyDescent="0.2">
      <c r="A63" s="14"/>
      <c r="B63" s="14"/>
      <c r="C63" s="14"/>
      <c r="D63" s="14"/>
      <c r="E63" s="14"/>
      <c r="F63" s="14"/>
      <c r="G63" s="29" t="s">
        <v>209</v>
      </c>
      <c r="H63" s="131" t="s">
        <v>201</v>
      </c>
    </row>
    <row r="64" spans="1:12" x14ac:dyDescent="0.2">
      <c r="A64" s="117">
        <f>A59+1</f>
        <v>21</v>
      </c>
      <c r="B64" s="621" t="s">
        <v>1999</v>
      </c>
      <c r="C64" s="14"/>
      <c r="D64" s="14"/>
      <c r="E64" s="14"/>
      <c r="F64" s="14"/>
      <c r="G64" s="47" t="str">
        <f>"Line "&amp;A32&amp;""</f>
        <v>Line 9</v>
      </c>
      <c r="H64" s="65">
        <f>I32</f>
        <v>43100</v>
      </c>
    </row>
    <row r="65" spans="1:12" x14ac:dyDescent="0.2">
      <c r="A65" s="117">
        <f>A64+1</f>
        <v>22</v>
      </c>
      <c r="B65" s="47" t="s">
        <v>1728</v>
      </c>
      <c r="C65" s="254"/>
      <c r="D65" s="254"/>
      <c r="E65" s="254"/>
      <c r="F65" s="254"/>
      <c r="G65" s="47" t="str">
        <f>"Line "&amp;A57&amp;""</f>
        <v>Line 18</v>
      </c>
      <c r="H65" s="1163">
        <f>H57</f>
        <v>1.6875158194164532</v>
      </c>
    </row>
    <row r="66" spans="1:12" x14ac:dyDescent="0.2">
      <c r="A66" s="117">
        <f>A65+1</f>
        <v>23</v>
      </c>
      <c r="B66" s="621" t="s">
        <v>2001</v>
      </c>
      <c r="C66" s="14"/>
      <c r="D66" s="14"/>
      <c r="E66" s="14"/>
      <c r="F66" s="14"/>
      <c r="G66" s="47" t="str">
        <f>"- Line "&amp;A64&amp;" * Line "&amp;A65&amp;""</f>
        <v>- Line 21 * Line 22</v>
      </c>
      <c r="H66" s="65">
        <f>-H64*H65</f>
        <v>-72731.93181684913</v>
      </c>
    </row>
    <row r="67" spans="1:12" x14ac:dyDescent="0.2">
      <c r="A67" s="117">
        <f t="shared" ref="A67:A74" si="0">A66+1</f>
        <v>24</v>
      </c>
      <c r="B67" s="621"/>
      <c r="C67" s="14"/>
      <c r="D67" s="14"/>
      <c r="E67" s="14"/>
      <c r="F67" s="14"/>
      <c r="G67" s="47"/>
      <c r="H67" s="65"/>
    </row>
    <row r="68" spans="1:12" x14ac:dyDescent="0.2">
      <c r="A68" s="117">
        <f t="shared" si="0"/>
        <v>25</v>
      </c>
      <c r="B68" s="1068" t="s">
        <v>3053</v>
      </c>
      <c r="C68" s="14"/>
      <c r="D68" s="14"/>
      <c r="E68" s="14"/>
      <c r="F68" s="14"/>
      <c r="G68" s="47"/>
      <c r="H68" s="65"/>
    </row>
    <row r="69" spans="1:12" x14ac:dyDescent="0.2">
      <c r="A69" s="117">
        <f t="shared" si="0"/>
        <v>26</v>
      </c>
      <c r="B69" s="621"/>
      <c r="C69" s="14"/>
      <c r="D69" s="14"/>
      <c r="E69" s="14"/>
      <c r="F69" s="14"/>
      <c r="G69" s="29" t="s">
        <v>209</v>
      </c>
      <c r="H69" s="65"/>
    </row>
    <row r="70" spans="1:12" x14ac:dyDescent="0.2">
      <c r="A70" s="117">
        <f t="shared" si="0"/>
        <v>27</v>
      </c>
      <c r="B70" s="621" t="s">
        <v>2753</v>
      </c>
      <c r="C70" s="14"/>
      <c r="D70" s="14"/>
      <c r="E70" s="14"/>
      <c r="F70" s="14"/>
      <c r="G70" s="648" t="s">
        <v>35</v>
      </c>
      <c r="H70" s="113">
        <v>652330</v>
      </c>
    </row>
    <row r="71" spans="1:12" x14ac:dyDescent="0.2">
      <c r="A71" s="117">
        <f t="shared" si="0"/>
        <v>28</v>
      </c>
      <c r="B71" s="621" t="s">
        <v>3054</v>
      </c>
      <c r="C71" s="14"/>
      <c r="D71" s="14"/>
      <c r="E71" s="14"/>
      <c r="F71" s="14"/>
      <c r="G71" s="648" t="s">
        <v>35</v>
      </c>
      <c r="H71" s="113">
        <v>1454880</v>
      </c>
    </row>
    <row r="72" spans="1:12" x14ac:dyDescent="0.2">
      <c r="A72" s="117">
        <f t="shared" si="0"/>
        <v>29</v>
      </c>
      <c r="B72" s="621" t="s">
        <v>3056</v>
      </c>
      <c r="C72" s="14"/>
      <c r="D72" s="14"/>
      <c r="E72" s="14"/>
      <c r="F72" s="14"/>
      <c r="G72" s="1097" t="str">
        <f>"Line "&amp;A70&amp;" + "&amp;A71&amp;""</f>
        <v>Line 27 + 28</v>
      </c>
      <c r="H72" s="1140">
        <f>SUM(H70:H71)</f>
        <v>2107210</v>
      </c>
    </row>
    <row r="73" spans="1:12" x14ac:dyDescent="0.2">
      <c r="A73" s="117">
        <f t="shared" si="0"/>
        <v>30</v>
      </c>
      <c r="B73" s="621" t="s">
        <v>107</v>
      </c>
      <c r="C73" s="14"/>
      <c r="D73" s="14"/>
      <c r="E73" s="14"/>
      <c r="F73" s="14"/>
      <c r="G73" s="621" t="str">
        <f>"27-Allocators, Line "&amp;'27-Allocators'!A15&amp;""</f>
        <v>27-Allocators, Line 9</v>
      </c>
      <c r="H73" s="50">
        <f>'27-Allocators'!G15</f>
        <v>4.0090597826729017E-2</v>
      </c>
    </row>
    <row r="74" spans="1:12" x14ac:dyDescent="0.2">
      <c r="A74" s="117">
        <f t="shared" si="0"/>
        <v>31</v>
      </c>
      <c r="B74" s="621" t="s">
        <v>3055</v>
      </c>
      <c r="C74" s="14"/>
      <c r="D74" s="14"/>
      <c r="E74" s="14"/>
      <c r="F74" s="14"/>
      <c r="G74" s="1097" t="str">
        <f>"Line "&amp;A72&amp;" * "&amp;A73&amp;""</f>
        <v>Line 29 * 30</v>
      </c>
      <c r="H74" s="65">
        <f>H72*H73</f>
        <v>84479.30864646165</v>
      </c>
    </row>
    <row r="76" spans="1:12" x14ac:dyDescent="0.2">
      <c r="A76" s="254"/>
      <c r="B76" s="1164" t="s">
        <v>2754</v>
      </c>
      <c r="C76" s="254"/>
      <c r="D76" s="254"/>
      <c r="E76" s="254"/>
      <c r="F76" s="254"/>
      <c r="G76" s="254"/>
      <c r="H76" s="254"/>
      <c r="I76" s="619" t="s">
        <v>1699</v>
      </c>
      <c r="J76" s="244"/>
      <c r="K76" s="244"/>
      <c r="L76" s="244"/>
    </row>
    <row r="77" spans="1:12" x14ac:dyDescent="0.2">
      <c r="A77" s="117">
        <f>A74+1</f>
        <v>32</v>
      </c>
      <c r="B77" s="613" t="s">
        <v>2020</v>
      </c>
      <c r="C77" s="254"/>
      <c r="D77" s="254"/>
      <c r="E77" s="254"/>
      <c r="F77" s="254"/>
      <c r="G77" s="621" t="str">
        <f>" - Line "&amp;A30&amp;", Col. 2"</f>
        <v xml:space="preserve"> - Line 7, Col. 2</v>
      </c>
      <c r="H77" s="248">
        <f>-I30</f>
        <v>2176300</v>
      </c>
      <c r="I77" s="244"/>
      <c r="J77" s="244"/>
      <c r="K77" s="244"/>
      <c r="L77" s="244"/>
    </row>
    <row r="78" spans="1:12" x14ac:dyDescent="0.2">
      <c r="A78" s="117">
        <f>A77+1</f>
        <v>33</v>
      </c>
      <c r="B78" s="613" t="s">
        <v>1695</v>
      </c>
      <c r="C78" s="254"/>
      <c r="D78" s="254"/>
      <c r="E78" s="254"/>
      <c r="F78" s="254"/>
      <c r="G78" s="621" t="str">
        <f>"Line "&amp;A59&amp;""</f>
        <v>Line 20</v>
      </c>
      <c r="H78" s="248">
        <f>H59</f>
        <v>-4223852.0959993824</v>
      </c>
      <c r="I78" s="244"/>
      <c r="J78" s="244"/>
      <c r="K78" s="244"/>
      <c r="L78" s="244"/>
    </row>
    <row r="79" spans="1:12" x14ac:dyDescent="0.2">
      <c r="A79" s="117">
        <f>A78+1</f>
        <v>34</v>
      </c>
      <c r="B79" s="613" t="s">
        <v>1998</v>
      </c>
      <c r="C79" s="254"/>
      <c r="D79" s="254"/>
      <c r="E79" s="254"/>
      <c r="F79" s="254"/>
      <c r="G79" s="621" t="str">
        <f>"Line "&amp;A66&amp;""</f>
        <v>Line 23</v>
      </c>
      <c r="H79" s="248">
        <f>H66</f>
        <v>-72731.93181684913</v>
      </c>
      <c r="I79" s="244"/>
      <c r="J79" s="244"/>
      <c r="K79" s="244"/>
      <c r="L79" s="244"/>
    </row>
    <row r="80" spans="1:12" x14ac:dyDescent="0.2">
      <c r="A80" s="117">
        <f>A79+1</f>
        <v>35</v>
      </c>
      <c r="B80" s="613" t="s">
        <v>1696</v>
      </c>
      <c r="C80" s="254"/>
      <c r="D80" s="254"/>
      <c r="E80" s="254"/>
      <c r="F80" s="254"/>
      <c r="G80" s="621" t="str">
        <f>"- Line "&amp;A33&amp;", Col. 2"</f>
        <v>- Line 10, Col. 2</v>
      </c>
      <c r="H80" s="248">
        <f>-I33</f>
        <v>-511200</v>
      </c>
      <c r="I80" s="244"/>
      <c r="J80" s="244"/>
      <c r="K80" s="244"/>
      <c r="L80" s="244"/>
    </row>
    <row r="81" spans="1:12" x14ac:dyDescent="0.2">
      <c r="A81" s="117">
        <f t="shared" ref="A81:A82" si="1">A80+1</f>
        <v>36</v>
      </c>
      <c r="B81" s="613" t="s">
        <v>3057</v>
      </c>
      <c r="C81" s="254"/>
      <c r="D81" s="254"/>
      <c r="E81" s="254"/>
      <c r="F81" s="254"/>
      <c r="G81" s="1097" t="str">
        <f>" - Line "&amp;A74&amp;""</f>
        <v xml:space="preserve"> - Line 31</v>
      </c>
      <c r="H81" s="617">
        <f>-H74</f>
        <v>-84479.30864646165</v>
      </c>
      <c r="I81" s="244"/>
      <c r="J81" s="244"/>
      <c r="K81" s="244"/>
      <c r="L81" s="244"/>
    </row>
    <row r="82" spans="1:12" x14ac:dyDescent="0.2">
      <c r="A82" s="117">
        <f t="shared" si="1"/>
        <v>37</v>
      </c>
      <c r="B82" s="254"/>
      <c r="C82" s="254"/>
      <c r="D82" s="254"/>
      <c r="E82" s="254"/>
      <c r="F82" s="254"/>
      <c r="G82" s="1055" t="s">
        <v>1705</v>
      </c>
      <c r="H82" s="248">
        <f>SUM(H77:H81)</f>
        <v>-2715963.3364626928</v>
      </c>
      <c r="I82" s="244"/>
      <c r="J82" s="244"/>
      <c r="K82" s="244"/>
      <c r="L82" s="244"/>
    </row>
    <row r="83" spans="1:12" x14ac:dyDescent="0.2">
      <c r="A83" s="254"/>
      <c r="B83" s="254"/>
      <c r="C83" s="254"/>
      <c r="D83" s="254"/>
      <c r="E83" s="254"/>
      <c r="F83" s="254"/>
      <c r="G83" s="254"/>
      <c r="H83" s="254"/>
      <c r="I83" s="244"/>
      <c r="J83" s="244"/>
      <c r="K83" s="244"/>
      <c r="L83" s="244"/>
    </row>
    <row r="84" spans="1:12" x14ac:dyDescent="0.2">
      <c r="A84" s="254"/>
      <c r="B84" s="1165" t="s">
        <v>1706</v>
      </c>
      <c r="C84" s="254"/>
      <c r="D84" s="254"/>
      <c r="E84" s="254"/>
      <c r="F84" s="254"/>
      <c r="G84" s="254"/>
      <c r="H84" s="254"/>
      <c r="I84" s="244"/>
      <c r="J84" s="244"/>
      <c r="K84" s="244"/>
      <c r="L84" s="244"/>
    </row>
    <row r="85" spans="1:12" x14ac:dyDescent="0.2">
      <c r="A85" s="254"/>
      <c r="B85" s="14"/>
      <c r="C85" s="254"/>
      <c r="D85" s="254"/>
      <c r="E85" s="254"/>
      <c r="F85" s="254"/>
      <c r="G85" s="29" t="s">
        <v>209</v>
      </c>
      <c r="H85" s="131" t="s">
        <v>201</v>
      </c>
      <c r="I85" s="244"/>
      <c r="J85" s="244"/>
      <c r="K85" s="244"/>
      <c r="L85" s="244"/>
    </row>
    <row r="86" spans="1:12" x14ac:dyDescent="0.2">
      <c r="A86" s="117">
        <f>A82+1</f>
        <v>38</v>
      </c>
      <c r="B86" s="1066" t="s">
        <v>1702</v>
      </c>
      <c r="C86" s="254"/>
      <c r="D86" s="254"/>
      <c r="E86" s="254"/>
      <c r="F86" s="254"/>
      <c r="G86" s="621" t="str">
        <f>"Line "&amp;A44&amp;""</f>
        <v>Line 15</v>
      </c>
      <c r="H86" s="1166">
        <f>H44</f>
        <v>-1301485.4550390558</v>
      </c>
      <c r="I86" s="244"/>
      <c r="J86" s="244"/>
      <c r="K86" s="244"/>
      <c r="L86" s="244"/>
    </row>
    <row r="87" spans="1:12" x14ac:dyDescent="0.2">
      <c r="A87" s="117">
        <f>A86+1</f>
        <v>39</v>
      </c>
      <c r="B87" s="254" t="s">
        <v>1707</v>
      </c>
      <c r="C87" s="254"/>
      <c r="D87" s="254"/>
      <c r="E87" s="254"/>
      <c r="F87" s="254"/>
      <c r="G87" s="621" t="str">
        <f>"Line "&amp;A82&amp;""</f>
        <v>Line 37</v>
      </c>
      <c r="H87" s="248">
        <f>H82</f>
        <v>-2715963.3364626928</v>
      </c>
      <c r="I87" s="244"/>
      <c r="J87" s="244"/>
      <c r="K87" s="244"/>
      <c r="L87" s="244"/>
    </row>
    <row r="88" spans="1:12" x14ac:dyDescent="0.2">
      <c r="A88" s="117">
        <f>A87+1</f>
        <v>40</v>
      </c>
      <c r="B88" s="15" t="s">
        <v>1803</v>
      </c>
      <c r="C88" s="254"/>
      <c r="D88" s="254"/>
      <c r="E88" s="254"/>
      <c r="F88" s="254"/>
      <c r="G88" s="621" t="str">
        <f>"- 1-Base TRR, L "&amp;'1-BaseTRR'!A139&amp;""</f>
        <v>- 1-Base TRR, L 79</v>
      </c>
      <c r="H88" s="248">
        <f>-'1-BaseTRR'!K139</f>
        <v>-1207532.2438765138</v>
      </c>
      <c r="I88" s="244"/>
      <c r="J88" s="244"/>
      <c r="K88" s="244"/>
      <c r="L88" s="244"/>
    </row>
    <row r="89" spans="1:12" x14ac:dyDescent="0.2">
      <c r="A89" s="117">
        <f t="shared" ref="A89:A92" si="2">A88+1</f>
        <v>41</v>
      </c>
      <c r="B89" s="15" t="s">
        <v>1804</v>
      </c>
      <c r="C89" s="254"/>
      <c r="D89" s="254"/>
      <c r="E89" s="254"/>
      <c r="F89" s="254"/>
      <c r="G89" s="621" t="str">
        <f>"- 2-IFPTRR, L "&amp;'2-IFPTRR'!A89&amp;""</f>
        <v>- 2-IFPTRR, L 80</v>
      </c>
      <c r="H89" s="617">
        <f>-'2-IFPTRR'!D89</f>
        <v>-310446.51430561201</v>
      </c>
      <c r="I89" s="244"/>
      <c r="J89" s="244"/>
      <c r="K89" s="244"/>
      <c r="L89" s="244"/>
    </row>
    <row r="90" spans="1:12" x14ac:dyDescent="0.2">
      <c r="A90" s="117">
        <f t="shared" si="2"/>
        <v>42</v>
      </c>
      <c r="B90" s="15" t="s">
        <v>111</v>
      </c>
      <c r="C90" s="254"/>
      <c r="D90" s="254"/>
      <c r="E90" s="254"/>
      <c r="F90" s="254"/>
      <c r="G90" s="47" t="str">
        <f>"Sum Line "&amp;A86&amp;" to Line "&amp;A89&amp;""</f>
        <v>Sum Line 38 to Line 41</v>
      </c>
      <c r="H90" s="248">
        <f>SUM(H86:H89)</f>
        <v>-5535427.5496838745</v>
      </c>
      <c r="I90" s="244"/>
      <c r="J90" s="244"/>
      <c r="K90" s="244"/>
      <c r="L90" s="244"/>
    </row>
    <row r="91" spans="1:12" x14ac:dyDescent="0.2">
      <c r="A91" s="117">
        <f t="shared" si="2"/>
        <v>43</v>
      </c>
      <c r="B91" s="15" t="s">
        <v>1714</v>
      </c>
      <c r="C91" s="254"/>
      <c r="D91" s="254"/>
      <c r="E91" s="254"/>
      <c r="F91" s="254"/>
      <c r="G91" s="14"/>
      <c r="H91" s="617">
        <f>'28-FFU'!D22*SUM(H86+H87)</f>
        <v>-36714.661015776182</v>
      </c>
      <c r="I91" s="264" t="s">
        <v>1343</v>
      </c>
      <c r="J91" s="244"/>
      <c r="K91" s="244"/>
      <c r="L91" s="244"/>
    </row>
    <row r="92" spans="1:12" x14ac:dyDescent="0.2">
      <c r="A92" s="117">
        <f t="shared" si="2"/>
        <v>44</v>
      </c>
      <c r="B92" s="14" t="s">
        <v>1708</v>
      </c>
      <c r="C92" s="254"/>
      <c r="D92" s="254"/>
      <c r="E92" s="254"/>
      <c r="F92" s="254"/>
      <c r="G92" s="47" t="str">
        <f>"Line "&amp;A90&amp;" + Line "&amp;A91&amp;""</f>
        <v>Line 42 + Line 43</v>
      </c>
      <c r="H92" s="248">
        <f>H90+H91</f>
        <v>-5572142.2106996505</v>
      </c>
      <c r="I92" s="244"/>
      <c r="J92" s="244"/>
      <c r="K92" s="244"/>
      <c r="L92" s="244"/>
    </row>
    <row r="93" spans="1:12" x14ac:dyDescent="0.2">
      <c r="A93" s="244"/>
      <c r="C93" s="244"/>
      <c r="D93" s="244"/>
      <c r="E93" s="244"/>
      <c r="F93" s="244"/>
      <c r="G93" s="244"/>
      <c r="H93" s="244"/>
      <c r="I93" s="244"/>
      <c r="J93" s="244"/>
      <c r="K93" s="244"/>
      <c r="L93" s="244"/>
    </row>
    <row r="94" spans="1:12" x14ac:dyDescent="0.2">
      <c r="A94" s="244"/>
      <c r="B94" s="468" t="s">
        <v>1709</v>
      </c>
      <c r="C94" s="244"/>
      <c r="D94" s="244"/>
      <c r="E94" s="244"/>
      <c r="F94" s="244"/>
      <c r="G94" s="244"/>
      <c r="H94" s="244"/>
      <c r="I94" s="244"/>
      <c r="J94" s="244"/>
      <c r="K94" s="244"/>
      <c r="L94" s="244"/>
    </row>
    <row r="95" spans="1:12" x14ac:dyDescent="0.2">
      <c r="A95" s="244"/>
      <c r="B95" s="244" t="s">
        <v>1710</v>
      </c>
      <c r="C95" s="244"/>
      <c r="D95" s="244"/>
      <c r="E95" s="244"/>
      <c r="F95" s="244"/>
      <c r="G95" s="244"/>
      <c r="H95" s="244"/>
      <c r="I95" s="244"/>
      <c r="J95" s="244"/>
      <c r="K95" s="244"/>
      <c r="L95" s="244"/>
    </row>
    <row r="96" spans="1:12" x14ac:dyDescent="0.2">
      <c r="A96" s="244"/>
      <c r="B96" s="244" t="s">
        <v>1711</v>
      </c>
      <c r="C96" s="244"/>
      <c r="D96" s="244"/>
      <c r="E96" s="244"/>
      <c r="F96" s="244"/>
      <c r="G96" s="244"/>
      <c r="H96" s="244"/>
      <c r="I96" s="244"/>
      <c r="J96" s="244"/>
      <c r="K96" s="244"/>
      <c r="L96" s="244"/>
    </row>
    <row r="97" spans="1:12" x14ac:dyDescent="0.2">
      <c r="A97" s="244"/>
      <c r="B97" s="244" t="str">
        <f>"2) Input Prior Year for this Informational Filing in Line "&amp;A42&amp;"."</f>
        <v>2) Input Prior Year for this Informational Filing in Line 13.</v>
      </c>
      <c r="I97" s="244"/>
      <c r="J97" s="244"/>
      <c r="K97" s="244"/>
      <c r="L97" s="244"/>
    </row>
    <row r="98" spans="1:12" x14ac:dyDescent="0.2">
      <c r="A98" s="244"/>
      <c r="B98" s="244" t="str">
        <f>"3) Calculation: (Line "&amp;A34&amp;", "&amp;H25&amp;") + ((Line "&amp;A34&amp;", "&amp;I25&amp;") * (Line "&amp;A42&amp;" - 2010))."</f>
        <v>3) Calculation: (Line 11, Col 1) + ((Line 11, Col 2) * (Line 13 - 2010)).</v>
      </c>
      <c r="I98" s="244"/>
      <c r="J98" s="244"/>
      <c r="K98" s="244"/>
      <c r="L98" s="244"/>
    </row>
    <row r="99" spans="1:12" x14ac:dyDescent="0.2">
      <c r="A99" s="244"/>
      <c r="B99" s="244" t="str">
        <f>"4) Franchise Fee Exclusion is equal to the Franchise Fee Factor on the 28-FFU Line "&amp;'28-FFU'!A22&amp;""</f>
        <v>4) Franchise Fee Exclusion is equal to the Franchise Fee Factor on the 28-FFU Line 5</v>
      </c>
      <c r="C99" s="244"/>
      <c r="D99" s="244"/>
      <c r="E99" s="244"/>
      <c r="F99" s="244"/>
      <c r="G99" s="254"/>
      <c r="H99" s="244"/>
      <c r="I99" s="244"/>
      <c r="J99" s="244"/>
      <c r="K99" s="244"/>
      <c r="L99" s="244"/>
    </row>
    <row r="100" spans="1:12" x14ac:dyDescent="0.2">
      <c r="A100" s="244"/>
      <c r="B100" s="244" t="str">
        <f>"times Line "&amp;A86&amp;" + "&amp;A87&amp;"."</f>
        <v>times Line 38 + 39.</v>
      </c>
      <c r="C100" s="244"/>
      <c r="D100" s="244"/>
      <c r="E100" s="244"/>
      <c r="F100" s="244"/>
      <c r="G100" s="244"/>
      <c r="H100" s="244"/>
      <c r="I100" s="244"/>
      <c r="J100" s="244"/>
      <c r="K100" s="244"/>
      <c r="L100" s="244"/>
    </row>
    <row r="101" spans="1:12" x14ac:dyDescent="0.2">
      <c r="A101" s="244"/>
      <c r="B101" s="244"/>
      <c r="C101" s="244"/>
      <c r="D101" s="244"/>
      <c r="E101" s="244"/>
      <c r="F101" s="244"/>
      <c r="G101" s="244"/>
      <c r="H101" s="244"/>
      <c r="I101" s="244"/>
      <c r="J101" s="244"/>
      <c r="K101" s="244"/>
      <c r="L101" s="244"/>
    </row>
    <row r="102" spans="1:12" x14ac:dyDescent="0.2">
      <c r="A102" s="244"/>
      <c r="B102" s="244"/>
      <c r="C102" s="244"/>
      <c r="D102" s="244"/>
      <c r="E102" s="244"/>
      <c r="F102" s="244"/>
      <c r="G102" s="244"/>
      <c r="H102" s="244"/>
      <c r="I102" s="244"/>
      <c r="J102" s="244"/>
      <c r="K102" s="244"/>
      <c r="L102" s="244"/>
    </row>
    <row r="103" spans="1:12" x14ac:dyDescent="0.2">
      <c r="A103" s="244"/>
      <c r="B103" s="244"/>
      <c r="C103" s="244"/>
      <c r="D103" s="244"/>
      <c r="E103" s="244"/>
      <c r="F103" s="244"/>
      <c r="G103" s="244"/>
      <c r="H103" s="244"/>
      <c r="I103" s="244"/>
      <c r="J103" s="244"/>
      <c r="K103" s="244"/>
      <c r="L103" s="244"/>
    </row>
    <row r="104" spans="1:12" x14ac:dyDescent="0.2">
      <c r="A104" s="244"/>
      <c r="B104" s="244"/>
      <c r="C104" s="244"/>
      <c r="D104" s="244"/>
      <c r="E104" s="244"/>
      <c r="F104" s="244"/>
      <c r="G104" s="244"/>
      <c r="H104" s="244"/>
      <c r="I104" s="244"/>
      <c r="J104" s="244"/>
      <c r="K104" s="244"/>
      <c r="L104" s="244"/>
    </row>
    <row r="105" spans="1:12" x14ac:dyDescent="0.2">
      <c r="A105" s="244"/>
      <c r="B105" s="244"/>
      <c r="C105" s="244"/>
      <c r="D105" s="244"/>
      <c r="E105" s="244"/>
      <c r="F105" s="244"/>
      <c r="G105" s="244"/>
      <c r="H105" s="244"/>
      <c r="I105" s="244"/>
      <c r="J105" s="244"/>
      <c r="K105" s="244"/>
      <c r="L105" s="244"/>
    </row>
    <row r="106" spans="1:12" x14ac:dyDescent="0.2">
      <c r="A106" s="244"/>
      <c r="B106" s="244"/>
      <c r="C106" s="244"/>
      <c r="D106" s="244"/>
      <c r="E106" s="244"/>
      <c r="F106" s="244"/>
      <c r="G106" s="244"/>
      <c r="H106" s="244"/>
      <c r="I106" s="244"/>
      <c r="J106" s="244"/>
      <c r="K106" s="244"/>
      <c r="L106" s="244"/>
    </row>
    <row r="107" spans="1:12" x14ac:dyDescent="0.2">
      <c r="A107" s="244"/>
      <c r="B107" s="244"/>
      <c r="C107" s="244"/>
      <c r="D107" s="244"/>
      <c r="E107" s="244"/>
      <c r="F107" s="244"/>
      <c r="G107" s="244"/>
      <c r="H107" s="244"/>
      <c r="I107" s="244"/>
      <c r="J107" s="244"/>
      <c r="K107" s="244"/>
      <c r="L107" s="244"/>
    </row>
    <row r="108" spans="1:12" x14ac:dyDescent="0.2">
      <c r="A108" s="244"/>
      <c r="B108" s="244"/>
      <c r="C108" s="244"/>
      <c r="D108" s="244"/>
      <c r="E108" s="244"/>
      <c r="F108" s="244"/>
      <c r="G108" s="244"/>
      <c r="H108" s="244"/>
      <c r="I108" s="244"/>
      <c r="J108" s="244"/>
      <c r="K108" s="244"/>
      <c r="L108" s="244"/>
    </row>
    <row r="109" spans="1:12" x14ac:dyDescent="0.2">
      <c r="A109" s="244"/>
      <c r="B109" s="244"/>
      <c r="C109" s="244"/>
      <c r="D109" s="244"/>
      <c r="E109" s="244"/>
      <c r="F109" s="244"/>
      <c r="G109" s="244"/>
      <c r="H109" s="244"/>
      <c r="I109" s="244"/>
      <c r="J109" s="244"/>
      <c r="K109" s="244"/>
      <c r="L109" s="244"/>
    </row>
    <row r="110" spans="1:12" x14ac:dyDescent="0.2">
      <c r="A110" s="244"/>
      <c r="B110" s="244"/>
      <c r="C110" s="244"/>
      <c r="D110" s="244"/>
      <c r="E110" s="244"/>
      <c r="F110" s="244"/>
      <c r="G110" s="244"/>
      <c r="H110" s="244"/>
      <c r="I110" s="244"/>
      <c r="J110" s="244"/>
      <c r="K110" s="244"/>
      <c r="L110" s="244"/>
    </row>
    <row r="111" spans="1:12" x14ac:dyDescent="0.2">
      <c r="A111" s="244"/>
      <c r="B111" s="244"/>
      <c r="C111" s="244"/>
      <c r="D111" s="244"/>
      <c r="E111" s="244"/>
      <c r="F111" s="244"/>
      <c r="G111" s="244"/>
      <c r="H111" s="244"/>
      <c r="I111" s="244"/>
      <c r="J111" s="244"/>
      <c r="K111" s="244"/>
      <c r="L111" s="244"/>
    </row>
    <row r="112" spans="1:12" x14ac:dyDescent="0.2">
      <c r="A112" s="244"/>
      <c r="B112" s="244"/>
      <c r="C112" s="244"/>
      <c r="D112" s="244"/>
      <c r="E112" s="244"/>
      <c r="F112" s="244"/>
      <c r="G112" s="244"/>
      <c r="H112" s="244"/>
      <c r="I112" s="244"/>
      <c r="J112" s="244"/>
      <c r="K112" s="244"/>
      <c r="L112" s="244"/>
    </row>
    <row r="113" spans="1:12" x14ac:dyDescent="0.2">
      <c r="A113" s="244"/>
      <c r="B113" s="244"/>
      <c r="C113" s="244"/>
      <c r="D113" s="244"/>
      <c r="E113" s="244"/>
      <c r="F113" s="244"/>
      <c r="G113" s="244"/>
      <c r="H113" s="244"/>
      <c r="I113" s="244"/>
      <c r="J113" s="244"/>
      <c r="K113" s="244"/>
      <c r="L113" s="244"/>
    </row>
    <row r="114" spans="1:12" x14ac:dyDescent="0.2">
      <c r="A114" s="244"/>
      <c r="B114" s="244"/>
      <c r="C114" s="244"/>
      <c r="D114" s="244"/>
      <c r="E114" s="244"/>
      <c r="F114" s="244"/>
      <c r="G114" s="244"/>
      <c r="H114" s="244"/>
      <c r="I114" s="244"/>
      <c r="J114" s="244"/>
      <c r="K114" s="244"/>
      <c r="L114" s="244"/>
    </row>
    <row r="115" spans="1:12" x14ac:dyDescent="0.2">
      <c r="A115" s="244"/>
      <c r="B115" s="244"/>
      <c r="C115" s="244"/>
      <c r="D115" s="244"/>
      <c r="E115" s="244"/>
      <c r="F115" s="244"/>
      <c r="G115" s="244"/>
      <c r="H115" s="244"/>
      <c r="I115" s="244"/>
      <c r="J115" s="244"/>
      <c r="K115" s="244"/>
      <c r="L115" s="244"/>
    </row>
    <row r="116" spans="1:12" x14ac:dyDescent="0.2">
      <c r="A116" s="244"/>
      <c r="B116" s="244"/>
      <c r="C116" s="244"/>
      <c r="D116" s="244"/>
      <c r="E116" s="244"/>
      <c r="F116" s="244"/>
      <c r="G116" s="244"/>
      <c r="H116" s="244"/>
      <c r="I116" s="244"/>
      <c r="J116" s="244"/>
      <c r="K116" s="244"/>
      <c r="L116" s="244"/>
    </row>
    <row r="117" spans="1:12" x14ac:dyDescent="0.2">
      <c r="A117" s="244"/>
      <c r="B117" s="244"/>
      <c r="C117" s="244"/>
      <c r="D117" s="244"/>
      <c r="E117" s="244"/>
      <c r="F117" s="244"/>
      <c r="G117" s="244"/>
      <c r="H117" s="244"/>
      <c r="I117" s="244"/>
      <c r="J117" s="244"/>
      <c r="K117" s="244"/>
      <c r="L117" s="244"/>
    </row>
    <row r="118" spans="1:12" x14ac:dyDescent="0.2">
      <c r="A118" s="244"/>
      <c r="B118" s="244"/>
      <c r="C118" s="244"/>
      <c r="D118" s="244"/>
      <c r="E118" s="244"/>
      <c r="F118" s="244"/>
      <c r="G118" s="244"/>
      <c r="H118" s="244"/>
      <c r="I118" s="244"/>
      <c r="J118" s="244"/>
      <c r="K118" s="244"/>
      <c r="L118" s="244"/>
    </row>
    <row r="119" spans="1:12" x14ac:dyDescent="0.2">
      <c r="A119" s="244"/>
      <c r="B119" s="244"/>
      <c r="C119" s="244"/>
      <c r="D119" s="244"/>
      <c r="E119" s="244"/>
      <c r="F119" s="244"/>
      <c r="G119" s="244"/>
      <c r="H119" s="244"/>
      <c r="I119" s="244"/>
      <c r="J119" s="244"/>
      <c r="K119" s="244"/>
      <c r="L119" s="244"/>
    </row>
    <row r="120" spans="1:12" x14ac:dyDescent="0.2">
      <c r="A120" s="244"/>
      <c r="B120" s="244"/>
      <c r="C120" s="244"/>
      <c r="D120" s="244"/>
      <c r="E120" s="244"/>
      <c r="F120" s="244"/>
      <c r="G120" s="244"/>
      <c r="H120" s="244"/>
      <c r="I120" s="244"/>
      <c r="J120" s="244"/>
      <c r="K120" s="244"/>
      <c r="L120" s="244"/>
    </row>
    <row r="121" spans="1:12" x14ac:dyDescent="0.2">
      <c r="A121" s="244"/>
      <c r="B121" s="244"/>
      <c r="C121" s="244"/>
      <c r="D121" s="244"/>
      <c r="E121" s="244"/>
      <c r="F121" s="244"/>
      <c r="G121" s="244"/>
      <c r="H121" s="244"/>
      <c r="I121" s="244"/>
      <c r="J121" s="244"/>
      <c r="K121" s="244"/>
      <c r="L121" s="244"/>
    </row>
    <row r="122" spans="1:12" x14ac:dyDescent="0.2">
      <c r="A122" s="244"/>
      <c r="B122" s="244"/>
      <c r="C122" s="244"/>
      <c r="D122" s="244"/>
      <c r="E122" s="244"/>
      <c r="F122" s="244"/>
      <c r="G122" s="244"/>
      <c r="H122" s="244"/>
      <c r="I122" s="244"/>
      <c r="J122" s="244"/>
      <c r="K122" s="244"/>
      <c r="L122" s="244"/>
    </row>
    <row r="123" spans="1:12" x14ac:dyDescent="0.2">
      <c r="A123" s="244"/>
      <c r="B123" s="244"/>
      <c r="C123" s="244"/>
      <c r="D123" s="244"/>
      <c r="E123" s="244"/>
      <c r="F123" s="244"/>
      <c r="G123" s="244"/>
      <c r="H123" s="244"/>
      <c r="I123" s="244"/>
      <c r="J123" s="244"/>
      <c r="K123" s="244"/>
      <c r="L123" s="244"/>
    </row>
    <row r="124" spans="1:12" x14ac:dyDescent="0.2">
      <c r="A124" s="244"/>
      <c r="B124" s="244"/>
      <c r="C124" s="244"/>
      <c r="D124" s="244"/>
      <c r="E124" s="244"/>
      <c r="F124" s="244"/>
      <c r="G124" s="244"/>
      <c r="H124" s="244"/>
      <c r="I124" s="244"/>
      <c r="J124" s="244"/>
      <c r="K124" s="244"/>
      <c r="L124" s="244"/>
    </row>
    <row r="125" spans="1:12" x14ac:dyDescent="0.2">
      <c r="A125" s="244"/>
      <c r="B125" s="244"/>
      <c r="C125" s="244"/>
      <c r="D125" s="244"/>
      <c r="E125" s="244"/>
      <c r="F125" s="244"/>
      <c r="G125" s="244"/>
      <c r="H125" s="244"/>
      <c r="I125" s="244"/>
      <c r="J125" s="244"/>
      <c r="K125" s="244"/>
      <c r="L125" s="244"/>
    </row>
    <row r="126" spans="1:12" x14ac:dyDescent="0.2">
      <c r="A126" s="244"/>
      <c r="B126" s="244"/>
      <c r="C126" s="244"/>
      <c r="D126" s="244"/>
      <c r="E126" s="244"/>
      <c r="F126" s="244"/>
      <c r="G126" s="244"/>
      <c r="H126" s="244"/>
      <c r="I126" s="244"/>
      <c r="J126" s="244"/>
      <c r="K126" s="244"/>
      <c r="L126" s="244"/>
    </row>
    <row r="127" spans="1:12" x14ac:dyDescent="0.2">
      <c r="A127" s="244"/>
      <c r="B127" s="244"/>
      <c r="C127" s="244"/>
      <c r="D127" s="244"/>
      <c r="E127" s="244"/>
      <c r="F127" s="244"/>
      <c r="G127" s="244"/>
      <c r="H127" s="244"/>
      <c r="I127" s="244"/>
      <c r="J127" s="244"/>
      <c r="K127" s="244"/>
      <c r="L127" s="244"/>
    </row>
    <row r="128" spans="1:12" x14ac:dyDescent="0.2">
      <c r="A128" s="244"/>
      <c r="B128" s="244"/>
      <c r="C128" s="244"/>
      <c r="D128" s="244"/>
      <c r="E128" s="244"/>
      <c r="F128" s="244"/>
      <c r="G128" s="244"/>
      <c r="H128" s="244"/>
      <c r="I128" s="244"/>
      <c r="J128" s="244"/>
      <c r="K128" s="244"/>
      <c r="L128" s="244"/>
    </row>
    <row r="129" spans="1:12" x14ac:dyDescent="0.2">
      <c r="A129" s="244"/>
      <c r="B129" s="244"/>
      <c r="C129" s="244"/>
      <c r="D129" s="244"/>
      <c r="E129" s="244"/>
      <c r="F129" s="244"/>
      <c r="G129" s="244"/>
      <c r="H129" s="244"/>
      <c r="I129" s="244"/>
      <c r="J129" s="244"/>
      <c r="K129" s="244"/>
      <c r="L129" s="244"/>
    </row>
    <row r="130" spans="1:12" x14ac:dyDescent="0.2">
      <c r="A130" s="244"/>
      <c r="B130" s="244"/>
      <c r="C130" s="244"/>
      <c r="D130" s="244"/>
      <c r="E130" s="244"/>
      <c r="F130" s="244"/>
      <c r="G130" s="244"/>
      <c r="H130" s="244"/>
      <c r="I130" s="244"/>
      <c r="J130" s="244"/>
      <c r="K130" s="244"/>
      <c r="L130" s="244"/>
    </row>
    <row r="131" spans="1:12" x14ac:dyDescent="0.2">
      <c r="A131" s="244"/>
      <c r="B131" s="244"/>
      <c r="C131" s="244"/>
      <c r="D131" s="244"/>
      <c r="E131" s="244"/>
      <c r="F131" s="244"/>
      <c r="G131" s="244"/>
      <c r="H131" s="244"/>
      <c r="I131" s="244"/>
      <c r="J131" s="244"/>
      <c r="K131" s="244"/>
      <c r="L131" s="244"/>
    </row>
    <row r="132" spans="1:12" x14ac:dyDescent="0.2">
      <c r="A132" s="244"/>
      <c r="B132" s="244"/>
      <c r="C132" s="244"/>
      <c r="D132" s="244"/>
      <c r="E132" s="244"/>
      <c r="F132" s="244"/>
      <c r="G132" s="244"/>
      <c r="H132" s="244"/>
      <c r="I132" s="244"/>
      <c r="J132" s="244"/>
      <c r="K132" s="244"/>
      <c r="L132" s="244"/>
    </row>
    <row r="133" spans="1:12" x14ac:dyDescent="0.2">
      <c r="A133" s="244"/>
      <c r="B133" s="244"/>
      <c r="C133" s="244"/>
      <c r="D133" s="244"/>
      <c r="E133" s="244"/>
      <c r="F133" s="244"/>
      <c r="G133" s="244"/>
      <c r="H133" s="244"/>
      <c r="I133" s="244"/>
      <c r="J133" s="244"/>
      <c r="K133" s="244"/>
      <c r="L133" s="244"/>
    </row>
    <row r="134" spans="1:12" x14ac:dyDescent="0.2">
      <c r="A134" s="244"/>
      <c r="B134" s="244"/>
      <c r="C134" s="244"/>
      <c r="D134" s="244"/>
      <c r="E134" s="244"/>
      <c r="F134" s="244"/>
      <c r="G134" s="244"/>
      <c r="H134" s="244"/>
      <c r="I134" s="244"/>
      <c r="J134" s="244"/>
      <c r="K134" s="244"/>
      <c r="L134" s="244"/>
    </row>
    <row r="135" spans="1:12" x14ac:dyDescent="0.2">
      <c r="A135" s="244"/>
      <c r="B135" s="244"/>
      <c r="C135" s="244"/>
      <c r="D135" s="244"/>
      <c r="E135" s="244"/>
      <c r="F135" s="244"/>
      <c r="G135" s="244"/>
      <c r="H135" s="244"/>
      <c r="I135" s="244"/>
      <c r="J135" s="244"/>
      <c r="K135" s="244"/>
      <c r="L135" s="244"/>
    </row>
    <row r="136" spans="1:12" x14ac:dyDescent="0.2">
      <c r="A136" s="244"/>
      <c r="B136" s="244"/>
      <c r="C136" s="244"/>
      <c r="D136" s="244"/>
      <c r="E136" s="244"/>
      <c r="F136" s="244"/>
      <c r="G136" s="244"/>
      <c r="H136" s="244"/>
      <c r="I136" s="244"/>
      <c r="J136" s="244"/>
      <c r="K136" s="244"/>
      <c r="L136" s="244"/>
    </row>
    <row r="137" spans="1:12" x14ac:dyDescent="0.2">
      <c r="A137" s="244"/>
      <c r="B137" s="244"/>
      <c r="C137" s="244"/>
      <c r="D137" s="244"/>
      <c r="E137" s="244"/>
      <c r="F137" s="244"/>
      <c r="G137" s="244"/>
      <c r="H137" s="244"/>
      <c r="I137" s="244"/>
      <c r="J137" s="244"/>
      <c r="K137" s="244"/>
      <c r="L137" s="244"/>
    </row>
    <row r="138" spans="1:12" x14ac:dyDescent="0.2">
      <c r="A138" s="244"/>
      <c r="B138" s="244"/>
      <c r="C138" s="244"/>
      <c r="D138" s="244"/>
      <c r="E138" s="244"/>
      <c r="F138" s="244"/>
      <c r="G138" s="244"/>
      <c r="H138" s="244"/>
      <c r="I138" s="244"/>
      <c r="J138" s="244"/>
      <c r="K138" s="244"/>
      <c r="L138" s="244"/>
    </row>
    <row r="139" spans="1:12" x14ac:dyDescent="0.2">
      <c r="A139" s="244"/>
      <c r="B139" s="244"/>
      <c r="C139" s="244"/>
      <c r="D139" s="244"/>
      <c r="E139" s="244"/>
      <c r="F139" s="244"/>
      <c r="G139" s="244"/>
      <c r="H139" s="244"/>
      <c r="I139" s="244"/>
      <c r="J139" s="244"/>
      <c r="K139" s="244"/>
      <c r="L139" s="244"/>
    </row>
    <row r="140" spans="1:12" x14ac:dyDescent="0.2">
      <c r="A140" s="244"/>
      <c r="B140" s="244"/>
      <c r="C140" s="244"/>
      <c r="D140" s="244"/>
      <c r="E140" s="244"/>
      <c r="F140" s="244"/>
      <c r="G140" s="244"/>
      <c r="H140" s="244"/>
      <c r="I140" s="244"/>
      <c r="J140" s="244"/>
      <c r="K140" s="244"/>
      <c r="L140" s="244"/>
    </row>
    <row r="141" spans="1:12" x14ac:dyDescent="0.2">
      <c r="A141" s="244"/>
      <c r="B141" s="244"/>
      <c r="C141" s="244"/>
      <c r="D141" s="244"/>
      <c r="E141" s="244"/>
      <c r="F141" s="244"/>
      <c r="G141" s="244"/>
      <c r="H141" s="244"/>
      <c r="I141" s="244"/>
      <c r="J141" s="244"/>
      <c r="K141" s="244"/>
      <c r="L141" s="244"/>
    </row>
    <row r="142" spans="1:12" x14ac:dyDescent="0.2">
      <c r="A142" s="244"/>
      <c r="B142" s="244"/>
      <c r="C142" s="244"/>
      <c r="D142" s="244"/>
      <c r="E142" s="244"/>
      <c r="F142" s="244"/>
      <c r="G142" s="244"/>
      <c r="H142" s="244"/>
      <c r="I142" s="244"/>
      <c r="J142" s="244"/>
      <c r="K142" s="244"/>
      <c r="L142" s="244"/>
    </row>
    <row r="143" spans="1:12" x14ac:dyDescent="0.2">
      <c r="A143" s="244"/>
      <c r="B143" s="244"/>
      <c r="C143" s="244"/>
      <c r="D143" s="244"/>
      <c r="E143" s="244"/>
      <c r="F143" s="244"/>
      <c r="G143" s="244"/>
      <c r="H143" s="244"/>
      <c r="I143" s="244"/>
      <c r="J143" s="244"/>
      <c r="K143" s="244"/>
      <c r="L143" s="244"/>
    </row>
    <row r="144" spans="1:12" x14ac:dyDescent="0.2">
      <c r="A144" s="244"/>
      <c r="B144" s="244"/>
      <c r="C144" s="244"/>
      <c r="D144" s="244"/>
      <c r="E144" s="244"/>
      <c r="F144" s="244"/>
      <c r="G144" s="244"/>
      <c r="H144" s="244"/>
      <c r="I144" s="244"/>
      <c r="J144" s="244"/>
      <c r="K144" s="244"/>
      <c r="L144" s="244"/>
    </row>
    <row r="145" spans="1:12" x14ac:dyDescent="0.2">
      <c r="A145" s="244"/>
      <c r="B145" s="244"/>
      <c r="C145" s="244"/>
      <c r="D145" s="244"/>
      <c r="E145" s="244"/>
      <c r="F145" s="244"/>
      <c r="G145" s="244"/>
      <c r="H145" s="244"/>
      <c r="I145" s="244"/>
      <c r="J145" s="244"/>
      <c r="K145" s="244"/>
      <c r="L145" s="244"/>
    </row>
    <row r="146" spans="1:12" x14ac:dyDescent="0.2">
      <c r="A146" s="244"/>
      <c r="B146" s="244"/>
      <c r="C146" s="244"/>
      <c r="D146" s="244"/>
      <c r="E146" s="244"/>
      <c r="F146" s="244"/>
      <c r="G146" s="244"/>
      <c r="H146" s="244"/>
      <c r="I146" s="244"/>
      <c r="J146" s="244"/>
      <c r="K146" s="244"/>
      <c r="L146" s="244"/>
    </row>
    <row r="147" spans="1:12" x14ac:dyDescent="0.2">
      <c r="A147" s="244"/>
      <c r="B147" s="244"/>
      <c r="C147" s="244"/>
      <c r="D147" s="244"/>
      <c r="E147" s="244"/>
      <c r="F147" s="244"/>
      <c r="G147" s="244"/>
      <c r="H147" s="244"/>
      <c r="I147" s="244"/>
      <c r="J147" s="244"/>
      <c r="K147" s="244"/>
      <c r="L147" s="244"/>
    </row>
    <row r="148" spans="1:12" x14ac:dyDescent="0.2">
      <c r="A148" s="244"/>
      <c r="B148" s="244"/>
      <c r="C148" s="244"/>
      <c r="D148" s="244"/>
      <c r="E148" s="244"/>
      <c r="F148" s="244"/>
      <c r="G148" s="244"/>
      <c r="H148" s="244"/>
      <c r="I148" s="244"/>
      <c r="J148" s="244"/>
      <c r="K148" s="244"/>
      <c r="L148" s="244"/>
    </row>
    <row r="149" spans="1:12" x14ac:dyDescent="0.2">
      <c r="A149" s="244"/>
      <c r="B149" s="244"/>
      <c r="C149" s="244"/>
      <c r="D149" s="244"/>
      <c r="E149" s="244"/>
      <c r="F149" s="244"/>
      <c r="G149" s="244"/>
      <c r="H149" s="244"/>
      <c r="I149" s="244"/>
      <c r="J149" s="244"/>
      <c r="K149" s="244"/>
      <c r="L149" s="244"/>
    </row>
    <row r="150" spans="1:12" x14ac:dyDescent="0.2">
      <c r="A150" s="244"/>
      <c r="B150" s="244"/>
      <c r="C150" s="244"/>
      <c r="D150" s="244"/>
      <c r="E150" s="244"/>
      <c r="F150" s="244"/>
      <c r="G150" s="244"/>
      <c r="H150" s="244"/>
      <c r="I150" s="244"/>
      <c r="J150" s="244"/>
      <c r="K150" s="244"/>
      <c r="L150" s="244"/>
    </row>
    <row r="151" spans="1:12" x14ac:dyDescent="0.2">
      <c r="A151" s="244"/>
      <c r="B151" s="244"/>
      <c r="C151" s="244"/>
      <c r="D151" s="244"/>
      <c r="E151" s="244"/>
      <c r="F151" s="244"/>
      <c r="G151" s="244"/>
      <c r="H151" s="244"/>
      <c r="I151" s="244"/>
      <c r="J151" s="244"/>
      <c r="K151" s="244"/>
      <c r="L151" s="244"/>
    </row>
    <row r="152" spans="1:12" x14ac:dyDescent="0.2">
      <c r="A152" s="244"/>
      <c r="B152" s="244"/>
      <c r="C152" s="244"/>
      <c r="D152" s="244"/>
      <c r="E152" s="244"/>
      <c r="F152" s="244"/>
      <c r="G152" s="244"/>
      <c r="H152" s="244"/>
      <c r="I152" s="244"/>
      <c r="J152" s="244"/>
      <c r="K152" s="244"/>
      <c r="L152" s="244"/>
    </row>
  </sheetData>
  <pageMargins left="0.7" right="0.7" top="0.75" bottom="0.75" header="0.3" footer="0.3"/>
  <pageSetup scale="80" orientation="portrait" cellComments="asDisplayed" r:id="rId1"/>
  <headerFooter>
    <oddHeader>&amp;CSchedule 25
Wholesale Differences to Base TRR
&amp;"Arial,Bold"Exhibit G-1</oddHeader>
    <oddFooter>&amp;R&amp;A</oddFooter>
  </headerFooter>
  <rowBreaks count="1" manualBreakCount="1">
    <brk id="67" max="9"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2.75" x14ac:dyDescent="0.2"/>
  <cols>
    <col min="1" max="1" width="4.7109375" customWidth="1"/>
    <col min="2" max="2" width="3.7109375" customWidth="1"/>
    <col min="3" max="3" width="18.7109375" customWidth="1"/>
    <col min="4" max="4" width="14.7109375" customWidth="1"/>
    <col min="5" max="5" width="45.7109375" customWidth="1"/>
    <col min="6" max="6" width="12.140625" bestFit="1" customWidth="1"/>
  </cols>
  <sheetData>
    <row r="1" spans="1:5" x14ac:dyDescent="0.2">
      <c r="A1" s="1" t="s">
        <v>464</v>
      </c>
    </row>
    <row r="3" spans="1:5" x14ac:dyDescent="0.2">
      <c r="B3" s="1" t="s">
        <v>45</v>
      </c>
      <c r="E3" s="101" t="s">
        <v>18</v>
      </c>
    </row>
    <row r="4" spans="1:5" x14ac:dyDescent="0.2">
      <c r="D4" s="2" t="s">
        <v>46</v>
      </c>
    </row>
    <row r="5" spans="1:5" x14ac:dyDescent="0.2">
      <c r="C5" s="2" t="s">
        <v>459</v>
      </c>
      <c r="D5" s="2" t="s">
        <v>461</v>
      </c>
    </row>
    <row r="6" spans="1:5" x14ac:dyDescent="0.2">
      <c r="A6" s="3" t="s">
        <v>372</v>
      </c>
      <c r="C6" s="3" t="s">
        <v>223</v>
      </c>
      <c r="D6" s="3" t="s">
        <v>465</v>
      </c>
      <c r="E6" s="3" t="s">
        <v>209</v>
      </c>
    </row>
    <row r="7" spans="1:5" x14ac:dyDescent="0.2">
      <c r="A7" s="2">
        <v>1</v>
      </c>
      <c r="C7" s="158">
        <v>2010</v>
      </c>
      <c r="D7" s="865">
        <f>D71</f>
        <v>0.35</v>
      </c>
      <c r="E7" s="1131" t="s">
        <v>2611</v>
      </c>
    </row>
    <row r="8" spans="1:5" x14ac:dyDescent="0.2">
      <c r="A8" s="2">
        <f>A7+1</f>
        <v>2</v>
      </c>
      <c r="E8" s="648"/>
    </row>
    <row r="9" spans="1:5" x14ac:dyDescent="0.2">
      <c r="A9" s="2">
        <f t="shared" ref="A9:A58" si="0">A8+1</f>
        <v>3</v>
      </c>
      <c r="B9" s="1" t="s">
        <v>47</v>
      </c>
      <c r="E9" s="14"/>
    </row>
    <row r="10" spans="1:5" x14ac:dyDescent="0.2">
      <c r="A10" s="2">
        <f t="shared" si="0"/>
        <v>4</v>
      </c>
      <c r="B10" s="1"/>
      <c r="D10" s="2"/>
      <c r="E10" s="14"/>
    </row>
    <row r="11" spans="1:5" x14ac:dyDescent="0.2">
      <c r="A11" s="2">
        <f t="shared" si="0"/>
        <v>5</v>
      </c>
      <c r="D11" s="2" t="s">
        <v>321</v>
      </c>
      <c r="E11" s="14"/>
    </row>
    <row r="12" spans="1:5" x14ac:dyDescent="0.2">
      <c r="A12" s="2">
        <f t="shared" si="0"/>
        <v>6</v>
      </c>
      <c r="C12" s="2" t="s">
        <v>459</v>
      </c>
      <c r="D12" s="2" t="s">
        <v>461</v>
      </c>
      <c r="E12" s="14"/>
    </row>
    <row r="13" spans="1:5" x14ac:dyDescent="0.2">
      <c r="A13" s="2">
        <f t="shared" si="0"/>
        <v>7</v>
      </c>
      <c r="C13" s="3" t="s">
        <v>223</v>
      </c>
      <c r="D13" s="3" t="s">
        <v>462</v>
      </c>
      <c r="E13" s="131" t="s">
        <v>209</v>
      </c>
    </row>
    <row r="14" spans="1:5" x14ac:dyDescent="0.2">
      <c r="A14" s="2">
        <f t="shared" si="0"/>
        <v>8</v>
      </c>
      <c r="C14" s="158">
        <v>2010</v>
      </c>
      <c r="D14" s="70">
        <f>D51</f>
        <v>8.8327634763422744E-2</v>
      </c>
      <c r="E14" s="47" t="str">
        <f>"1) See calculation below on Line "&amp;A51&amp;" based on inputs"</f>
        <v>1) See calculation below on Line 45 based on inputs</v>
      </c>
    </row>
    <row r="15" spans="1:5" x14ac:dyDescent="0.2">
      <c r="A15" s="2">
        <f t="shared" si="0"/>
        <v>9</v>
      </c>
      <c r="C15" s="56"/>
      <c r="D15" s="14"/>
      <c r="E15" s="47" t="s">
        <v>332</v>
      </c>
    </row>
    <row r="16" spans="1:5" x14ac:dyDescent="0.2">
      <c r="A16" s="2">
        <f t="shared" si="0"/>
        <v>10</v>
      </c>
      <c r="C16" s="56"/>
      <c r="D16" s="14"/>
      <c r="E16" s="120" t="s">
        <v>463</v>
      </c>
    </row>
    <row r="17" spans="1:5" x14ac:dyDescent="0.2">
      <c r="A17" s="2">
        <f t="shared" si="0"/>
        <v>11</v>
      </c>
      <c r="C17" s="63"/>
      <c r="E17" s="120"/>
    </row>
    <row r="18" spans="1:5" x14ac:dyDescent="0.2">
      <c r="A18" s="2">
        <f t="shared" si="0"/>
        <v>12</v>
      </c>
      <c r="C18" s="1" t="s">
        <v>421</v>
      </c>
      <c r="E18" s="120"/>
    </row>
    <row r="19" spans="1:5" x14ac:dyDescent="0.2">
      <c r="A19" s="2">
        <f t="shared" si="0"/>
        <v>13</v>
      </c>
      <c r="E19" s="120"/>
    </row>
    <row r="20" spans="1:5" x14ac:dyDescent="0.2">
      <c r="A20" s="2">
        <f t="shared" si="0"/>
        <v>14</v>
      </c>
      <c r="C20" s="2"/>
      <c r="D20" s="2" t="s">
        <v>37</v>
      </c>
      <c r="E20" s="14"/>
    </row>
    <row r="21" spans="1:5" x14ac:dyDescent="0.2">
      <c r="A21" s="2">
        <f t="shared" si="0"/>
        <v>15</v>
      </c>
      <c r="C21" s="3" t="s">
        <v>43</v>
      </c>
      <c r="D21" s="3" t="s">
        <v>466</v>
      </c>
      <c r="E21" s="131" t="s">
        <v>209</v>
      </c>
    </row>
    <row r="22" spans="1:5" x14ac:dyDescent="0.2">
      <c r="A22" s="2">
        <f t="shared" si="0"/>
        <v>16</v>
      </c>
      <c r="C22" t="s">
        <v>39</v>
      </c>
      <c r="D22" s="51">
        <v>0.96655800000000003</v>
      </c>
      <c r="E22" s="1167" t="s">
        <v>458</v>
      </c>
    </row>
    <row r="23" spans="1:5" x14ac:dyDescent="0.2">
      <c r="A23" s="2">
        <f t="shared" si="0"/>
        <v>17</v>
      </c>
      <c r="C23" t="s">
        <v>40</v>
      </c>
      <c r="D23" s="51">
        <v>8.9149999999999993E-3</v>
      </c>
      <c r="E23" s="608"/>
    </row>
    <row r="24" spans="1:5" x14ac:dyDescent="0.2">
      <c r="A24" s="2">
        <f t="shared" si="0"/>
        <v>18</v>
      </c>
      <c r="C24" t="s">
        <v>41</v>
      </c>
      <c r="D24" s="51">
        <v>2.4702999999999999E-2</v>
      </c>
      <c r="E24" s="1054"/>
    </row>
    <row r="25" spans="1:5" x14ac:dyDescent="0.2">
      <c r="A25" s="2">
        <f t="shared" si="0"/>
        <v>19</v>
      </c>
      <c r="C25" t="s">
        <v>42</v>
      </c>
      <c r="D25" s="51">
        <v>6.4999999999999994E-5</v>
      </c>
      <c r="E25" s="1168"/>
    </row>
    <row r="26" spans="1:5" x14ac:dyDescent="0.2">
      <c r="A26" s="2">
        <f t="shared" si="0"/>
        <v>20</v>
      </c>
      <c r="D26" s="70"/>
      <c r="E26" s="1168"/>
    </row>
    <row r="27" spans="1:5" x14ac:dyDescent="0.2">
      <c r="A27" s="2">
        <f t="shared" si="0"/>
        <v>21</v>
      </c>
      <c r="D27" s="2" t="s">
        <v>44</v>
      </c>
      <c r="E27" s="14"/>
    </row>
    <row r="28" spans="1:5" x14ac:dyDescent="0.2">
      <c r="A28" s="2">
        <f t="shared" si="0"/>
        <v>22</v>
      </c>
      <c r="C28" s="3" t="s">
        <v>43</v>
      </c>
      <c r="D28" s="3" t="s">
        <v>460</v>
      </c>
      <c r="E28" s="14"/>
    </row>
    <row r="29" spans="1:5" x14ac:dyDescent="0.2">
      <c r="A29" s="2">
        <f t="shared" si="0"/>
        <v>23</v>
      </c>
      <c r="C29" t="s">
        <v>39</v>
      </c>
      <c r="D29" s="51">
        <v>8.8400000000000006E-2</v>
      </c>
      <c r="E29" s="608" t="s">
        <v>566</v>
      </c>
    </row>
    <row r="30" spans="1:5" x14ac:dyDescent="0.2">
      <c r="A30" s="2">
        <f t="shared" si="0"/>
        <v>24</v>
      </c>
      <c r="C30" t="s">
        <v>40</v>
      </c>
      <c r="D30" s="51">
        <v>7.5999999999999998E-2</v>
      </c>
      <c r="E30" s="1169" t="s">
        <v>2556</v>
      </c>
    </row>
    <row r="31" spans="1:5" x14ac:dyDescent="0.2">
      <c r="A31" s="2">
        <f t="shared" si="0"/>
        <v>25</v>
      </c>
      <c r="C31" t="s">
        <v>41</v>
      </c>
      <c r="D31" s="51">
        <v>6.9680000000000006E-2</v>
      </c>
    </row>
    <row r="32" spans="1:5" x14ac:dyDescent="0.2">
      <c r="A32" s="2">
        <f t="shared" si="0"/>
        <v>26</v>
      </c>
      <c r="C32" t="s">
        <v>42</v>
      </c>
      <c r="D32" s="478">
        <v>9.9750000000000005E-2</v>
      </c>
    </row>
    <row r="33" spans="1:5" x14ac:dyDescent="0.2">
      <c r="A33" s="2">
        <f t="shared" si="0"/>
        <v>27</v>
      </c>
    </row>
    <row r="34" spans="1:5" x14ac:dyDescent="0.2">
      <c r="A34" s="643">
        <f t="shared" si="0"/>
        <v>28</v>
      </c>
      <c r="D34" s="2" t="s">
        <v>1523</v>
      </c>
    </row>
    <row r="35" spans="1:5" x14ac:dyDescent="0.2">
      <c r="A35" s="643">
        <f t="shared" si="0"/>
        <v>29</v>
      </c>
      <c r="D35" s="643" t="s">
        <v>1810</v>
      </c>
    </row>
    <row r="36" spans="1:5" x14ac:dyDescent="0.2">
      <c r="A36" s="643">
        <f t="shared" si="0"/>
        <v>30</v>
      </c>
      <c r="D36" s="480" t="s">
        <v>1811</v>
      </c>
    </row>
    <row r="37" spans="1:5" x14ac:dyDescent="0.2">
      <c r="A37" s="643">
        <f t="shared" si="0"/>
        <v>31</v>
      </c>
      <c r="D37" s="643" t="s">
        <v>39</v>
      </c>
    </row>
    <row r="38" spans="1:5" x14ac:dyDescent="0.2">
      <c r="A38" s="643">
        <f t="shared" si="0"/>
        <v>32</v>
      </c>
      <c r="C38" s="3" t="s">
        <v>43</v>
      </c>
      <c r="D38" s="3" t="s">
        <v>1812</v>
      </c>
    </row>
    <row r="39" spans="1:5" x14ac:dyDescent="0.2">
      <c r="A39" s="643">
        <f t="shared" si="0"/>
        <v>33</v>
      </c>
      <c r="C39" t="s">
        <v>39</v>
      </c>
      <c r="D39" s="51">
        <v>1</v>
      </c>
      <c r="E39" s="608" t="s">
        <v>1660</v>
      </c>
    </row>
    <row r="40" spans="1:5" x14ac:dyDescent="0.2">
      <c r="A40" s="643">
        <f t="shared" si="0"/>
        <v>34</v>
      </c>
      <c r="C40" t="s">
        <v>40</v>
      </c>
      <c r="D40" s="51">
        <v>0.45587100000000003</v>
      </c>
      <c r="E40" s="14" t="s">
        <v>1661</v>
      </c>
    </row>
    <row r="41" spans="1:5" x14ac:dyDescent="0.2">
      <c r="A41" s="643">
        <f t="shared" si="0"/>
        <v>35</v>
      </c>
      <c r="C41" t="s">
        <v>41</v>
      </c>
      <c r="D41" s="51">
        <v>1.4926619999999999</v>
      </c>
    </row>
    <row r="42" spans="1:5" x14ac:dyDescent="0.2">
      <c r="A42" s="643">
        <f t="shared" si="0"/>
        <v>36</v>
      </c>
      <c r="C42" t="s">
        <v>42</v>
      </c>
      <c r="D42" s="478">
        <v>0.88067899999999999</v>
      </c>
    </row>
    <row r="43" spans="1:5" x14ac:dyDescent="0.2">
      <c r="A43" s="643">
        <f t="shared" si="0"/>
        <v>37</v>
      </c>
      <c r="D43" s="479"/>
    </row>
    <row r="44" spans="1:5" x14ac:dyDescent="0.2">
      <c r="A44" s="643">
        <f t="shared" si="0"/>
        <v>38</v>
      </c>
      <c r="D44" s="2" t="s">
        <v>1521</v>
      </c>
    </row>
    <row r="45" spans="1:5" x14ac:dyDescent="0.2">
      <c r="A45" s="643">
        <f t="shared" si="0"/>
        <v>39</v>
      </c>
      <c r="C45" s="3" t="s">
        <v>43</v>
      </c>
      <c r="D45" s="3" t="s">
        <v>1522</v>
      </c>
    </row>
    <row r="46" spans="1:5" x14ac:dyDescent="0.2">
      <c r="A46" s="643">
        <f t="shared" si="0"/>
        <v>40</v>
      </c>
      <c r="C46" t="s">
        <v>39</v>
      </c>
      <c r="D46" s="70">
        <f>D22*D29*D39</f>
        <v>8.5443727200000014E-2</v>
      </c>
      <c r="E46" s="13" t="str">
        <f>"Line "&amp;A22&amp;" * Line "&amp;A29&amp;" * Line "&amp;A39&amp;""</f>
        <v>Line 16 * Line 23 * Line 33</v>
      </c>
    </row>
    <row r="47" spans="1:5" x14ac:dyDescent="0.2">
      <c r="A47" s="643">
        <f t="shared" si="0"/>
        <v>41</v>
      </c>
      <c r="C47" t="s">
        <v>40</v>
      </c>
      <c r="D47" s="70">
        <f>D23*D30*D40</f>
        <v>3.0887083733999995E-4</v>
      </c>
      <c r="E47" s="13" t="str">
        <f>"Line "&amp;A23&amp;" * Line "&amp;A30&amp;" * Line "&amp;A40&amp;""</f>
        <v>Line 17 * Line 24 * Line 34</v>
      </c>
    </row>
    <row r="48" spans="1:5" x14ac:dyDescent="0.2">
      <c r="A48" s="643">
        <f t="shared" si="0"/>
        <v>42</v>
      </c>
      <c r="C48" t="s">
        <v>41</v>
      </c>
      <c r="D48" s="70">
        <f>D24*D31*D41</f>
        <v>2.5693266236164799E-3</v>
      </c>
      <c r="E48" s="13" t="str">
        <f>"Line "&amp;A24&amp;" * Line "&amp;A31&amp;" * Line "&amp;A41&amp;""</f>
        <v>Line 18 * Line 25 * Line 35</v>
      </c>
    </row>
    <row r="49" spans="1:9" x14ac:dyDescent="0.2">
      <c r="A49" s="643">
        <f t="shared" si="0"/>
        <v>43</v>
      </c>
      <c r="C49" t="s">
        <v>42</v>
      </c>
      <c r="D49" s="70">
        <f>D25*D32*D42</f>
        <v>5.7101024662499993E-6</v>
      </c>
      <c r="E49" s="13" t="str">
        <f>"Line "&amp;A25&amp;" * Line "&amp;A32&amp;" * Line "&amp;A42&amp;""</f>
        <v>Line 19 * Line 26 * Line 36</v>
      </c>
    </row>
    <row r="50" spans="1:9" x14ac:dyDescent="0.2">
      <c r="A50" s="643">
        <f t="shared" si="0"/>
        <v>44</v>
      </c>
      <c r="C50" s="71" t="s">
        <v>321</v>
      </c>
    </row>
    <row r="51" spans="1:9" x14ac:dyDescent="0.2">
      <c r="A51" s="643">
        <f t="shared" si="0"/>
        <v>45</v>
      </c>
      <c r="C51" s="71" t="s">
        <v>320</v>
      </c>
      <c r="D51" s="479">
        <f>SUM(D46:D49)</f>
        <v>8.8327634763422744E-2</v>
      </c>
      <c r="E51" s="13" t="str">
        <f>"Sum of Lines "&amp;A46&amp;" to "&amp;A49&amp;""</f>
        <v>Sum of Lines 40 to 43</v>
      </c>
    </row>
    <row r="52" spans="1:9" x14ac:dyDescent="0.2">
      <c r="A52" s="816">
        <f t="shared" si="0"/>
        <v>46</v>
      </c>
      <c r="E52" s="13"/>
    </row>
    <row r="53" spans="1:9" ht="12.75" customHeight="1" x14ac:dyDescent="0.2">
      <c r="A53" s="816">
        <f t="shared" si="0"/>
        <v>47</v>
      </c>
      <c r="B53" s="1" t="s">
        <v>2396</v>
      </c>
      <c r="E53" s="16"/>
    </row>
    <row r="54" spans="1:9" ht="12.75" customHeight="1" x14ac:dyDescent="0.2">
      <c r="A54" s="816">
        <f t="shared" si="0"/>
        <v>48</v>
      </c>
      <c r="E54" s="121"/>
      <c r="F54" s="3" t="s">
        <v>205</v>
      </c>
    </row>
    <row r="55" spans="1:9" ht="12.75" customHeight="1" x14ac:dyDescent="0.2">
      <c r="A55" s="117">
        <f t="shared" si="0"/>
        <v>49</v>
      </c>
      <c r="B55" s="14"/>
      <c r="C55" s="14" t="str">
        <f>"Total Electric Payroll Tax Expense (From 1-BaseTRR, Line "&amp;'1-BaseTRR'!A52&amp;")"</f>
        <v>Total Electric Payroll Tax Expense (From 1-BaseTRR, Line 30)</v>
      </c>
      <c r="D55" s="14"/>
      <c r="E55" s="14"/>
      <c r="F55" s="7">
        <f>'1-BaseTRR'!K52</f>
        <v>133739353</v>
      </c>
      <c r="G55" s="12"/>
    </row>
    <row r="56" spans="1:9" ht="12.75" customHeight="1" x14ac:dyDescent="0.2">
      <c r="A56" s="117">
        <f t="shared" si="0"/>
        <v>50</v>
      </c>
      <c r="B56" s="14"/>
      <c r="C56" s="651" t="s">
        <v>2715</v>
      </c>
      <c r="D56" s="14"/>
      <c r="E56" s="14"/>
      <c r="F56" s="870">
        <v>0.33200000000000002</v>
      </c>
      <c r="G56" s="12"/>
    </row>
    <row r="57" spans="1:9" ht="12.75" customHeight="1" x14ac:dyDescent="0.2">
      <c r="A57" s="117">
        <f t="shared" si="0"/>
        <v>51</v>
      </c>
      <c r="B57" s="14"/>
      <c r="C57" s="651" t="str">
        <f>"Capitalized Overhead portion of Electric Payroll Tax Expense (Line "&amp;A55&amp;" * Line "&amp;A56&amp;")"</f>
        <v>Capitalized Overhead portion of Electric Payroll Tax Expense (Line 49 * Line 50)</v>
      </c>
      <c r="D57" s="14"/>
      <c r="E57" s="14"/>
      <c r="F57" s="617">
        <f>F55*F56</f>
        <v>44401465.196000002</v>
      </c>
      <c r="G57" s="651"/>
      <c r="H57" s="14"/>
      <c r="I57" s="651"/>
    </row>
    <row r="58" spans="1:9" x14ac:dyDescent="0.2">
      <c r="A58" s="117">
        <f t="shared" si="0"/>
        <v>52</v>
      </c>
      <c r="B58" s="14"/>
      <c r="C58" s="651" t="str">
        <f>"Non-Capitalized Overhead portion of Electric Payroll Tax Expense (Line "&amp;A55&amp;" - Line "&amp;A57&amp;")"</f>
        <v>Non-Capitalized Overhead portion of Electric Payroll Tax Expense (Line 49 - Line 51)</v>
      </c>
      <c r="D58" s="14"/>
      <c r="E58" s="14"/>
      <c r="F58" s="7">
        <f>F55-F57</f>
        <v>89337887.80399999</v>
      </c>
      <c r="G58" s="12"/>
      <c r="H58" s="14"/>
    </row>
    <row r="60" spans="1:9" x14ac:dyDescent="0.2">
      <c r="B60" s="53" t="s">
        <v>267</v>
      </c>
    </row>
    <row r="61" spans="1:9" x14ac:dyDescent="0.2">
      <c r="B61" s="638" t="s">
        <v>1797</v>
      </c>
    </row>
    <row r="62" spans="1:9" x14ac:dyDescent="0.2">
      <c r="B62" s="638" t="s">
        <v>1794</v>
      </c>
    </row>
    <row r="63" spans="1:9" x14ac:dyDescent="0.2">
      <c r="B63" s="12" t="s">
        <v>1796</v>
      </c>
    </row>
    <row r="64" spans="1:9" x14ac:dyDescent="0.2">
      <c r="B64" s="639" t="s">
        <v>1795</v>
      </c>
    </row>
    <row r="65" spans="2:6" x14ac:dyDescent="0.2">
      <c r="B65" s="639"/>
      <c r="C65" s="651" t="s">
        <v>2602</v>
      </c>
      <c r="D65" s="14"/>
      <c r="E65" s="14"/>
      <c r="F65" s="14"/>
    </row>
    <row r="66" spans="2:6" x14ac:dyDescent="0.2">
      <c r="B66" s="639"/>
      <c r="C66" s="651"/>
      <c r="D66" s="14"/>
      <c r="E66" s="14"/>
      <c r="F66" s="14"/>
    </row>
    <row r="67" spans="2:6" x14ac:dyDescent="0.2">
      <c r="B67" s="639"/>
      <c r="C67" s="1071" t="s">
        <v>2610</v>
      </c>
      <c r="D67" s="1071" t="s">
        <v>2609</v>
      </c>
      <c r="E67" s="14"/>
      <c r="F67" s="14"/>
    </row>
    <row r="68" spans="2:6" x14ac:dyDescent="0.2">
      <c r="B68" s="131"/>
      <c r="C68" s="404" t="s">
        <v>2603</v>
      </c>
      <c r="D68" s="404" t="s">
        <v>2604</v>
      </c>
      <c r="E68" s="46" t="s">
        <v>2605</v>
      </c>
      <c r="F68" s="14"/>
    </row>
    <row r="69" spans="2:6" x14ac:dyDescent="0.2">
      <c r="B69" s="959" t="s">
        <v>2462</v>
      </c>
      <c r="C69" s="864">
        <v>0.35</v>
      </c>
      <c r="D69" s="101">
        <v>365</v>
      </c>
      <c r="E69" s="651" t="s">
        <v>2606</v>
      </c>
      <c r="F69" s="14"/>
    </row>
    <row r="70" spans="2:6" x14ac:dyDescent="0.2">
      <c r="B70" s="959" t="s">
        <v>2463</v>
      </c>
      <c r="C70" s="667"/>
      <c r="D70" s="101"/>
      <c r="E70" s="651" t="s">
        <v>2607</v>
      </c>
      <c r="F70" s="14"/>
    </row>
    <row r="71" spans="2:6" x14ac:dyDescent="0.2">
      <c r="B71" s="959" t="s">
        <v>2464</v>
      </c>
      <c r="C71" s="1052" t="s">
        <v>2608</v>
      </c>
      <c r="D71" s="81">
        <f>((C69*D69)+(C70*D70))/365</f>
        <v>0.35</v>
      </c>
      <c r="E71" s="868" t="s">
        <v>2612</v>
      </c>
      <c r="F71" s="14"/>
    </row>
    <row r="72" spans="2:6" x14ac:dyDescent="0.2">
      <c r="B72" s="1170" t="s">
        <v>2564</v>
      </c>
      <c r="C72" s="14"/>
      <c r="D72" s="101" t="s">
        <v>2567</v>
      </c>
      <c r="E72" s="101"/>
      <c r="F72" s="101"/>
    </row>
    <row r="73" spans="2:6" x14ac:dyDescent="0.2">
      <c r="B73" s="1170" t="s">
        <v>2565</v>
      </c>
      <c r="C73" s="14"/>
      <c r="D73" s="14"/>
      <c r="E73" s="14"/>
      <c r="F73" s="14"/>
    </row>
    <row r="74" spans="2:6" x14ac:dyDescent="0.2">
      <c r="B74" s="977" t="s">
        <v>2563</v>
      </c>
      <c r="C74" s="14"/>
      <c r="D74" s="101" t="s">
        <v>2566</v>
      </c>
      <c r="E74" s="101"/>
      <c r="F74" s="101"/>
    </row>
    <row r="75" spans="2:6" x14ac:dyDescent="0.2">
      <c r="B75" s="977" t="s">
        <v>2557</v>
      </c>
      <c r="C75" s="14"/>
      <c r="D75" s="667" t="s">
        <v>2560</v>
      </c>
      <c r="E75" s="101"/>
      <c r="F75" s="101"/>
    </row>
    <row r="76" spans="2:6" x14ac:dyDescent="0.2">
      <c r="B76" s="977" t="s">
        <v>2558</v>
      </c>
      <c r="C76" s="14"/>
      <c r="D76" s="667" t="s">
        <v>2561</v>
      </c>
      <c r="E76" s="101"/>
      <c r="F76" s="101"/>
    </row>
    <row r="77" spans="2:6" x14ac:dyDescent="0.2">
      <c r="B77" s="977" t="s">
        <v>2559</v>
      </c>
      <c r="C77" s="14"/>
      <c r="D77" s="667" t="s">
        <v>2562</v>
      </c>
      <c r="E77" s="101"/>
      <c r="F77" s="101"/>
    </row>
    <row r="78" spans="2:6" x14ac:dyDescent="0.2">
      <c r="B78" s="651" t="s">
        <v>2716</v>
      </c>
      <c r="C78" s="14"/>
      <c r="D78" s="14"/>
      <c r="E78" s="101" t="s">
        <v>2548</v>
      </c>
    </row>
    <row r="79" spans="2:6" x14ac:dyDescent="0.2">
      <c r="B79" s="648" t="s">
        <v>2717</v>
      </c>
      <c r="C79" s="14"/>
      <c r="D79" s="14"/>
      <c r="E79" s="771" t="s">
        <v>2718</v>
      </c>
    </row>
  </sheetData>
  <phoneticPr fontId="10" type="noConversion"/>
  <pageMargins left="0.75" right="0.75" top="1" bottom="1" header="0.5" footer="0.5"/>
  <pageSetup scale="75" orientation="portrait" cellComments="asDisplayed" r:id="rId1"/>
  <headerFooter alignWithMargins="0">
    <oddHeader>&amp;CSchedule 26
Tax Rates
&amp;"Arial,Bold"Exhibit G-1</oddHeader>
    <oddFooter>&amp;R&amp;A</oddFooter>
  </headerFooter>
  <rowBreaks count="1" manualBreakCount="1">
    <brk id="5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 t="s">
        <v>232</v>
      </c>
      <c r="B1" s="1"/>
    </row>
    <row r="2" spans="1:9" x14ac:dyDescent="0.2">
      <c r="A2" s="1"/>
      <c r="B2" s="1"/>
      <c r="E2" s="101" t="s">
        <v>18</v>
      </c>
    </row>
    <row r="3" spans="1:9" x14ac:dyDescent="0.2">
      <c r="G3" s="105"/>
    </row>
    <row r="4" spans="1:9" x14ac:dyDescent="0.2">
      <c r="A4" s="2"/>
      <c r="B4" s="1" t="s">
        <v>1278</v>
      </c>
      <c r="G4" s="105"/>
    </row>
    <row r="5" spans="1:9" x14ac:dyDescent="0.2">
      <c r="A5" s="2"/>
      <c r="C5" s="1"/>
      <c r="D5" s="2"/>
      <c r="E5" s="2" t="s">
        <v>199</v>
      </c>
      <c r="G5" s="4" t="s">
        <v>75</v>
      </c>
    </row>
    <row r="6" spans="1:9" x14ac:dyDescent="0.2">
      <c r="A6" s="53" t="s">
        <v>372</v>
      </c>
      <c r="C6" s="1"/>
      <c r="D6" s="3" t="s">
        <v>198</v>
      </c>
      <c r="E6" s="3" t="s">
        <v>200</v>
      </c>
      <c r="G6" s="3" t="s">
        <v>201</v>
      </c>
    </row>
    <row r="7" spans="1:9" x14ac:dyDescent="0.2">
      <c r="A7" s="2">
        <v>1</v>
      </c>
      <c r="C7" s="69" t="s">
        <v>375</v>
      </c>
      <c r="E7" s="15" t="str">
        <f>"19-OandM Line "&amp;'19-OandM'!A170&amp;", Col. 7"</f>
        <v>19-OandM Line 137, Col. 7</v>
      </c>
      <c r="G7" s="7">
        <f>'19-OandM'!H170</f>
        <v>34799812.806395754</v>
      </c>
      <c r="I7" s="12"/>
    </row>
    <row r="8" spans="1:9" x14ac:dyDescent="0.2">
      <c r="A8" s="2">
        <f>A7+1</f>
        <v>2</v>
      </c>
      <c r="C8" s="69" t="s">
        <v>274</v>
      </c>
      <c r="E8" s="15" t="s">
        <v>325</v>
      </c>
      <c r="G8" s="6">
        <v>1108772407</v>
      </c>
    </row>
    <row r="9" spans="1:9" x14ac:dyDescent="0.2">
      <c r="A9" s="2">
        <f t="shared" ref="A9:A62" si="0">A8+1</f>
        <v>3</v>
      </c>
      <c r="C9" s="5" t="s">
        <v>275</v>
      </c>
      <c r="E9" s="15" t="s">
        <v>326</v>
      </c>
      <c r="G9" s="6">
        <v>307647010</v>
      </c>
    </row>
    <row r="10" spans="1:9" x14ac:dyDescent="0.2">
      <c r="A10" s="2">
        <f t="shared" si="0"/>
        <v>4</v>
      </c>
      <c r="C10" s="69" t="s">
        <v>1284</v>
      </c>
      <c r="E10" s="15" t="str">
        <f>"Line "&amp;A8&amp;" - Line "&amp;A9&amp;""</f>
        <v>Line 2 - Line 3</v>
      </c>
      <c r="G10" s="7">
        <f>G8-G9</f>
        <v>801125397</v>
      </c>
    </row>
    <row r="11" spans="1:9" x14ac:dyDescent="0.2">
      <c r="A11" s="2">
        <f t="shared" si="0"/>
        <v>5</v>
      </c>
      <c r="C11" s="1171" t="s">
        <v>3120</v>
      </c>
      <c r="E11" s="15" t="str">
        <f>"20-AandG, Note 2"</f>
        <v>20-AandG, Note 2</v>
      </c>
      <c r="G11" s="65">
        <f>'20-AandG'!E64</f>
        <v>102070095</v>
      </c>
      <c r="I11" s="12"/>
    </row>
    <row r="12" spans="1:9" x14ac:dyDescent="0.2">
      <c r="A12" s="2">
        <f t="shared" si="0"/>
        <v>6</v>
      </c>
      <c r="C12" s="1093" t="s">
        <v>3116</v>
      </c>
      <c r="E12" s="15" t="str">
        <f>"20-AandG, Note 2"</f>
        <v>20-AandG, Note 2</v>
      </c>
      <c r="G12" s="107">
        <f>'20-AandG'!E61</f>
        <v>35166211</v>
      </c>
    </row>
    <row r="13" spans="1:9" x14ac:dyDescent="0.2">
      <c r="A13" s="2">
        <f t="shared" si="0"/>
        <v>7</v>
      </c>
      <c r="C13" s="1171" t="s">
        <v>3117</v>
      </c>
      <c r="E13" s="15" t="str">
        <f>"Line "&amp;A11&amp;" - Line "&amp;A12&amp;""</f>
        <v>Line 5 - Line 6</v>
      </c>
      <c r="G13" s="7">
        <f>G11-G12</f>
        <v>66903884</v>
      </c>
    </row>
    <row r="14" spans="1:9" x14ac:dyDescent="0.2">
      <c r="A14" s="2">
        <f t="shared" si="0"/>
        <v>8</v>
      </c>
      <c r="C14" s="1171" t="s">
        <v>3118</v>
      </c>
      <c r="E14" s="15" t="str">
        <f>"Line "&amp;A10&amp;" + Line "&amp;A13&amp;""</f>
        <v>Line 4 + Line 7</v>
      </c>
      <c r="G14" s="7">
        <f>G10+G13</f>
        <v>868029281</v>
      </c>
    </row>
    <row r="15" spans="1:9" x14ac:dyDescent="0.2">
      <c r="A15" s="2">
        <f t="shared" si="0"/>
        <v>9</v>
      </c>
      <c r="C15" t="s">
        <v>230</v>
      </c>
      <c r="E15" s="15" t="str">
        <f>"Line "&amp;A7&amp;" / Line "&amp;A14&amp;""</f>
        <v>Line 1 / Line 8</v>
      </c>
      <c r="G15" s="8">
        <f>G7/G14</f>
        <v>4.0090597826729017E-2</v>
      </c>
    </row>
    <row r="16" spans="1:9" x14ac:dyDescent="0.2">
      <c r="A16" s="2">
        <f t="shared" si="0"/>
        <v>10</v>
      </c>
      <c r="E16" s="14"/>
    </row>
    <row r="17" spans="1:11" x14ac:dyDescent="0.2">
      <c r="A17" s="2">
        <f t="shared" si="0"/>
        <v>11</v>
      </c>
      <c r="B17" s="1" t="s">
        <v>1279</v>
      </c>
      <c r="E17" s="14"/>
      <c r="G17" s="105"/>
    </row>
    <row r="18" spans="1:11" x14ac:dyDescent="0.2">
      <c r="A18" s="2">
        <f t="shared" si="0"/>
        <v>12</v>
      </c>
      <c r="D18" s="2"/>
      <c r="E18" s="117" t="s">
        <v>199</v>
      </c>
      <c r="G18" s="4" t="s">
        <v>75</v>
      </c>
    </row>
    <row r="19" spans="1:11" x14ac:dyDescent="0.2">
      <c r="A19" s="2">
        <f t="shared" si="0"/>
        <v>13</v>
      </c>
      <c r="D19" s="3" t="s">
        <v>198</v>
      </c>
      <c r="E19" s="131" t="s">
        <v>200</v>
      </c>
      <c r="G19" s="3" t="s">
        <v>201</v>
      </c>
    </row>
    <row r="20" spans="1:11" x14ac:dyDescent="0.2">
      <c r="A20" s="2">
        <f t="shared" si="0"/>
        <v>14</v>
      </c>
      <c r="C20" t="s">
        <v>376</v>
      </c>
      <c r="E20" s="15" t="str">
        <f>"7-PlantStudy, Line "&amp;'7-PlantStudy'!A28&amp;""</f>
        <v>7-PlantStudy, Line 21</v>
      </c>
      <c r="G20" s="65">
        <f>'7-PlantStudy'!E28</f>
        <v>3202106122</v>
      </c>
    </row>
    <row r="21" spans="1:11" x14ac:dyDescent="0.2">
      <c r="A21" s="2">
        <f t="shared" si="0"/>
        <v>15</v>
      </c>
      <c r="C21" t="s">
        <v>377</v>
      </c>
      <c r="E21" s="15" t="str">
        <f>"7-PlantStudy, Line "&amp;'7-PlantStudy'!A42&amp;""</f>
        <v>7-PlantStudy, Line 30</v>
      </c>
      <c r="G21" s="65">
        <f>'7-PlantStudy'!E42</f>
        <v>17221257</v>
      </c>
    </row>
    <row r="22" spans="1:11" x14ac:dyDescent="0.2">
      <c r="A22" s="2">
        <f t="shared" si="0"/>
        <v>16</v>
      </c>
      <c r="C22" t="s">
        <v>70</v>
      </c>
      <c r="E22" s="15" t="str">
        <f>"6-PlantInService, Line "&amp;'6-PlantInService'!A53&amp;", C2"</f>
        <v>6-PlantInService, Line 21, C2</v>
      </c>
      <c r="G22" s="65">
        <f>'6-PlantInService'!G53</f>
        <v>1315217471</v>
      </c>
      <c r="H22" s="105"/>
    </row>
    <row r="23" spans="1:11" x14ac:dyDescent="0.2">
      <c r="A23" s="2">
        <f t="shared" si="0"/>
        <v>17</v>
      </c>
      <c r="C23" t="s">
        <v>71</v>
      </c>
      <c r="E23" s="14" t="str">
        <f>"Line "&amp;A22&amp;" * Line "&amp;A15&amp;""</f>
        <v>Line 16 * Line 9</v>
      </c>
      <c r="G23" s="65">
        <f>G22*G15</f>
        <v>52727854.684548631</v>
      </c>
    </row>
    <row r="24" spans="1:11" x14ac:dyDescent="0.2">
      <c r="A24" s="2">
        <f t="shared" si="0"/>
        <v>18</v>
      </c>
      <c r="C24" t="s">
        <v>69</v>
      </c>
      <c r="E24" s="15" t="str">
        <f>"6-PlantInService, Line "&amp;'6-PlantInService'!A53&amp;", C1"</f>
        <v>6-PlantInService, Line 21, C1</v>
      </c>
      <c r="G24" s="65">
        <f>'6-PlantInService'!F53</f>
        <v>1804660920</v>
      </c>
    </row>
    <row r="25" spans="1:11" x14ac:dyDescent="0.2">
      <c r="A25" s="2">
        <f t="shared" si="0"/>
        <v>19</v>
      </c>
      <c r="C25" t="s">
        <v>194</v>
      </c>
      <c r="E25" t="str">
        <f>"Line "&amp;A24&amp;" * Line "&amp;A15&amp;""</f>
        <v>Line 18 * Line 9</v>
      </c>
      <c r="G25" s="65">
        <f>G24*G15</f>
        <v>72349935.15733479</v>
      </c>
    </row>
    <row r="26" spans="1:11" x14ac:dyDescent="0.2">
      <c r="A26" s="2">
        <f t="shared" si="0"/>
        <v>20</v>
      </c>
      <c r="C26" s="12" t="s">
        <v>1282</v>
      </c>
      <c r="E26" t="s">
        <v>36</v>
      </c>
      <c r="G26" s="6">
        <v>33240647007</v>
      </c>
    </row>
    <row r="27" spans="1:11" x14ac:dyDescent="0.2">
      <c r="A27" s="2">
        <f t="shared" si="0"/>
        <v>21</v>
      </c>
      <c r="G27" s="105"/>
    </row>
    <row r="28" spans="1:11" x14ac:dyDescent="0.2">
      <c r="A28" s="2">
        <f t="shared" si="0"/>
        <v>22</v>
      </c>
      <c r="C28" t="s">
        <v>68</v>
      </c>
      <c r="E28" s="12" t="str">
        <f>"(L"&amp;A20&amp;" + L"&amp;A21&amp;" + L"&amp;A23&amp;" + L"&amp;A25&amp;") / L"&amp;A26&amp;""</f>
        <v>(L14 + L15 + L17 + L19) / L20</v>
      </c>
      <c r="G28" s="8">
        <f>(G20+G21+G23+G25)/G26</f>
        <v>0.1006119155303325</v>
      </c>
    </row>
    <row r="29" spans="1:11" x14ac:dyDescent="0.2">
      <c r="A29" s="839">
        <f t="shared" si="0"/>
        <v>23</v>
      </c>
      <c r="E29" s="12"/>
      <c r="G29" s="8"/>
    </row>
    <row r="30" spans="1:11" x14ac:dyDescent="0.2">
      <c r="A30" s="117">
        <f t="shared" si="0"/>
        <v>24</v>
      </c>
      <c r="B30" s="45" t="s">
        <v>2790</v>
      </c>
      <c r="C30" s="14"/>
      <c r="D30" s="14"/>
      <c r="E30" s="14"/>
      <c r="F30" s="14"/>
      <c r="G30" s="14"/>
      <c r="H30" s="14"/>
      <c r="I30" s="14"/>
      <c r="J30" s="14"/>
      <c r="K30" s="14"/>
    </row>
    <row r="31" spans="1:11" x14ac:dyDescent="0.2">
      <c r="A31" s="117">
        <f t="shared" si="0"/>
        <v>25</v>
      </c>
      <c r="B31" s="651"/>
      <c r="C31" s="14"/>
      <c r="D31" s="14"/>
      <c r="E31" s="14"/>
      <c r="F31" s="14"/>
      <c r="G31" s="14"/>
      <c r="H31" s="14"/>
      <c r="I31" s="14"/>
      <c r="J31" s="14"/>
      <c r="K31" s="14"/>
    </row>
    <row r="32" spans="1:11" x14ac:dyDescent="0.2">
      <c r="A32" s="117">
        <f t="shared" si="0"/>
        <v>26</v>
      </c>
      <c r="B32" s="14" t="s">
        <v>2644</v>
      </c>
      <c r="C32" s="14"/>
      <c r="D32" s="131" t="s">
        <v>2648</v>
      </c>
      <c r="E32" s="131" t="s">
        <v>198</v>
      </c>
      <c r="F32" s="14"/>
      <c r="G32" s="811" t="s">
        <v>2649</v>
      </c>
      <c r="H32" s="14"/>
      <c r="I32" s="14"/>
      <c r="J32" s="14"/>
      <c r="K32" s="14"/>
    </row>
    <row r="33" spans="1:11" x14ac:dyDescent="0.2">
      <c r="A33" s="117">
        <f t="shared" si="0"/>
        <v>27</v>
      </c>
      <c r="B33" s="14"/>
      <c r="C33" s="651" t="s">
        <v>2645</v>
      </c>
      <c r="D33" s="104">
        <v>8449</v>
      </c>
      <c r="E33" s="131"/>
      <c r="F33" s="14"/>
      <c r="G33" s="533" t="s">
        <v>1588</v>
      </c>
      <c r="H33" s="14"/>
      <c r="I33" s="14"/>
      <c r="J33" s="997"/>
      <c r="K33" s="14"/>
    </row>
    <row r="34" spans="1:11" x14ac:dyDescent="0.2">
      <c r="A34" s="117">
        <f t="shared" si="0"/>
        <v>28</v>
      </c>
      <c r="B34" s="14"/>
      <c r="C34" s="14" t="s">
        <v>2646</v>
      </c>
      <c r="D34" s="104">
        <v>6914</v>
      </c>
      <c r="E34" s="131"/>
      <c r="F34" s="14"/>
      <c r="G34" s="533" t="s">
        <v>1589</v>
      </c>
      <c r="H34" s="14"/>
      <c r="I34" s="14"/>
      <c r="J34" s="14"/>
      <c r="K34" s="14"/>
    </row>
    <row r="35" spans="1:11" x14ac:dyDescent="0.2">
      <c r="A35" s="117">
        <f t="shared" si="0"/>
        <v>29</v>
      </c>
      <c r="B35" s="14"/>
      <c r="C35" s="14" t="s">
        <v>2647</v>
      </c>
      <c r="D35" s="119">
        <f>SUM(D33:D34)</f>
        <v>15363</v>
      </c>
      <c r="E35" s="15" t="str">
        <f>" = L"&amp;A33&amp;" + L"&amp;A34&amp;""</f>
        <v xml:space="preserve"> = L27 + L28</v>
      </c>
      <c r="F35" s="14"/>
      <c r="G35" s="533" t="s">
        <v>1590</v>
      </c>
      <c r="H35" s="14"/>
      <c r="I35" s="14"/>
      <c r="J35" s="14"/>
      <c r="K35" s="14"/>
    </row>
    <row r="36" spans="1:11" x14ac:dyDescent="0.2">
      <c r="A36" s="117">
        <f t="shared" si="0"/>
        <v>30</v>
      </c>
      <c r="B36" s="14"/>
      <c r="C36" s="651" t="s">
        <v>2654</v>
      </c>
      <c r="D36" s="1173">
        <f>D33/D35</f>
        <v>0.54995769055523014</v>
      </c>
      <c r="E36" s="15" t="str">
        <f>" = L"&amp;A33&amp;" / L"&amp;A35&amp;""</f>
        <v xml:space="preserve"> = L27 / L29</v>
      </c>
      <c r="F36" s="14"/>
      <c r="G36" s="1048"/>
      <c r="H36" s="14"/>
      <c r="I36" s="14"/>
      <c r="J36" s="14"/>
      <c r="K36" s="14"/>
    </row>
    <row r="37" spans="1:11" x14ac:dyDescent="0.2">
      <c r="A37" s="117">
        <f t="shared" si="0"/>
        <v>31</v>
      </c>
      <c r="B37" s="14"/>
      <c r="C37" s="14"/>
      <c r="D37" s="14"/>
      <c r="E37" s="14"/>
      <c r="F37" s="14"/>
      <c r="G37" s="1048"/>
      <c r="H37" s="14"/>
      <c r="I37" s="14"/>
      <c r="J37" s="14"/>
      <c r="K37" s="14"/>
    </row>
    <row r="38" spans="1:11" x14ac:dyDescent="0.2">
      <c r="A38" s="117">
        <f t="shared" si="0"/>
        <v>32</v>
      </c>
      <c r="B38" s="651" t="s">
        <v>2650</v>
      </c>
      <c r="C38" s="14"/>
      <c r="D38" s="131" t="s">
        <v>2648</v>
      </c>
      <c r="E38" s="131" t="s">
        <v>198</v>
      </c>
      <c r="F38" s="14"/>
      <c r="G38" s="811" t="s">
        <v>2649</v>
      </c>
      <c r="H38" s="14"/>
      <c r="I38" s="14"/>
      <c r="J38" s="14"/>
      <c r="K38" s="14"/>
    </row>
    <row r="39" spans="1:11" x14ac:dyDescent="0.2">
      <c r="A39" s="117">
        <f t="shared" si="0"/>
        <v>33</v>
      </c>
      <c r="B39" s="14"/>
      <c r="C39" s="651" t="s">
        <v>2651</v>
      </c>
      <c r="D39" s="104">
        <v>233</v>
      </c>
      <c r="E39" s="131"/>
      <c r="F39" s="14"/>
      <c r="G39" s="533" t="s">
        <v>1594</v>
      </c>
      <c r="H39" s="14"/>
      <c r="I39" s="14"/>
      <c r="J39" s="14"/>
      <c r="K39" s="14"/>
    </row>
    <row r="40" spans="1:11" x14ac:dyDescent="0.2">
      <c r="A40" s="117">
        <f t="shared" si="0"/>
        <v>34</v>
      </c>
      <c r="B40" s="14"/>
      <c r="C40" s="651" t="s">
        <v>2652</v>
      </c>
      <c r="D40" s="104">
        <v>960</v>
      </c>
      <c r="E40" s="131"/>
      <c r="F40" s="14"/>
      <c r="G40" s="14"/>
      <c r="H40" s="14"/>
      <c r="I40" s="14"/>
      <c r="J40" s="14"/>
      <c r="K40" s="14"/>
    </row>
    <row r="41" spans="1:11" x14ac:dyDescent="0.2">
      <c r="A41" s="117">
        <f t="shared" si="0"/>
        <v>35</v>
      </c>
      <c r="B41" s="14"/>
      <c r="C41" s="651" t="s">
        <v>2653</v>
      </c>
      <c r="D41" s="119">
        <f>SUM(D39:D40)</f>
        <v>1193</v>
      </c>
      <c r="E41" s="15" t="str">
        <f>" = L"&amp;A39&amp;" + L"&amp;A40&amp;""</f>
        <v xml:space="preserve"> = L33 + L34</v>
      </c>
      <c r="F41" s="14"/>
      <c r="G41" s="14"/>
      <c r="H41" s="14"/>
      <c r="I41" s="14"/>
      <c r="J41" s="14"/>
      <c r="K41" s="14"/>
    </row>
    <row r="42" spans="1:11" x14ac:dyDescent="0.2">
      <c r="A42" s="117">
        <f t="shared" si="0"/>
        <v>36</v>
      </c>
      <c r="B42" s="14"/>
      <c r="C42" s="651" t="s">
        <v>2655</v>
      </c>
      <c r="D42" s="1173">
        <f>D39/D41</f>
        <v>0.19530595138306789</v>
      </c>
      <c r="E42" s="15" t="str">
        <f>" = L"&amp;A39&amp;" / L"&amp;A41&amp;""</f>
        <v xml:space="preserve"> = L33 / L35</v>
      </c>
      <c r="F42" s="14"/>
      <c r="G42" s="14"/>
      <c r="H42" s="14"/>
      <c r="I42" s="14"/>
      <c r="J42" s="14"/>
      <c r="K42" s="14"/>
    </row>
    <row r="43" spans="1:11" x14ac:dyDescent="0.2">
      <c r="A43" s="117">
        <f t="shared" si="0"/>
        <v>37</v>
      </c>
      <c r="B43" s="14"/>
      <c r="C43" s="14"/>
      <c r="D43" s="14"/>
      <c r="E43" s="14"/>
      <c r="F43" s="14"/>
      <c r="G43" s="14"/>
      <c r="H43" s="14"/>
      <c r="I43" s="14"/>
      <c r="J43" s="14"/>
      <c r="K43" s="14"/>
    </row>
    <row r="44" spans="1:11" x14ac:dyDescent="0.2">
      <c r="A44" s="117">
        <f t="shared" si="0"/>
        <v>38</v>
      </c>
      <c r="B44" s="651" t="s">
        <v>2656</v>
      </c>
      <c r="C44" s="14"/>
      <c r="D44" s="131" t="s">
        <v>2648</v>
      </c>
      <c r="E44" s="131" t="s">
        <v>198</v>
      </c>
      <c r="F44" s="14"/>
      <c r="G44" s="811" t="s">
        <v>2649</v>
      </c>
      <c r="H44" s="14"/>
      <c r="I44" s="14"/>
      <c r="J44" s="14"/>
      <c r="K44" s="14"/>
    </row>
    <row r="45" spans="1:11" x14ac:dyDescent="0.2">
      <c r="A45" s="117">
        <f t="shared" si="0"/>
        <v>39</v>
      </c>
      <c r="B45" s="14"/>
      <c r="C45" s="651" t="s">
        <v>2657</v>
      </c>
      <c r="D45" s="104">
        <v>1840</v>
      </c>
      <c r="E45" s="131"/>
      <c r="F45" s="14"/>
      <c r="G45" s="533" t="s">
        <v>1595</v>
      </c>
      <c r="H45" s="14"/>
      <c r="I45" s="14"/>
      <c r="J45" s="14"/>
      <c r="K45" s="14"/>
    </row>
    <row r="46" spans="1:11" x14ac:dyDescent="0.2">
      <c r="A46" s="117">
        <f t="shared" si="0"/>
        <v>40</v>
      </c>
      <c r="B46" s="14"/>
      <c r="C46" s="651" t="s">
        <v>2662</v>
      </c>
      <c r="D46" s="104">
        <v>3682</v>
      </c>
      <c r="E46" s="131"/>
      <c r="F46" s="14"/>
      <c r="G46" s="14"/>
      <c r="H46" s="14"/>
      <c r="I46" s="14"/>
      <c r="J46" s="14"/>
      <c r="K46" s="14"/>
    </row>
    <row r="47" spans="1:11" x14ac:dyDescent="0.2">
      <c r="A47" s="117">
        <f t="shared" si="0"/>
        <v>41</v>
      </c>
      <c r="B47" s="14"/>
      <c r="C47" s="651" t="s">
        <v>2658</v>
      </c>
      <c r="D47" s="119">
        <f>SUM(D45:D46)</f>
        <v>5522</v>
      </c>
      <c r="E47" s="15" t="str">
        <f>" = L"&amp;A45&amp;" + L"&amp;A46&amp;""</f>
        <v xml:space="preserve"> = L39 + L40</v>
      </c>
      <c r="F47" s="14"/>
      <c r="G47" s="14"/>
      <c r="H47" s="14"/>
      <c r="I47" s="14"/>
      <c r="J47" s="14"/>
      <c r="K47" s="14"/>
    </row>
    <row r="48" spans="1:11" x14ac:dyDescent="0.2">
      <c r="A48" s="117">
        <f t="shared" si="0"/>
        <v>42</v>
      </c>
      <c r="B48" s="14"/>
      <c r="C48" s="651" t="s">
        <v>2659</v>
      </c>
      <c r="D48" s="1173">
        <f>D45/D47</f>
        <v>0.33321260412893877</v>
      </c>
      <c r="E48" s="15" t="str">
        <f>" = L"&amp;A45&amp;" / L"&amp;A47&amp;""</f>
        <v xml:space="preserve"> = L39 / L41</v>
      </c>
      <c r="F48" s="14"/>
      <c r="G48" s="14"/>
      <c r="H48" s="14"/>
      <c r="I48" s="14"/>
      <c r="J48" s="14"/>
      <c r="K48" s="14"/>
    </row>
    <row r="49" spans="1:11" x14ac:dyDescent="0.2">
      <c r="A49" s="117">
        <f t="shared" si="0"/>
        <v>43</v>
      </c>
      <c r="B49" s="14"/>
      <c r="C49" s="14"/>
      <c r="D49" s="14"/>
      <c r="E49" s="14"/>
      <c r="F49" s="14"/>
      <c r="G49" s="14"/>
      <c r="H49" s="14"/>
      <c r="I49" s="14"/>
      <c r="J49" s="14"/>
      <c r="K49" s="14"/>
    </row>
    <row r="50" spans="1:11" x14ac:dyDescent="0.2">
      <c r="A50" s="117">
        <f t="shared" si="0"/>
        <v>44</v>
      </c>
      <c r="B50" s="651" t="s">
        <v>2665</v>
      </c>
      <c r="C50" s="14"/>
      <c r="D50" s="131" t="s">
        <v>2648</v>
      </c>
      <c r="E50" s="131" t="s">
        <v>198</v>
      </c>
      <c r="F50" s="14"/>
      <c r="G50" s="811" t="s">
        <v>2649</v>
      </c>
      <c r="H50" s="14"/>
      <c r="I50" s="14"/>
      <c r="J50" s="14"/>
      <c r="K50" s="14"/>
    </row>
    <row r="51" spans="1:11" x14ac:dyDescent="0.2">
      <c r="A51" s="117">
        <f t="shared" si="0"/>
        <v>45</v>
      </c>
      <c r="B51" s="14"/>
      <c r="C51" s="651" t="s">
        <v>2660</v>
      </c>
      <c r="D51" s="104">
        <v>5788</v>
      </c>
      <c r="E51" s="131"/>
      <c r="F51" s="14"/>
      <c r="G51" s="533" t="s">
        <v>1597</v>
      </c>
      <c r="H51" s="14"/>
      <c r="I51" s="14"/>
      <c r="J51" s="14"/>
      <c r="K51" s="14"/>
    </row>
    <row r="52" spans="1:11" x14ac:dyDescent="0.2">
      <c r="A52" s="117">
        <f t="shared" si="0"/>
        <v>46</v>
      </c>
      <c r="B52" s="14"/>
      <c r="C52" s="651" t="s">
        <v>2661</v>
      </c>
      <c r="D52" s="104">
        <v>5924</v>
      </c>
      <c r="E52" s="131"/>
      <c r="F52" s="14"/>
      <c r="G52" s="533" t="s">
        <v>1624</v>
      </c>
      <c r="H52" s="14"/>
      <c r="I52" s="14"/>
      <c r="J52" s="14"/>
      <c r="K52" s="14"/>
    </row>
    <row r="53" spans="1:11" x14ac:dyDescent="0.2">
      <c r="A53" s="117">
        <f t="shared" si="0"/>
        <v>47</v>
      </c>
      <c r="B53" s="14"/>
      <c r="C53" s="651" t="s">
        <v>2663</v>
      </c>
      <c r="D53" s="119">
        <f>SUM(D51:D52)</f>
        <v>11712</v>
      </c>
      <c r="E53" s="15" t="str">
        <f>" = L"&amp;A51&amp;" + L"&amp;A52&amp;""</f>
        <v xml:space="preserve"> = L45 + L46</v>
      </c>
      <c r="F53" s="14"/>
      <c r="G53" s="533" t="s">
        <v>1625</v>
      </c>
      <c r="H53" s="14"/>
      <c r="I53" s="14"/>
      <c r="J53" s="14"/>
      <c r="K53" s="14"/>
    </row>
    <row r="54" spans="1:11" x14ac:dyDescent="0.2">
      <c r="A54" s="117">
        <f t="shared" si="0"/>
        <v>48</v>
      </c>
      <c r="B54" s="14"/>
      <c r="C54" s="651" t="s">
        <v>2664</v>
      </c>
      <c r="D54" s="1173">
        <f>D51/D53</f>
        <v>0.49419398907103823</v>
      </c>
      <c r="E54" s="15" t="str">
        <f>" = L"&amp;A51&amp;" / L"&amp;A53&amp;""</f>
        <v xml:space="preserve"> = L45 / L47</v>
      </c>
      <c r="F54" s="14"/>
      <c r="G54" s="533" t="s">
        <v>1626</v>
      </c>
      <c r="H54" s="14"/>
      <c r="I54" s="14"/>
      <c r="J54" s="14"/>
      <c r="K54" s="14"/>
    </row>
    <row r="55" spans="1:11" x14ac:dyDescent="0.2">
      <c r="A55" s="117">
        <f t="shared" si="0"/>
        <v>49</v>
      </c>
      <c r="B55" s="131"/>
      <c r="C55" s="131"/>
      <c r="D55" s="14"/>
      <c r="E55" s="131"/>
      <c r="F55" s="14"/>
      <c r="G55" s="131"/>
      <c r="H55" s="14"/>
      <c r="I55" s="14"/>
      <c r="J55" s="14"/>
      <c r="K55" s="14"/>
    </row>
    <row r="56" spans="1:11" x14ac:dyDescent="0.2">
      <c r="A56" s="117">
        <f t="shared" si="0"/>
        <v>50</v>
      </c>
      <c r="B56" s="651" t="s">
        <v>2666</v>
      </c>
      <c r="C56" s="14"/>
      <c r="D56" s="131" t="s">
        <v>2648</v>
      </c>
      <c r="E56" s="131" t="s">
        <v>198</v>
      </c>
      <c r="F56" s="14"/>
      <c r="G56" s="811" t="s">
        <v>2649</v>
      </c>
      <c r="H56" s="14"/>
      <c r="I56" s="14"/>
      <c r="J56" s="14"/>
      <c r="K56" s="14"/>
    </row>
    <row r="57" spans="1:11" x14ac:dyDescent="0.2">
      <c r="A57" s="117">
        <f t="shared" si="0"/>
        <v>51</v>
      </c>
      <c r="B57" s="1047"/>
      <c r="C57" s="651" t="s">
        <v>2667</v>
      </c>
      <c r="D57" s="104">
        <v>2</v>
      </c>
      <c r="E57" s="131"/>
      <c r="F57" s="14"/>
      <c r="G57" s="533" t="s">
        <v>1598</v>
      </c>
      <c r="H57" s="14"/>
      <c r="I57" s="14"/>
      <c r="J57" s="14"/>
      <c r="K57" s="14"/>
    </row>
    <row r="58" spans="1:11" x14ac:dyDescent="0.2">
      <c r="A58" s="117">
        <f t="shared" si="0"/>
        <v>52</v>
      </c>
      <c r="B58" s="1047"/>
      <c r="C58" s="651" t="s">
        <v>2668</v>
      </c>
      <c r="D58" s="104">
        <v>342</v>
      </c>
      <c r="E58" s="131"/>
      <c r="F58" s="14"/>
      <c r="G58" s="533" t="s">
        <v>1628</v>
      </c>
      <c r="H58" s="14"/>
      <c r="I58" s="14"/>
      <c r="J58" s="14"/>
      <c r="K58" s="14"/>
    </row>
    <row r="59" spans="1:11" x14ac:dyDescent="0.2">
      <c r="A59" s="117">
        <f t="shared" si="0"/>
        <v>53</v>
      </c>
      <c r="B59" s="1047"/>
      <c r="C59" s="651" t="s">
        <v>2669</v>
      </c>
      <c r="D59" s="119">
        <f>SUM(D57:D58)</f>
        <v>344</v>
      </c>
      <c r="E59" s="15" t="str">
        <f>" = L"&amp;A57&amp;" + L"&amp;A58&amp;""</f>
        <v xml:space="preserve"> = L51 + L52</v>
      </c>
      <c r="F59" s="14"/>
      <c r="G59" s="14"/>
      <c r="H59" s="14"/>
      <c r="I59" s="14"/>
      <c r="J59" s="14"/>
      <c r="K59" s="14"/>
    </row>
    <row r="60" spans="1:11" x14ac:dyDescent="0.2">
      <c r="A60" s="117">
        <f t="shared" si="0"/>
        <v>54</v>
      </c>
      <c r="B60" s="1047"/>
      <c r="C60" s="651" t="s">
        <v>2670</v>
      </c>
      <c r="D60" s="1173">
        <f>D57/D59</f>
        <v>5.8139534883720929E-3</v>
      </c>
      <c r="E60" s="15" t="str">
        <f>" = L"&amp;A57&amp;" / L"&amp;A59&amp;""</f>
        <v xml:space="preserve"> = L51 / L53</v>
      </c>
      <c r="F60" s="14"/>
      <c r="G60" s="14"/>
      <c r="H60" s="14"/>
      <c r="I60" s="14"/>
      <c r="J60" s="14"/>
      <c r="K60" s="14"/>
    </row>
    <row r="61" spans="1:11" x14ac:dyDescent="0.2">
      <c r="A61" s="117">
        <f t="shared" si="0"/>
        <v>55</v>
      </c>
      <c r="B61" s="1047"/>
      <c r="C61" s="120"/>
      <c r="D61" s="14"/>
      <c r="E61" s="131"/>
      <c r="F61" s="14"/>
      <c r="G61" s="65"/>
      <c r="H61" s="14"/>
      <c r="I61" s="14"/>
      <c r="J61" s="14"/>
      <c r="K61" s="14"/>
    </row>
    <row r="62" spans="1:11" x14ac:dyDescent="0.2">
      <c r="A62" s="117">
        <f t="shared" si="0"/>
        <v>56</v>
      </c>
      <c r="B62" s="651" t="s">
        <v>2838</v>
      </c>
      <c r="C62" s="14"/>
      <c r="D62" s="131" t="s">
        <v>2648</v>
      </c>
      <c r="E62" s="131" t="s">
        <v>198</v>
      </c>
      <c r="F62" s="14"/>
      <c r="G62" s="811" t="s">
        <v>2649</v>
      </c>
      <c r="H62" s="14"/>
      <c r="I62" s="14"/>
      <c r="J62" s="14"/>
      <c r="K62" s="14"/>
    </row>
    <row r="63" spans="1:11" x14ac:dyDescent="0.2">
      <c r="A63" s="117">
        <f t="shared" ref="A63:A124" si="1">A62+1</f>
        <v>57</v>
      </c>
      <c r="B63" s="1047"/>
      <c r="C63" s="651" t="s">
        <v>2671</v>
      </c>
      <c r="D63" s="104">
        <v>4206320</v>
      </c>
      <c r="E63" s="131"/>
      <c r="F63" s="14"/>
      <c r="G63" s="533" t="s">
        <v>1608</v>
      </c>
      <c r="H63" s="14"/>
      <c r="I63" s="14"/>
      <c r="J63" s="14"/>
      <c r="K63" s="14"/>
    </row>
    <row r="64" spans="1:11" x14ac:dyDescent="0.2">
      <c r="A64" s="117">
        <f t="shared" si="1"/>
        <v>58</v>
      </c>
      <c r="B64" s="1047"/>
      <c r="C64" s="651" t="s">
        <v>2672</v>
      </c>
      <c r="D64" s="104">
        <v>1847915</v>
      </c>
      <c r="E64" s="131"/>
      <c r="F64" s="14"/>
      <c r="G64" s="533"/>
      <c r="H64" s="14"/>
      <c r="I64" s="14"/>
      <c r="J64" s="14"/>
      <c r="K64" s="14"/>
    </row>
    <row r="65" spans="1:11" x14ac:dyDescent="0.2">
      <c r="A65" s="117">
        <f t="shared" si="1"/>
        <v>59</v>
      </c>
      <c r="B65" s="1047"/>
      <c r="C65" s="651" t="s">
        <v>2673</v>
      </c>
      <c r="D65" s="119">
        <f>SUM(D63:D64)</f>
        <v>6054235</v>
      </c>
      <c r="E65" s="15" t="str">
        <f>" = L"&amp;A63&amp;" + L"&amp;A64&amp;""</f>
        <v xml:space="preserve"> = L57 + L58</v>
      </c>
      <c r="F65" s="14"/>
      <c r="G65" s="14"/>
      <c r="H65" s="14"/>
      <c r="I65" s="14"/>
      <c r="J65" s="14"/>
      <c r="K65" s="14"/>
    </row>
    <row r="66" spans="1:11" x14ac:dyDescent="0.2">
      <c r="A66" s="117">
        <f t="shared" si="1"/>
        <v>60</v>
      </c>
      <c r="B66" s="1047"/>
      <c r="C66" s="651" t="s">
        <v>2674</v>
      </c>
      <c r="D66" s="1173">
        <f>D63/D65</f>
        <v>0.69477316291818869</v>
      </c>
      <c r="E66" s="15" t="str">
        <f>" = L"&amp;A63&amp;" / L"&amp;A65&amp;""</f>
        <v xml:space="preserve"> = L57 / L59</v>
      </c>
      <c r="F66" s="14"/>
      <c r="G66" s="14"/>
      <c r="H66" s="14"/>
      <c r="I66" s="14"/>
      <c r="J66" s="14"/>
      <c r="K66" s="14"/>
    </row>
    <row r="67" spans="1:11" x14ac:dyDescent="0.2">
      <c r="A67" s="117">
        <f t="shared" si="1"/>
        <v>61</v>
      </c>
      <c r="B67" s="1172"/>
      <c r="C67" s="131"/>
      <c r="D67" s="14"/>
      <c r="E67" s="1173"/>
      <c r="F67" s="14"/>
      <c r="G67" s="14"/>
      <c r="H67" s="14"/>
      <c r="I67" s="14"/>
      <c r="J67" s="14"/>
      <c r="K67" s="14"/>
    </row>
    <row r="68" spans="1:11" x14ac:dyDescent="0.2">
      <c r="A68" s="117">
        <f t="shared" si="1"/>
        <v>62</v>
      </c>
      <c r="B68" s="651" t="s">
        <v>2839</v>
      </c>
      <c r="C68" s="14"/>
      <c r="D68" s="131" t="s">
        <v>2648</v>
      </c>
      <c r="E68" s="131" t="s">
        <v>198</v>
      </c>
      <c r="F68" s="14"/>
      <c r="G68" s="811" t="s">
        <v>2649</v>
      </c>
      <c r="H68" s="14"/>
      <c r="I68" s="14"/>
      <c r="J68" s="14"/>
      <c r="K68" s="14"/>
    </row>
    <row r="69" spans="1:11" x14ac:dyDescent="0.2">
      <c r="A69" s="117">
        <f t="shared" si="1"/>
        <v>63</v>
      </c>
      <c r="B69" s="1047"/>
      <c r="C69" s="651" t="s">
        <v>2675</v>
      </c>
      <c r="D69" s="104">
        <v>377</v>
      </c>
      <c r="E69" s="131"/>
      <c r="F69" s="14"/>
      <c r="G69" s="533" t="s">
        <v>1609</v>
      </c>
      <c r="H69" s="14"/>
      <c r="I69" s="14"/>
      <c r="J69" s="14"/>
      <c r="K69" s="14"/>
    </row>
    <row r="70" spans="1:11" x14ac:dyDescent="0.2">
      <c r="A70" s="117">
        <f t="shared" si="1"/>
        <v>64</v>
      </c>
      <c r="B70" s="1047"/>
      <c r="C70" s="651" t="s">
        <v>2676</v>
      </c>
      <c r="D70" s="104">
        <v>38</v>
      </c>
      <c r="E70" s="131"/>
      <c r="F70" s="14"/>
      <c r="G70" s="533"/>
      <c r="H70" s="14"/>
      <c r="I70" s="14"/>
      <c r="J70" s="14"/>
      <c r="K70" s="14"/>
    </row>
    <row r="71" spans="1:11" x14ac:dyDescent="0.2">
      <c r="A71" s="117">
        <f t="shared" si="1"/>
        <v>65</v>
      </c>
      <c r="B71" s="1047"/>
      <c r="C71" s="651" t="s">
        <v>2677</v>
      </c>
      <c r="D71" s="119">
        <f>SUM(D69:D70)</f>
        <v>415</v>
      </c>
      <c r="E71" s="15" t="str">
        <f>" = L"&amp;A69&amp;" + L"&amp;A70&amp;""</f>
        <v xml:space="preserve"> = L63 + L64</v>
      </c>
      <c r="F71" s="14"/>
      <c r="G71" s="14"/>
      <c r="H71" s="14"/>
      <c r="I71" s="14"/>
      <c r="J71" s="14"/>
      <c r="K71" s="14"/>
    </row>
    <row r="72" spans="1:11" x14ac:dyDescent="0.2">
      <c r="A72" s="117">
        <f t="shared" si="1"/>
        <v>66</v>
      </c>
      <c r="B72" s="1047"/>
      <c r="C72" s="651" t="s">
        <v>2678</v>
      </c>
      <c r="D72" s="1173">
        <f>D69/D71</f>
        <v>0.90843373493975899</v>
      </c>
      <c r="E72" s="15" t="str">
        <f>" = L"&amp;A69&amp;" / L"&amp;A71&amp;""</f>
        <v xml:space="preserve"> = L63 / L65</v>
      </c>
      <c r="F72" s="14"/>
      <c r="G72" s="14"/>
      <c r="H72" s="14"/>
      <c r="I72" s="14"/>
      <c r="J72" s="14"/>
      <c r="K72" s="14"/>
    </row>
    <row r="73" spans="1:11" x14ac:dyDescent="0.2">
      <c r="A73" s="117">
        <f t="shared" si="1"/>
        <v>67</v>
      </c>
      <c r="B73" s="45"/>
      <c r="C73" s="14"/>
      <c r="D73" s="14"/>
      <c r="E73" s="14"/>
      <c r="F73" s="14"/>
      <c r="G73" s="14"/>
      <c r="H73" s="14"/>
      <c r="I73" s="14"/>
      <c r="J73" s="14"/>
      <c r="K73" s="14"/>
    </row>
    <row r="74" spans="1:11" x14ac:dyDescent="0.2">
      <c r="A74" s="117">
        <f t="shared" si="1"/>
        <v>68</v>
      </c>
      <c r="B74" s="651" t="s">
        <v>2840</v>
      </c>
      <c r="C74" s="14"/>
      <c r="D74" s="131" t="s">
        <v>2648</v>
      </c>
      <c r="E74" s="131" t="s">
        <v>198</v>
      </c>
      <c r="F74" s="14"/>
      <c r="G74" s="811" t="s">
        <v>2649</v>
      </c>
      <c r="H74" s="14"/>
      <c r="I74" s="14"/>
      <c r="J74" s="14"/>
      <c r="K74" s="14"/>
    </row>
    <row r="75" spans="1:11" x14ac:dyDescent="0.2">
      <c r="A75" s="117">
        <f t="shared" si="1"/>
        <v>69</v>
      </c>
      <c r="B75" s="1047"/>
      <c r="C75" s="651" t="s">
        <v>2679</v>
      </c>
      <c r="D75" s="104">
        <v>85</v>
      </c>
      <c r="E75" s="131"/>
      <c r="F75" s="14"/>
      <c r="G75" s="533" t="s">
        <v>1619</v>
      </c>
      <c r="H75" s="14"/>
      <c r="I75" s="14"/>
      <c r="J75" s="14"/>
      <c r="K75" s="14"/>
    </row>
    <row r="76" spans="1:11" x14ac:dyDescent="0.2">
      <c r="A76" s="117">
        <f t="shared" si="1"/>
        <v>70</v>
      </c>
      <c r="B76" s="1047"/>
      <c r="C76" s="651" t="s">
        <v>2680</v>
      </c>
      <c r="D76" s="104">
        <v>366</v>
      </c>
      <c r="E76" s="131"/>
      <c r="F76" s="14"/>
      <c r="G76" s="533"/>
      <c r="H76" s="14"/>
      <c r="I76" s="14"/>
      <c r="J76" s="14"/>
      <c r="K76" s="14"/>
    </row>
    <row r="77" spans="1:11" x14ac:dyDescent="0.2">
      <c r="A77" s="117">
        <f t="shared" si="1"/>
        <v>71</v>
      </c>
      <c r="B77" s="1047"/>
      <c r="C77" s="651" t="s">
        <v>2681</v>
      </c>
      <c r="D77" s="119">
        <f>SUM(D75:D76)</f>
        <v>451</v>
      </c>
      <c r="E77" s="15" t="str">
        <f>" = L"&amp;A75&amp;" + L"&amp;A76&amp;""</f>
        <v xml:space="preserve"> = L69 + L70</v>
      </c>
      <c r="F77" s="14"/>
      <c r="G77" s="14"/>
      <c r="H77" s="14"/>
      <c r="I77" s="14"/>
      <c r="J77" s="14"/>
      <c r="K77" s="14"/>
    </row>
    <row r="78" spans="1:11" x14ac:dyDescent="0.2">
      <c r="A78" s="117">
        <f t="shared" si="1"/>
        <v>72</v>
      </c>
      <c r="B78" s="1047"/>
      <c r="C78" s="651" t="s">
        <v>2682</v>
      </c>
      <c r="D78" s="1173">
        <f>D75/D77</f>
        <v>0.18847006651884701</v>
      </c>
      <c r="E78" s="15" t="str">
        <f>" = L"&amp;A75&amp;" / L"&amp;A77&amp;""</f>
        <v xml:space="preserve"> = L69 / L71</v>
      </c>
      <c r="F78" s="14"/>
      <c r="G78" s="14"/>
      <c r="H78" s="14"/>
      <c r="I78" s="14"/>
      <c r="J78" s="14"/>
      <c r="K78" s="14"/>
    </row>
    <row r="79" spans="1:11" x14ac:dyDescent="0.2">
      <c r="A79" s="117">
        <f t="shared" si="1"/>
        <v>73</v>
      </c>
      <c r="B79" s="14"/>
      <c r="C79" s="14"/>
      <c r="D79" s="14"/>
      <c r="E79" s="14"/>
      <c r="F79" s="14"/>
      <c r="G79" s="14"/>
      <c r="H79" s="14"/>
      <c r="I79" s="14"/>
      <c r="J79" s="14"/>
      <c r="K79" s="14"/>
    </row>
    <row r="80" spans="1:11" x14ac:dyDescent="0.2">
      <c r="A80" s="117">
        <f t="shared" si="1"/>
        <v>74</v>
      </c>
      <c r="B80" s="651" t="s">
        <v>2841</v>
      </c>
      <c r="C80" s="14"/>
      <c r="D80" s="131" t="s">
        <v>2648</v>
      </c>
      <c r="E80" s="131" t="s">
        <v>198</v>
      </c>
      <c r="F80" s="14"/>
      <c r="G80" s="811" t="s">
        <v>2649</v>
      </c>
      <c r="H80" s="14"/>
      <c r="I80" s="14"/>
      <c r="J80" s="14"/>
      <c r="K80" s="14"/>
    </row>
    <row r="81" spans="1:11" x14ac:dyDescent="0.2">
      <c r="A81" s="117">
        <f t="shared" si="1"/>
        <v>75</v>
      </c>
      <c r="B81" s="1047"/>
      <c r="C81" s="651" t="s">
        <v>2683</v>
      </c>
      <c r="D81" s="104">
        <v>712</v>
      </c>
      <c r="E81" s="131"/>
      <c r="F81" s="14"/>
      <c r="G81" s="533" t="s">
        <v>1620</v>
      </c>
      <c r="H81" s="14"/>
      <c r="I81" s="14"/>
      <c r="J81" s="14"/>
      <c r="K81" s="14"/>
    </row>
    <row r="82" spans="1:11" x14ac:dyDescent="0.2">
      <c r="A82" s="117">
        <f t="shared" si="1"/>
        <v>76</v>
      </c>
      <c r="B82" s="1047"/>
      <c r="C82" s="651" t="s">
        <v>2684</v>
      </c>
      <c r="D82" s="104">
        <v>1983</v>
      </c>
      <c r="E82" s="131"/>
      <c r="F82" s="14"/>
      <c r="G82" s="533"/>
      <c r="H82" s="14"/>
      <c r="I82" s="14"/>
      <c r="J82" s="14"/>
      <c r="K82" s="14"/>
    </row>
    <row r="83" spans="1:11" x14ac:dyDescent="0.2">
      <c r="A83" s="117">
        <f t="shared" si="1"/>
        <v>77</v>
      </c>
      <c r="B83" s="1047"/>
      <c r="C83" s="651" t="s">
        <v>2685</v>
      </c>
      <c r="D83" s="119">
        <f>SUM(D81:D82)</f>
        <v>2695</v>
      </c>
      <c r="E83" s="15" t="str">
        <f>" = L"&amp;A81&amp;" + L"&amp;A82&amp;""</f>
        <v xml:space="preserve"> = L75 + L76</v>
      </c>
      <c r="F83" s="14"/>
      <c r="G83" s="14"/>
      <c r="H83" s="14"/>
      <c r="I83" s="14"/>
      <c r="J83" s="14"/>
      <c r="K83" s="14"/>
    </row>
    <row r="84" spans="1:11" x14ac:dyDescent="0.2">
      <c r="A84" s="117">
        <f t="shared" si="1"/>
        <v>78</v>
      </c>
      <c r="B84" s="1047"/>
      <c r="C84" s="651" t="s">
        <v>2686</v>
      </c>
      <c r="D84" s="1173">
        <f>D81/D83</f>
        <v>0.26419294990723563</v>
      </c>
      <c r="E84" s="15" t="str">
        <f>" = L"&amp;A81&amp;" / L"&amp;A83&amp;""</f>
        <v xml:space="preserve"> = L75 / L77</v>
      </c>
      <c r="F84" s="14"/>
      <c r="G84" s="14"/>
      <c r="H84" s="14"/>
      <c r="I84" s="14"/>
      <c r="J84" s="14"/>
      <c r="K84" s="14"/>
    </row>
    <row r="85" spans="1:11" x14ac:dyDescent="0.2">
      <c r="A85" s="117">
        <f t="shared" si="1"/>
        <v>79</v>
      </c>
      <c r="B85" s="14"/>
      <c r="C85" s="82"/>
      <c r="D85" s="14"/>
      <c r="E85" s="14"/>
      <c r="F85" s="14"/>
      <c r="G85" s="14"/>
      <c r="H85" s="14"/>
      <c r="I85" s="14"/>
      <c r="J85" s="14"/>
      <c r="K85" s="14"/>
    </row>
    <row r="86" spans="1:11" x14ac:dyDescent="0.2">
      <c r="A86" s="117">
        <f t="shared" si="1"/>
        <v>80</v>
      </c>
      <c r="B86" s="651" t="s">
        <v>2842</v>
      </c>
      <c r="C86" s="14"/>
      <c r="D86" s="131" t="s">
        <v>2648</v>
      </c>
      <c r="E86" s="131" t="s">
        <v>198</v>
      </c>
      <c r="F86" s="14"/>
      <c r="G86" s="811" t="s">
        <v>2649</v>
      </c>
      <c r="H86" s="14"/>
      <c r="I86" s="14"/>
      <c r="J86" s="14"/>
      <c r="K86" s="14"/>
    </row>
    <row r="87" spans="1:11" x14ac:dyDescent="0.2">
      <c r="A87" s="117">
        <f t="shared" si="1"/>
        <v>81</v>
      </c>
      <c r="B87" s="1047"/>
      <c r="C87" s="651" t="s">
        <v>2687</v>
      </c>
      <c r="D87" s="104">
        <v>75</v>
      </c>
      <c r="E87" s="131"/>
      <c r="F87" s="14"/>
      <c r="G87" s="533" t="s">
        <v>1621</v>
      </c>
      <c r="H87" s="14"/>
      <c r="I87" s="14"/>
      <c r="J87" s="14"/>
      <c r="K87" s="14"/>
    </row>
    <row r="88" spans="1:11" x14ac:dyDescent="0.2">
      <c r="A88" s="117">
        <f t="shared" si="1"/>
        <v>82</v>
      </c>
      <c r="B88" s="1047"/>
      <c r="C88" s="651" t="s">
        <v>2688</v>
      </c>
      <c r="D88" s="104">
        <v>18</v>
      </c>
      <c r="E88" s="131"/>
      <c r="F88" s="14"/>
      <c r="G88" s="533"/>
      <c r="H88" s="14"/>
      <c r="I88" s="14"/>
      <c r="J88" s="14"/>
      <c r="K88" s="14"/>
    </row>
    <row r="89" spans="1:11" x14ac:dyDescent="0.2">
      <c r="A89" s="117">
        <f t="shared" si="1"/>
        <v>83</v>
      </c>
      <c r="B89" s="1047"/>
      <c r="C89" s="651" t="s">
        <v>2689</v>
      </c>
      <c r="D89" s="119">
        <f>SUM(D87:D88)</f>
        <v>93</v>
      </c>
      <c r="E89" s="15" t="str">
        <f>" = L"&amp;A87&amp;" + L"&amp;A88&amp;""</f>
        <v xml:space="preserve"> = L81 + L82</v>
      </c>
      <c r="F89" s="14"/>
      <c r="G89" s="14"/>
      <c r="H89" s="14"/>
      <c r="I89" s="14"/>
      <c r="J89" s="14"/>
      <c r="K89" s="14"/>
    </row>
    <row r="90" spans="1:11" x14ac:dyDescent="0.2">
      <c r="A90" s="117">
        <f t="shared" si="1"/>
        <v>84</v>
      </c>
      <c r="B90" s="1047"/>
      <c r="C90" s="651" t="s">
        <v>2690</v>
      </c>
      <c r="D90" s="1173">
        <f>D87/D89</f>
        <v>0.80645161290322576</v>
      </c>
      <c r="E90" s="15" t="str">
        <f>" = L"&amp;A87&amp;" / L"&amp;A89&amp;""</f>
        <v xml:space="preserve"> = L81 / L83</v>
      </c>
      <c r="F90" s="14"/>
      <c r="G90" s="14"/>
      <c r="H90" s="14"/>
      <c r="I90" s="14"/>
      <c r="J90" s="14"/>
      <c r="K90" s="14"/>
    </row>
    <row r="91" spans="1:11" x14ac:dyDescent="0.2">
      <c r="A91" s="117">
        <f t="shared" si="1"/>
        <v>85</v>
      </c>
      <c r="B91" s="14"/>
      <c r="C91" s="14"/>
      <c r="D91" s="14"/>
      <c r="E91" s="14"/>
      <c r="F91" s="14"/>
      <c r="G91" s="14"/>
      <c r="H91" s="14"/>
      <c r="I91" s="14"/>
      <c r="J91" s="14"/>
      <c r="K91" s="14"/>
    </row>
    <row r="92" spans="1:11" x14ac:dyDescent="0.2">
      <c r="A92" s="117">
        <f t="shared" si="1"/>
        <v>86</v>
      </c>
      <c r="B92" s="651" t="s">
        <v>2843</v>
      </c>
      <c r="C92" s="14"/>
      <c r="D92" s="131" t="s">
        <v>2648</v>
      </c>
      <c r="E92" s="131" t="s">
        <v>198</v>
      </c>
      <c r="F92" s="14"/>
      <c r="G92" s="811" t="s">
        <v>2649</v>
      </c>
      <c r="H92" s="14"/>
      <c r="I92" s="14"/>
      <c r="J92" s="14"/>
      <c r="K92" s="14"/>
    </row>
    <row r="93" spans="1:11" x14ac:dyDescent="0.2">
      <c r="A93" s="117">
        <f t="shared" si="1"/>
        <v>87</v>
      </c>
      <c r="B93" s="1047"/>
      <c r="C93" s="651" t="s">
        <v>2691</v>
      </c>
      <c r="D93" s="104">
        <v>658527</v>
      </c>
      <c r="E93" s="131"/>
      <c r="F93" s="14"/>
      <c r="G93" s="14" t="s">
        <v>2362</v>
      </c>
      <c r="H93" s="14"/>
      <c r="I93" s="14"/>
      <c r="J93" s="14"/>
      <c r="K93" s="14"/>
    </row>
    <row r="94" spans="1:11" x14ac:dyDescent="0.2">
      <c r="A94" s="117">
        <f t="shared" si="1"/>
        <v>88</v>
      </c>
      <c r="B94" s="1047"/>
      <c r="C94" s="651" t="s">
        <v>2692</v>
      </c>
      <c r="D94" s="104">
        <v>3099730</v>
      </c>
      <c r="E94" s="131"/>
      <c r="F94" s="14"/>
      <c r="G94" s="533"/>
      <c r="H94" s="14"/>
      <c r="I94" s="14"/>
      <c r="J94" s="14"/>
      <c r="K94" s="14"/>
    </row>
    <row r="95" spans="1:11" x14ac:dyDescent="0.2">
      <c r="A95" s="117">
        <f t="shared" si="1"/>
        <v>89</v>
      </c>
      <c r="B95" s="1047"/>
      <c r="C95" s="651" t="s">
        <v>2693</v>
      </c>
      <c r="D95" s="119">
        <f>SUM(D93:D94)</f>
        <v>3758257</v>
      </c>
      <c r="E95" s="15" t="str">
        <f>" = L"&amp;A93&amp;" + L"&amp;A94&amp;""</f>
        <v xml:space="preserve"> = L87 + L88</v>
      </c>
      <c r="F95" s="14"/>
      <c r="G95" s="14"/>
      <c r="H95" s="14"/>
      <c r="I95" s="14"/>
      <c r="J95" s="14"/>
      <c r="K95" s="14"/>
    </row>
    <row r="96" spans="1:11" x14ac:dyDescent="0.2">
      <c r="A96" s="117">
        <f t="shared" si="1"/>
        <v>90</v>
      </c>
      <c r="B96" s="1047"/>
      <c r="C96" s="651" t="s">
        <v>2694</v>
      </c>
      <c r="D96" s="1173">
        <f>D93/D95</f>
        <v>0.17522138587116315</v>
      </c>
      <c r="E96" s="15" t="str">
        <f>" = L"&amp;A93&amp;" / L"&amp;A95&amp;""</f>
        <v xml:space="preserve"> = L87 / L89</v>
      </c>
      <c r="F96" s="14"/>
      <c r="G96" s="14"/>
      <c r="H96" s="14"/>
      <c r="I96" s="14"/>
      <c r="J96" s="14"/>
      <c r="K96" s="14"/>
    </row>
    <row r="97" spans="1:11" x14ac:dyDescent="0.2">
      <c r="A97" s="117">
        <f t="shared" si="1"/>
        <v>91</v>
      </c>
      <c r="B97" s="14"/>
      <c r="C97" s="14"/>
      <c r="D97" s="14"/>
      <c r="E97" s="14"/>
      <c r="F97" s="14"/>
      <c r="G97" s="14"/>
      <c r="H97" s="14"/>
      <c r="I97" s="14"/>
      <c r="J97" s="14"/>
      <c r="K97" s="14"/>
    </row>
    <row r="98" spans="1:11" x14ac:dyDescent="0.2">
      <c r="A98" s="117">
        <f t="shared" si="1"/>
        <v>92</v>
      </c>
      <c r="B98" s="651" t="s">
        <v>2844</v>
      </c>
      <c r="C98" s="14"/>
      <c r="D98" s="131" t="s">
        <v>2648</v>
      </c>
      <c r="E98" s="131" t="s">
        <v>198</v>
      </c>
      <c r="F98" s="14"/>
      <c r="G98" s="811" t="s">
        <v>2649</v>
      </c>
      <c r="H98" s="14"/>
      <c r="I98" s="14"/>
      <c r="J98" s="14"/>
      <c r="K98" s="14"/>
    </row>
    <row r="99" spans="1:11" x14ac:dyDescent="0.2">
      <c r="A99" s="117">
        <f t="shared" si="1"/>
        <v>93</v>
      </c>
      <c r="B99" s="1047"/>
      <c r="C99" s="651" t="s">
        <v>2695</v>
      </c>
      <c r="D99" s="104">
        <v>986616</v>
      </c>
      <c r="E99" s="131"/>
      <c r="F99" s="14"/>
      <c r="G99" s="533" t="s">
        <v>1913</v>
      </c>
      <c r="H99" s="14"/>
      <c r="I99" s="14"/>
      <c r="J99" s="14"/>
      <c r="K99" s="14"/>
    </row>
    <row r="100" spans="1:11" x14ac:dyDescent="0.2">
      <c r="A100" s="117">
        <f t="shared" si="1"/>
        <v>94</v>
      </c>
      <c r="B100" s="1047"/>
      <c r="C100" s="651" t="s">
        <v>2696</v>
      </c>
      <c r="D100" s="104">
        <v>2811566</v>
      </c>
      <c r="E100" s="131"/>
      <c r="F100" s="14"/>
      <c r="G100" s="533"/>
      <c r="H100" s="14"/>
      <c r="I100" s="14"/>
      <c r="J100" s="14"/>
      <c r="K100" s="14"/>
    </row>
    <row r="101" spans="1:11" x14ac:dyDescent="0.2">
      <c r="A101" s="117">
        <f t="shared" si="1"/>
        <v>95</v>
      </c>
      <c r="B101" s="1047"/>
      <c r="C101" s="651" t="s">
        <v>2697</v>
      </c>
      <c r="D101" s="119">
        <f>SUM(D99:D100)</f>
        <v>3798182</v>
      </c>
      <c r="E101" s="15" t="str">
        <f>" = L"&amp;A99&amp;" + L"&amp;A100&amp;""</f>
        <v xml:space="preserve"> = L93 + L94</v>
      </c>
      <c r="F101" s="14"/>
      <c r="G101" s="14"/>
      <c r="H101" s="14"/>
      <c r="I101" s="14"/>
      <c r="J101" s="14"/>
      <c r="K101" s="14"/>
    </row>
    <row r="102" spans="1:11" x14ac:dyDescent="0.2">
      <c r="A102" s="117">
        <f t="shared" si="1"/>
        <v>96</v>
      </c>
      <c r="B102" s="1047"/>
      <c r="C102" s="651" t="s">
        <v>2698</v>
      </c>
      <c r="D102" s="1173">
        <f>D99/D101</f>
        <v>0.25976006415700986</v>
      </c>
      <c r="E102" s="15" t="str">
        <f>" = L"&amp;A99&amp;" / L"&amp;A101&amp;""</f>
        <v xml:space="preserve"> = L93 / L95</v>
      </c>
      <c r="F102" s="14"/>
      <c r="G102" s="14"/>
      <c r="H102" s="14"/>
      <c r="I102" s="14"/>
      <c r="J102" s="14"/>
      <c r="K102" s="14"/>
    </row>
    <row r="103" spans="1:11" x14ac:dyDescent="0.2">
      <c r="A103" s="117">
        <f t="shared" si="1"/>
        <v>97</v>
      </c>
      <c r="B103" s="14"/>
      <c r="C103" s="14"/>
      <c r="D103" s="14"/>
      <c r="E103" s="14"/>
      <c r="F103" s="14"/>
      <c r="G103" s="14"/>
      <c r="H103" s="14"/>
      <c r="I103" s="14"/>
      <c r="J103" s="14"/>
      <c r="K103" s="14"/>
    </row>
    <row r="104" spans="1:11" x14ac:dyDescent="0.2">
      <c r="A104" s="117">
        <f t="shared" si="1"/>
        <v>98</v>
      </c>
      <c r="B104" s="651" t="s">
        <v>2845</v>
      </c>
      <c r="C104" s="14"/>
      <c r="D104" s="131" t="s">
        <v>2648</v>
      </c>
      <c r="E104" s="131" t="s">
        <v>198</v>
      </c>
      <c r="F104" s="14"/>
      <c r="G104" s="811" t="s">
        <v>2649</v>
      </c>
      <c r="H104" s="14"/>
      <c r="I104" s="14"/>
      <c r="J104" s="14"/>
      <c r="K104" s="14"/>
    </row>
    <row r="105" spans="1:11" x14ac:dyDescent="0.2">
      <c r="A105" s="117">
        <f t="shared" si="1"/>
        <v>99</v>
      </c>
      <c r="B105" s="1047"/>
      <c r="C105" s="651" t="s">
        <v>2699</v>
      </c>
      <c r="D105" s="104">
        <v>698735</v>
      </c>
      <c r="E105" s="131"/>
      <c r="F105" s="14"/>
      <c r="G105" s="533" t="s">
        <v>1630</v>
      </c>
      <c r="H105" s="14"/>
      <c r="I105" s="14"/>
      <c r="J105" s="14"/>
      <c r="K105" s="14"/>
    </row>
    <row r="106" spans="1:11" x14ac:dyDescent="0.2">
      <c r="A106" s="117">
        <f t="shared" si="1"/>
        <v>100</v>
      </c>
      <c r="B106" s="1047"/>
      <c r="C106" s="651" t="s">
        <v>2700</v>
      </c>
      <c r="D106" s="104">
        <v>860629</v>
      </c>
      <c r="E106" s="131"/>
      <c r="F106" s="14"/>
      <c r="G106" s="533"/>
      <c r="H106" s="14"/>
      <c r="I106" s="14"/>
      <c r="J106" s="14"/>
      <c r="K106" s="14"/>
    </row>
    <row r="107" spans="1:11" x14ac:dyDescent="0.2">
      <c r="A107" s="117">
        <f t="shared" si="1"/>
        <v>101</v>
      </c>
      <c r="B107" s="1047"/>
      <c r="C107" s="651" t="s">
        <v>2701</v>
      </c>
      <c r="D107" s="119">
        <f>SUM(D105:D106)</f>
        <v>1559364</v>
      </c>
      <c r="E107" s="15" t="str">
        <f>" = L"&amp;A105&amp;" + L"&amp;A106&amp;""</f>
        <v xml:space="preserve"> = L99 + L100</v>
      </c>
      <c r="F107" s="14"/>
      <c r="G107" s="14"/>
      <c r="H107" s="14"/>
      <c r="I107" s="14"/>
      <c r="J107" s="14"/>
      <c r="K107" s="14"/>
    </row>
    <row r="108" spans="1:11" x14ac:dyDescent="0.2">
      <c r="A108" s="117">
        <f t="shared" si="1"/>
        <v>102</v>
      </c>
      <c r="B108" s="1047"/>
      <c r="C108" s="651" t="s">
        <v>2702</v>
      </c>
      <c r="D108" s="1173">
        <f>D105/D107</f>
        <v>0.44808973401976704</v>
      </c>
      <c r="E108" s="15" t="str">
        <f>" = L"&amp;A105&amp;" / L"&amp;A107&amp;""</f>
        <v xml:space="preserve"> = L99 / L101</v>
      </c>
      <c r="F108" s="14"/>
      <c r="G108" s="14"/>
      <c r="H108" s="14"/>
      <c r="I108" s="14"/>
      <c r="J108" s="14"/>
      <c r="K108" s="14"/>
    </row>
    <row r="109" spans="1:11" x14ac:dyDescent="0.2">
      <c r="A109" s="117">
        <f t="shared" si="1"/>
        <v>103</v>
      </c>
      <c r="B109" s="14"/>
      <c r="C109" s="14"/>
      <c r="D109" s="14"/>
      <c r="E109" s="14"/>
      <c r="F109" s="14"/>
      <c r="G109" s="14"/>
      <c r="H109" s="14"/>
      <c r="I109" s="14"/>
      <c r="J109" s="14"/>
      <c r="K109" s="14"/>
    </row>
    <row r="110" spans="1:11" x14ac:dyDescent="0.2">
      <c r="A110" s="117">
        <f t="shared" si="1"/>
        <v>104</v>
      </c>
      <c r="B110" s="651" t="s">
        <v>2846</v>
      </c>
      <c r="C110" s="14"/>
      <c r="D110" s="131" t="s">
        <v>2648</v>
      </c>
      <c r="E110" s="131" t="s">
        <v>198</v>
      </c>
      <c r="F110" s="14"/>
      <c r="G110" s="811" t="s">
        <v>2649</v>
      </c>
      <c r="H110" s="14"/>
      <c r="I110" s="14"/>
      <c r="J110" s="14"/>
      <c r="K110" s="14"/>
    </row>
    <row r="111" spans="1:11" x14ac:dyDescent="0.2">
      <c r="A111" s="117">
        <f t="shared" si="1"/>
        <v>105</v>
      </c>
      <c r="B111" s="1047"/>
      <c r="C111" s="651" t="s">
        <v>2703</v>
      </c>
      <c r="D111" s="104">
        <v>7</v>
      </c>
      <c r="E111" s="131"/>
      <c r="F111" s="14"/>
      <c r="G111" s="533" t="s">
        <v>1637</v>
      </c>
      <c r="H111" s="14"/>
      <c r="I111" s="14"/>
      <c r="J111" s="14"/>
      <c r="K111" s="14"/>
    </row>
    <row r="112" spans="1:11" x14ac:dyDescent="0.2">
      <c r="A112" s="117">
        <f t="shared" si="1"/>
        <v>106</v>
      </c>
      <c r="B112" s="1047"/>
      <c r="C112" s="651" t="s">
        <v>2704</v>
      </c>
      <c r="D112" s="104">
        <v>2573</v>
      </c>
      <c r="E112" s="131"/>
      <c r="F112" s="14"/>
      <c r="G112" s="533"/>
      <c r="H112" s="14"/>
      <c r="I112" s="14"/>
      <c r="J112" s="14"/>
      <c r="K112" s="14"/>
    </row>
    <row r="113" spans="1:11" x14ac:dyDescent="0.2">
      <c r="A113" s="117">
        <f t="shared" si="1"/>
        <v>107</v>
      </c>
      <c r="B113" s="1047"/>
      <c r="C113" s="651" t="s">
        <v>2705</v>
      </c>
      <c r="D113" s="119">
        <f>SUM(D111:D112)</f>
        <v>2580</v>
      </c>
      <c r="E113" s="15" t="str">
        <f>" = L"&amp;A111&amp;" + L"&amp;A112&amp;""</f>
        <v xml:space="preserve"> = L105 + L106</v>
      </c>
      <c r="F113" s="14"/>
      <c r="G113" s="14"/>
      <c r="H113" s="14"/>
      <c r="I113" s="14"/>
      <c r="J113" s="14"/>
      <c r="K113" s="14"/>
    </row>
    <row r="114" spans="1:11" x14ac:dyDescent="0.2">
      <c r="A114" s="117">
        <f t="shared" si="1"/>
        <v>108</v>
      </c>
      <c r="B114" s="1047"/>
      <c r="C114" s="651" t="s">
        <v>2706</v>
      </c>
      <c r="D114" s="1173">
        <f>D111/D113</f>
        <v>2.7131782945736434E-3</v>
      </c>
      <c r="E114" s="15" t="str">
        <f>" = L"&amp;A111&amp;" / L"&amp;A113&amp;""</f>
        <v xml:space="preserve"> = L105 / L107</v>
      </c>
      <c r="F114" s="14"/>
      <c r="G114" s="14"/>
      <c r="H114" s="14"/>
      <c r="I114" s="14"/>
      <c r="J114" s="14"/>
      <c r="K114" s="14"/>
    </row>
    <row r="115" spans="1:11" x14ac:dyDescent="0.2">
      <c r="A115" s="117">
        <f t="shared" si="1"/>
        <v>109</v>
      </c>
      <c r="B115" s="14"/>
      <c r="C115" s="14"/>
      <c r="D115" s="14"/>
      <c r="E115" s="14"/>
      <c r="F115" s="14"/>
      <c r="G115" s="14"/>
      <c r="H115" s="14"/>
      <c r="I115" s="14"/>
      <c r="J115" s="14"/>
      <c r="K115" s="14"/>
    </row>
    <row r="116" spans="1:11" x14ac:dyDescent="0.2">
      <c r="A116" s="117">
        <f t="shared" si="1"/>
        <v>110</v>
      </c>
      <c r="B116" s="651" t="s">
        <v>2847</v>
      </c>
      <c r="C116" s="14"/>
      <c r="D116" s="131" t="s">
        <v>2648</v>
      </c>
      <c r="E116" s="131" t="s">
        <v>198</v>
      </c>
      <c r="F116" s="14"/>
      <c r="G116" s="811" t="s">
        <v>2649</v>
      </c>
      <c r="H116" s="14"/>
      <c r="I116" s="14"/>
      <c r="J116" s="14"/>
      <c r="K116" s="14"/>
    </row>
    <row r="117" spans="1:11" x14ac:dyDescent="0.2">
      <c r="A117" s="117">
        <f t="shared" si="1"/>
        <v>111</v>
      </c>
      <c r="B117" s="1047"/>
      <c r="C117" s="651" t="s">
        <v>2709</v>
      </c>
      <c r="D117" s="104">
        <v>139</v>
      </c>
      <c r="E117" s="131"/>
      <c r="F117" s="14"/>
      <c r="G117" s="533" t="s">
        <v>1638</v>
      </c>
      <c r="H117" s="14"/>
      <c r="I117" s="14"/>
      <c r="J117" s="14"/>
      <c r="K117" s="14"/>
    </row>
    <row r="118" spans="1:11" x14ac:dyDescent="0.2">
      <c r="A118" s="117">
        <f t="shared" si="1"/>
        <v>112</v>
      </c>
      <c r="B118" s="1047"/>
      <c r="C118" s="651" t="s">
        <v>2707</v>
      </c>
      <c r="D118" s="104">
        <v>8568</v>
      </c>
      <c r="E118" s="131"/>
      <c r="F118" s="14"/>
      <c r="G118" s="533"/>
      <c r="H118" s="14"/>
      <c r="I118" s="14"/>
      <c r="J118" s="14"/>
      <c r="K118" s="14"/>
    </row>
    <row r="119" spans="1:11" x14ac:dyDescent="0.2">
      <c r="A119" s="117">
        <f t="shared" si="1"/>
        <v>113</v>
      </c>
      <c r="B119" s="1047"/>
      <c r="C119" s="651" t="s">
        <v>2708</v>
      </c>
      <c r="D119" s="119">
        <f>SUM(D117:D118)</f>
        <v>8707</v>
      </c>
      <c r="E119" s="15" t="str">
        <f>" = L"&amp;A117&amp;" + L"&amp;A118&amp;""</f>
        <v xml:space="preserve"> = L111 + L112</v>
      </c>
      <c r="F119" s="14"/>
      <c r="G119" s="14"/>
      <c r="H119" s="14"/>
      <c r="I119" s="14"/>
      <c r="J119" s="14"/>
      <c r="K119" s="14"/>
    </row>
    <row r="120" spans="1:11" x14ac:dyDescent="0.2">
      <c r="A120" s="117">
        <f t="shared" si="1"/>
        <v>114</v>
      </c>
      <c r="B120" s="1047"/>
      <c r="C120" s="651" t="s">
        <v>2710</v>
      </c>
      <c r="D120" s="1173">
        <f>D117/D119</f>
        <v>1.5964166762375099E-2</v>
      </c>
      <c r="E120" s="15" t="str">
        <f>" = L"&amp;A117&amp;" / L"&amp;A119&amp;""</f>
        <v xml:space="preserve"> = L111 / L113</v>
      </c>
      <c r="F120" s="14"/>
      <c r="G120" s="14"/>
      <c r="H120" s="14"/>
      <c r="I120" s="14"/>
      <c r="J120" s="14"/>
      <c r="K120" s="14"/>
    </row>
    <row r="121" spans="1:11" x14ac:dyDescent="0.2">
      <c r="A121" s="117">
        <f t="shared" si="1"/>
        <v>115</v>
      </c>
      <c r="B121" s="14"/>
      <c r="C121" s="14"/>
      <c r="D121" s="14"/>
      <c r="E121" s="14"/>
      <c r="F121" s="14"/>
      <c r="G121" s="14"/>
      <c r="H121" s="14"/>
      <c r="I121" s="14"/>
      <c r="J121" s="14"/>
      <c r="K121" s="14"/>
    </row>
    <row r="122" spans="1:11" x14ac:dyDescent="0.2">
      <c r="A122" s="117">
        <f t="shared" si="1"/>
        <v>116</v>
      </c>
      <c r="B122" s="651" t="s">
        <v>2848</v>
      </c>
      <c r="C122" s="14"/>
      <c r="D122" s="131" t="s">
        <v>2648</v>
      </c>
      <c r="E122" s="131" t="s">
        <v>198</v>
      </c>
      <c r="F122" s="14"/>
      <c r="G122" s="811" t="s">
        <v>2649</v>
      </c>
      <c r="H122" s="14"/>
      <c r="I122" s="14"/>
      <c r="J122" s="14"/>
      <c r="K122" s="14"/>
    </row>
    <row r="123" spans="1:11" x14ac:dyDescent="0.2">
      <c r="A123" s="117">
        <f t="shared" si="1"/>
        <v>117</v>
      </c>
      <c r="B123" s="1047"/>
      <c r="C123" s="651" t="s">
        <v>2711</v>
      </c>
      <c r="D123" s="104">
        <v>165</v>
      </c>
      <c r="E123" s="131"/>
      <c r="F123" s="14"/>
      <c r="G123" s="533" t="s">
        <v>1639</v>
      </c>
      <c r="H123" s="14"/>
      <c r="I123" s="14"/>
      <c r="J123" s="14"/>
      <c r="K123" s="14"/>
    </row>
    <row r="124" spans="1:11" x14ac:dyDescent="0.2">
      <c r="A124" s="117">
        <f t="shared" si="1"/>
        <v>118</v>
      </c>
      <c r="B124" s="1047"/>
      <c r="C124" s="651" t="s">
        <v>2714</v>
      </c>
      <c r="D124" s="104">
        <v>2294</v>
      </c>
      <c r="E124" s="131"/>
      <c r="F124" s="14"/>
      <c r="G124" s="533"/>
      <c r="H124" s="14"/>
      <c r="I124" s="14"/>
      <c r="J124" s="14"/>
      <c r="K124" s="14"/>
    </row>
    <row r="125" spans="1:11" x14ac:dyDescent="0.2">
      <c r="A125" s="117">
        <f t="shared" ref="A125:A126" si="2">A124+1</f>
        <v>119</v>
      </c>
      <c r="B125" s="1047"/>
      <c r="C125" s="651" t="s">
        <v>2712</v>
      </c>
      <c r="D125" s="119">
        <f>SUM(D123:D124)</f>
        <v>2459</v>
      </c>
      <c r="E125" s="15" t="str">
        <f>" = L"&amp;A123&amp;" + L"&amp;A124&amp;""</f>
        <v xml:space="preserve"> = L117 + L118</v>
      </c>
      <c r="F125" s="14"/>
      <c r="G125" s="14"/>
      <c r="H125" s="14"/>
      <c r="I125" s="14"/>
      <c r="J125" s="14"/>
      <c r="K125" s="14"/>
    </row>
    <row r="126" spans="1:11" x14ac:dyDescent="0.2">
      <c r="A126" s="117">
        <f t="shared" si="2"/>
        <v>120</v>
      </c>
      <c r="B126" s="1047"/>
      <c r="C126" s="651" t="s">
        <v>2713</v>
      </c>
      <c r="D126" s="1173">
        <f>D123/D125</f>
        <v>6.710044733631558E-2</v>
      </c>
      <c r="E126" s="15" t="str">
        <f>" = L"&amp;A123&amp;" / L"&amp;A125&amp;""</f>
        <v xml:space="preserve"> = L117 / L119</v>
      </c>
      <c r="F126" s="14"/>
      <c r="G126" s="14"/>
      <c r="H126" s="14"/>
      <c r="I126" s="14"/>
      <c r="J126" s="14"/>
      <c r="K126" s="14"/>
    </row>
    <row r="127" spans="1:11" x14ac:dyDescent="0.2">
      <c r="A127" s="839"/>
    </row>
    <row r="128" spans="1:11" x14ac:dyDescent="0.2">
      <c r="A128" s="839"/>
    </row>
    <row r="129" spans="1:1" x14ac:dyDescent="0.2">
      <c r="A129" s="839"/>
    </row>
    <row r="130" spans="1:1" x14ac:dyDescent="0.2">
      <c r="A130" s="839"/>
    </row>
    <row r="131" spans="1:1" x14ac:dyDescent="0.2">
      <c r="A131" s="839"/>
    </row>
    <row r="132" spans="1:1" x14ac:dyDescent="0.2">
      <c r="A132" s="839"/>
    </row>
    <row r="133" spans="1:1" x14ac:dyDescent="0.2">
      <c r="A133" s="839"/>
    </row>
    <row r="134" spans="1:1" x14ac:dyDescent="0.2">
      <c r="A134" s="839"/>
    </row>
    <row r="135" spans="1:1" x14ac:dyDescent="0.2">
      <c r="A135" s="839"/>
    </row>
    <row r="136" spans="1:1" x14ac:dyDescent="0.2">
      <c r="A136" s="839"/>
    </row>
    <row r="137" spans="1:1" x14ac:dyDescent="0.2">
      <c r="A137" s="839"/>
    </row>
    <row r="138" spans="1:1" x14ac:dyDescent="0.2">
      <c r="A138" s="839"/>
    </row>
  </sheetData>
  <phoneticPr fontId="10" type="noConversion"/>
  <pageMargins left="0.75" right="0.75" top="1" bottom="1" header="0.5" footer="0.5"/>
  <pageSetup scale="70" orientation="landscape" cellComments="asDisplayed" r:id="rId1"/>
  <headerFooter alignWithMargins="0">
    <oddHeader>&amp;CSchedule 27
Allocation Factors
&amp;"Arial,Bold"Exhibit G-1</oddHeader>
    <oddFooter>&amp;R&amp;A</oddFooter>
  </headerFooter>
  <rowBreaks count="2" manualBreakCount="2">
    <brk id="49" max="16383" man="1"/>
    <brk id="103" max="10"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2.75" x14ac:dyDescent="0.2"/>
  <cols>
    <col min="1" max="1" width="4.7109375" customWidth="1"/>
    <col min="2" max="2" width="3.7109375" customWidth="1"/>
    <col min="3" max="6" width="10.7109375" customWidth="1"/>
    <col min="7" max="7" width="9.42578125" bestFit="1" customWidth="1"/>
    <col min="8" max="8" width="4.7109375" customWidth="1"/>
    <col min="9" max="9" width="35.7109375" customWidth="1"/>
  </cols>
  <sheetData>
    <row r="1" spans="1:9" x14ac:dyDescent="0.2">
      <c r="A1" s="1" t="s">
        <v>2398</v>
      </c>
    </row>
    <row r="3" spans="1:9" x14ac:dyDescent="0.2">
      <c r="B3" s="1" t="s">
        <v>568</v>
      </c>
      <c r="I3" s="101" t="s">
        <v>18</v>
      </c>
    </row>
    <row r="4" spans="1:9" x14ac:dyDescent="0.2">
      <c r="B4" s="1"/>
      <c r="E4" s="14"/>
      <c r="I4" s="14"/>
    </row>
    <row r="5" spans="1:9" x14ac:dyDescent="0.2">
      <c r="E5" s="117" t="s">
        <v>2820</v>
      </c>
    </row>
    <row r="6" spans="1:9" x14ac:dyDescent="0.2">
      <c r="A6" s="53" t="s">
        <v>372</v>
      </c>
      <c r="C6" s="3" t="s">
        <v>269</v>
      </c>
      <c r="D6" s="3" t="s">
        <v>270</v>
      </c>
      <c r="E6" s="1174" t="s">
        <v>75</v>
      </c>
      <c r="G6" s="3" t="s">
        <v>271</v>
      </c>
      <c r="I6" s="53" t="s">
        <v>235</v>
      </c>
    </row>
    <row r="7" spans="1:9" x14ac:dyDescent="0.2">
      <c r="A7" s="2">
        <v>1</v>
      </c>
      <c r="C7" s="158">
        <v>2009</v>
      </c>
      <c r="D7" s="101" t="s">
        <v>414</v>
      </c>
      <c r="E7" s="101">
        <v>365</v>
      </c>
      <c r="G7" s="92">
        <v>9.1388000000000007E-3</v>
      </c>
      <c r="I7" s="667" t="s">
        <v>322</v>
      </c>
    </row>
    <row r="8" spans="1:9" x14ac:dyDescent="0.2">
      <c r="A8" s="2">
        <v>2</v>
      </c>
      <c r="C8" s="101"/>
      <c r="D8" s="101"/>
      <c r="E8" s="101"/>
      <c r="G8" s="101"/>
      <c r="I8" s="122"/>
    </row>
    <row r="10" spans="1:9" x14ac:dyDescent="0.2">
      <c r="B10" s="1" t="s">
        <v>2399</v>
      </c>
    </row>
    <row r="11" spans="1:9" x14ac:dyDescent="0.2">
      <c r="B11" s="1"/>
    </row>
    <row r="12" spans="1:9" x14ac:dyDescent="0.2">
      <c r="E12" s="117" t="s">
        <v>2820</v>
      </c>
    </row>
    <row r="13" spans="1:9" x14ac:dyDescent="0.2">
      <c r="C13" s="3" t="s">
        <v>269</v>
      </c>
      <c r="D13" s="3" t="s">
        <v>270</v>
      </c>
      <c r="E13" s="1174" t="s">
        <v>75</v>
      </c>
      <c r="G13" s="3" t="s">
        <v>272</v>
      </c>
      <c r="I13" s="53" t="s">
        <v>235</v>
      </c>
    </row>
    <row r="14" spans="1:9" x14ac:dyDescent="0.2">
      <c r="A14" s="2">
        <v>3</v>
      </c>
      <c r="C14" s="158">
        <v>2009</v>
      </c>
      <c r="D14" s="101" t="s">
        <v>414</v>
      </c>
      <c r="E14" s="101">
        <v>365</v>
      </c>
      <c r="G14" s="92">
        <v>2.4058E-3</v>
      </c>
      <c r="I14" s="122" t="s">
        <v>322</v>
      </c>
    </row>
    <row r="15" spans="1:9" x14ac:dyDescent="0.2">
      <c r="A15" s="2">
        <v>4</v>
      </c>
      <c r="C15" s="158"/>
      <c r="D15" s="101"/>
      <c r="E15" s="101"/>
      <c r="G15" s="92"/>
      <c r="I15" s="122"/>
    </row>
    <row r="18" spans="1:9" x14ac:dyDescent="0.2">
      <c r="B18" s="1" t="s">
        <v>567</v>
      </c>
    </row>
    <row r="19" spans="1:9" x14ac:dyDescent="0.2">
      <c r="B19" s="1"/>
    </row>
    <row r="20" spans="1:9" x14ac:dyDescent="0.2">
      <c r="C20" s="2" t="s">
        <v>459</v>
      </c>
      <c r="D20" s="2"/>
      <c r="E20" s="2"/>
    </row>
    <row r="21" spans="1:9" x14ac:dyDescent="0.2">
      <c r="C21" s="3" t="s">
        <v>223</v>
      </c>
      <c r="D21" s="3" t="s">
        <v>271</v>
      </c>
      <c r="E21" s="3" t="s">
        <v>272</v>
      </c>
      <c r="I21" s="53" t="s">
        <v>198</v>
      </c>
    </row>
    <row r="22" spans="1:9" x14ac:dyDescent="0.2">
      <c r="A22" s="2">
        <v>5</v>
      </c>
      <c r="C22" s="159">
        <v>2010</v>
      </c>
      <c r="D22" s="1175">
        <f>E41</f>
        <v>9.1388000000000007E-3</v>
      </c>
      <c r="E22" s="1175">
        <f>E42</f>
        <v>2.4058E-3</v>
      </c>
      <c r="F22" s="14"/>
      <c r="G22" s="14"/>
      <c r="H22" s="14"/>
      <c r="I22" s="651" t="s">
        <v>2542</v>
      </c>
    </row>
    <row r="24" spans="1:9" x14ac:dyDescent="0.2">
      <c r="B24" s="1" t="s">
        <v>267</v>
      </c>
    </row>
    <row r="25" spans="1:9" x14ac:dyDescent="0.2">
      <c r="B25" s="12" t="s">
        <v>623</v>
      </c>
    </row>
    <row r="26" spans="1:9" x14ac:dyDescent="0.2">
      <c r="B26" s="12" t="s">
        <v>622</v>
      </c>
    </row>
    <row r="28" spans="1:9" x14ac:dyDescent="0.2">
      <c r="B28" s="1" t="s">
        <v>433</v>
      </c>
    </row>
    <row r="29" spans="1:9" x14ac:dyDescent="0.2">
      <c r="B29" s="651" t="s">
        <v>2544</v>
      </c>
      <c r="C29" s="14"/>
      <c r="D29" s="14"/>
      <c r="E29" s="14"/>
      <c r="F29" s="14"/>
      <c r="G29" s="14"/>
      <c r="H29" s="14"/>
      <c r="I29" s="14"/>
    </row>
    <row r="30" spans="1:9" x14ac:dyDescent="0.2">
      <c r="B30" s="651" t="s">
        <v>2555</v>
      </c>
      <c r="C30" s="14"/>
      <c r="D30" s="14"/>
      <c r="E30" s="14"/>
      <c r="F30" s="14"/>
      <c r="G30" s="14"/>
      <c r="H30" s="14"/>
      <c r="I30" s="14"/>
    </row>
    <row r="31" spans="1:9" x14ac:dyDescent="0.2">
      <c r="B31" s="651" t="s">
        <v>2825</v>
      </c>
      <c r="C31" s="14"/>
      <c r="D31" s="14"/>
      <c r="E31" s="14"/>
      <c r="F31" s="14"/>
      <c r="G31" s="14"/>
      <c r="H31" s="14"/>
      <c r="I31" s="14"/>
    </row>
    <row r="32" spans="1:9" x14ac:dyDescent="0.2">
      <c r="B32" s="651" t="s">
        <v>2824</v>
      </c>
      <c r="C32" s="14"/>
      <c r="D32" s="14"/>
      <c r="E32" s="14"/>
      <c r="F32" s="14"/>
      <c r="G32" s="14"/>
      <c r="H32" s="14"/>
      <c r="I32" s="14"/>
    </row>
    <row r="33" spans="2:9" x14ac:dyDescent="0.2">
      <c r="B33" s="651" t="s">
        <v>2539</v>
      </c>
      <c r="C33" s="14"/>
      <c r="D33" s="14"/>
      <c r="E33" s="14"/>
      <c r="F33" s="14"/>
      <c r="G33" s="14"/>
      <c r="H33" s="14"/>
      <c r="I33" s="14"/>
    </row>
    <row r="34" spans="2:9" x14ac:dyDescent="0.2">
      <c r="B34" s="651" t="s">
        <v>2540</v>
      </c>
      <c r="C34" s="14"/>
      <c r="D34" s="14"/>
      <c r="E34" s="14"/>
      <c r="F34" s="14"/>
      <c r="G34" s="14"/>
      <c r="H34" s="14"/>
      <c r="I34" s="14"/>
    </row>
    <row r="35" spans="2:9" x14ac:dyDescent="0.2">
      <c r="B35" s="651" t="s">
        <v>3121</v>
      </c>
      <c r="C35" s="14"/>
      <c r="D35" s="14"/>
      <c r="E35" s="14"/>
      <c r="F35" s="14"/>
      <c r="G35" s="14"/>
      <c r="H35" s="14"/>
      <c r="I35" s="14"/>
    </row>
    <row r="36" spans="2:9" x14ac:dyDescent="0.2">
      <c r="B36" s="651" t="s">
        <v>2543</v>
      </c>
      <c r="C36" s="14"/>
      <c r="D36" s="14"/>
      <c r="E36" s="14"/>
      <c r="F36" s="14"/>
      <c r="G36" s="14"/>
      <c r="H36" s="14"/>
      <c r="I36" s="14"/>
    </row>
    <row r="37" spans="2:9" x14ac:dyDescent="0.2">
      <c r="B37" s="651" t="s">
        <v>2541</v>
      </c>
      <c r="C37" s="14"/>
      <c r="D37" s="14"/>
      <c r="E37" s="14"/>
      <c r="F37" s="14"/>
      <c r="G37" s="14"/>
      <c r="H37" s="14"/>
      <c r="I37" s="14"/>
    </row>
    <row r="38" spans="2:9" x14ac:dyDescent="0.2">
      <c r="B38" s="651" t="s">
        <v>2823</v>
      </c>
      <c r="C38" s="14"/>
      <c r="D38" s="14"/>
      <c r="E38" s="14"/>
      <c r="F38" s="14"/>
      <c r="G38" s="14"/>
      <c r="H38" s="14"/>
      <c r="I38" s="14"/>
    </row>
    <row r="39" spans="2:9" x14ac:dyDescent="0.2">
      <c r="B39" s="14"/>
      <c r="C39" s="14"/>
      <c r="D39" s="14"/>
      <c r="E39" s="14"/>
      <c r="F39" s="14"/>
      <c r="G39" s="14"/>
      <c r="H39" s="14"/>
      <c r="I39" s="14"/>
    </row>
    <row r="40" spans="2:9" x14ac:dyDescent="0.2">
      <c r="B40" s="14"/>
      <c r="C40" s="14"/>
      <c r="D40" s="14"/>
      <c r="E40" s="131" t="s">
        <v>1792</v>
      </c>
      <c r="F40" s="14"/>
      <c r="G40" s="1067" t="s">
        <v>174</v>
      </c>
      <c r="H40" s="14"/>
      <c r="I40" s="14"/>
    </row>
    <row r="41" spans="2:9" x14ac:dyDescent="0.2">
      <c r="B41" s="14"/>
      <c r="C41" s="14"/>
      <c r="D41" s="1052" t="s">
        <v>2821</v>
      </c>
      <c r="E41" s="1175">
        <f>((G7*E7) + (G8*E8))/365</f>
        <v>9.1388000000000007E-3</v>
      </c>
      <c r="F41" s="14"/>
      <c r="G41" s="868" t="s">
        <v>2826</v>
      </c>
      <c r="H41" s="14"/>
      <c r="I41" s="14"/>
    </row>
    <row r="42" spans="2:9" x14ac:dyDescent="0.2">
      <c r="B42" s="14"/>
      <c r="C42" s="14"/>
      <c r="D42" s="1052" t="s">
        <v>2822</v>
      </c>
      <c r="E42" s="1175">
        <f>((G14*E14) + (G15*E15))/365</f>
        <v>2.4058E-3</v>
      </c>
      <c r="F42" s="14"/>
      <c r="G42" s="868" t="s">
        <v>2827</v>
      </c>
      <c r="H42" s="14"/>
      <c r="I42" s="14"/>
    </row>
  </sheetData>
  <phoneticPr fontId="10" type="noConversion"/>
  <pageMargins left="0.75" right="0.75" top="1" bottom="1" header="0.5" footer="0.5"/>
  <pageSetup scale="85" orientation="portrait" cellComments="asDisplayed" r:id="rId1"/>
  <headerFooter alignWithMargins="0">
    <oddHeader>&amp;CSchedule 28
FF and U
&amp;"Arial,Bold"Exhibit G-1</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heetViews>
  <sheetFormatPr defaultRowHeight="12.75" x14ac:dyDescent="0.2"/>
  <cols>
    <col min="1" max="1" width="4.7109375" customWidth="1"/>
    <col min="2" max="2" width="17.140625" customWidth="1"/>
    <col min="3" max="3" width="25.7109375" customWidth="1"/>
    <col min="4" max="6" width="13.7109375" customWidth="1"/>
    <col min="7" max="7" width="3.7109375" customWidth="1"/>
    <col min="8" max="8" width="14.7109375" customWidth="1"/>
    <col min="9" max="10" width="13.7109375" customWidth="1"/>
  </cols>
  <sheetData>
    <row r="1" spans="1:10" x14ac:dyDescent="0.2">
      <c r="A1" s="1" t="s">
        <v>1730</v>
      </c>
    </row>
    <row r="2" spans="1:10" x14ac:dyDescent="0.2">
      <c r="G2" s="44" t="s">
        <v>18</v>
      </c>
      <c r="H2" s="44"/>
      <c r="I2" s="101"/>
    </row>
    <row r="3" spans="1:10" x14ac:dyDescent="0.2">
      <c r="A3" s="3" t="s">
        <v>372</v>
      </c>
      <c r="B3" s="3" t="s">
        <v>95</v>
      </c>
      <c r="F3" s="53" t="s">
        <v>198</v>
      </c>
      <c r="G3" s="53" t="s">
        <v>209</v>
      </c>
      <c r="J3" s="53"/>
    </row>
    <row r="4" spans="1:10" x14ac:dyDescent="0.2">
      <c r="A4" s="2">
        <v>1</v>
      </c>
      <c r="B4" s="48">
        <f>'1-BaseTRR'!K157</f>
        <v>632678425.48147559</v>
      </c>
      <c r="C4" s="54" t="s">
        <v>147</v>
      </c>
      <c r="G4" s="15" t="str">
        <f>"1-BaseTRR, Line "&amp;'1-BaseTRR'!A157&amp;""</f>
        <v>1-BaseTRR, Line 89</v>
      </c>
      <c r="H4" s="14"/>
    </row>
    <row r="5" spans="1:10" x14ac:dyDescent="0.2">
      <c r="A5" s="2">
        <f t="shared" ref="A5:A10" si="0">A4+1</f>
        <v>2</v>
      </c>
      <c r="B5" s="6">
        <v>-60654041</v>
      </c>
      <c r="C5" s="54" t="s">
        <v>148</v>
      </c>
      <c r="F5" s="12" t="s">
        <v>407</v>
      </c>
      <c r="G5" s="667" t="s">
        <v>3177</v>
      </c>
      <c r="H5" s="101"/>
      <c r="I5" s="667" t="s">
        <v>3178</v>
      </c>
    </row>
    <row r="6" spans="1:10" x14ac:dyDescent="0.2">
      <c r="A6" s="2">
        <f t="shared" si="0"/>
        <v>3</v>
      </c>
      <c r="B6" s="6">
        <v>-60454429</v>
      </c>
      <c r="C6" s="54" t="s">
        <v>149</v>
      </c>
      <c r="G6" s="101" t="s">
        <v>3177</v>
      </c>
      <c r="H6" s="101"/>
      <c r="I6" s="667" t="s">
        <v>3178</v>
      </c>
    </row>
    <row r="7" spans="1:10" x14ac:dyDescent="0.2">
      <c r="A7" s="2">
        <f t="shared" si="0"/>
        <v>4</v>
      </c>
      <c r="B7" s="6">
        <v>-199612</v>
      </c>
      <c r="C7" s="54" t="s">
        <v>150</v>
      </c>
      <c r="G7" s="101" t="s">
        <v>3177</v>
      </c>
      <c r="H7" s="101"/>
      <c r="I7" s="667" t="s">
        <v>3178</v>
      </c>
    </row>
    <row r="8" spans="1:10" x14ac:dyDescent="0.2">
      <c r="A8" s="2">
        <f t="shared" si="0"/>
        <v>5</v>
      </c>
      <c r="B8" s="48">
        <f>-'33-RetailRates'!E254</f>
        <v>-6650836.6334365802</v>
      </c>
      <c r="C8" s="54" t="s">
        <v>151</v>
      </c>
      <c r="F8" t="s">
        <v>408</v>
      </c>
      <c r="G8" t="s">
        <v>94</v>
      </c>
    </row>
    <row r="9" spans="1:10" x14ac:dyDescent="0.2">
      <c r="A9" s="2">
        <f t="shared" si="0"/>
        <v>6</v>
      </c>
      <c r="B9" s="8">
        <f>'31-HVLV'!C45</f>
        <v>0.93324167408056735</v>
      </c>
      <c r="C9" s="54" t="s">
        <v>93</v>
      </c>
      <c r="G9" s="15" t="str">
        <f>"31-HVLV, Line "&amp;'31-HVLV'!A45&amp;""</f>
        <v>31-HVLV, Line 37</v>
      </c>
      <c r="H9" s="14"/>
    </row>
    <row r="10" spans="1:10" x14ac:dyDescent="0.2">
      <c r="A10" s="2">
        <f t="shared" si="0"/>
        <v>7</v>
      </c>
      <c r="B10" s="8">
        <f>'31-HVLV'!D45</f>
        <v>6.6758325919432732E-2</v>
      </c>
      <c r="C10" s="54" t="s">
        <v>92</v>
      </c>
      <c r="G10" s="15" t="str">
        <f>"31-HVLV, Line "&amp;'31-HVLV'!A45&amp;""</f>
        <v>31-HVLV, Line 37</v>
      </c>
      <c r="H10" s="14"/>
    </row>
    <row r="11" spans="1:10" x14ac:dyDescent="0.2">
      <c r="C11" s="37"/>
      <c r="D11" s="93"/>
      <c r="E11" s="93"/>
      <c r="F11" s="93"/>
      <c r="G11" s="93"/>
      <c r="H11" s="93"/>
      <c r="J11" s="93"/>
    </row>
    <row r="12" spans="1:10" x14ac:dyDescent="0.2">
      <c r="B12" s="1" t="s">
        <v>1996</v>
      </c>
      <c r="C12" s="37"/>
      <c r="D12" s="93"/>
      <c r="E12" s="93"/>
      <c r="F12" s="93"/>
      <c r="G12" s="93"/>
      <c r="H12" s="93"/>
    </row>
    <row r="13" spans="1:10" x14ac:dyDescent="0.2">
      <c r="B13" s="1"/>
      <c r="C13" s="37"/>
      <c r="D13" s="93"/>
      <c r="E13" s="93"/>
      <c r="F13" s="93"/>
      <c r="G13" s="93"/>
      <c r="H13" s="93"/>
    </row>
    <row r="14" spans="1:10" x14ac:dyDescent="0.2">
      <c r="B14" s="1"/>
      <c r="C14" s="37"/>
      <c r="D14" s="88" t="s">
        <v>406</v>
      </c>
      <c r="E14" s="88" t="s">
        <v>390</v>
      </c>
      <c r="F14" s="88" t="s">
        <v>391</v>
      </c>
      <c r="G14" s="93"/>
      <c r="H14" s="93"/>
    </row>
    <row r="15" spans="1:10" x14ac:dyDescent="0.2">
      <c r="B15" s="1"/>
      <c r="C15" s="37"/>
      <c r="F15" s="93"/>
      <c r="G15" s="93"/>
      <c r="H15" s="93"/>
    </row>
    <row r="16" spans="1:10" x14ac:dyDescent="0.2">
      <c r="E16" s="2" t="s">
        <v>531</v>
      </c>
      <c r="F16" s="2" t="s">
        <v>532</v>
      </c>
    </row>
    <row r="17" spans="1:8" x14ac:dyDescent="0.2">
      <c r="C17" s="37"/>
      <c r="D17" s="3" t="s">
        <v>152</v>
      </c>
      <c r="E17" s="3" t="s">
        <v>530</v>
      </c>
      <c r="F17" s="3" t="s">
        <v>530</v>
      </c>
      <c r="G17" s="3"/>
      <c r="H17" s="3" t="s">
        <v>209</v>
      </c>
    </row>
    <row r="18" spans="1:8" x14ac:dyDescent="0.2">
      <c r="A18" s="2">
        <f>A10+1</f>
        <v>8</v>
      </c>
      <c r="B18" s="94"/>
      <c r="C18" s="71" t="s">
        <v>169</v>
      </c>
      <c r="D18" s="7">
        <f>B4</f>
        <v>632678425.48147559</v>
      </c>
      <c r="E18" s="7">
        <f>D18*B9</f>
        <v>590441872.95098972</v>
      </c>
      <c r="F18" s="7">
        <f>D18*B10</f>
        <v>42236552.530485883</v>
      </c>
      <c r="G18" s="7"/>
      <c r="H18" s="649" t="s">
        <v>323</v>
      </c>
    </row>
    <row r="19" spans="1:8" x14ac:dyDescent="0.2">
      <c r="A19" s="726">
        <f>A18+1</f>
        <v>9</v>
      </c>
      <c r="B19" s="94"/>
      <c r="C19" s="71" t="s">
        <v>1994</v>
      </c>
      <c r="D19" s="7">
        <f>'24-CWIPTRR'!E145</f>
        <v>154049228.63575059</v>
      </c>
      <c r="E19" s="7">
        <f>'24-CWIPTRR'!E145</f>
        <v>154049228.63575059</v>
      </c>
      <c r="F19" s="7">
        <v>0</v>
      </c>
      <c r="G19" s="7"/>
      <c r="H19" s="649" t="s">
        <v>1061</v>
      </c>
    </row>
    <row r="20" spans="1:8" x14ac:dyDescent="0.2">
      <c r="A20" s="726">
        <f>A19+1</f>
        <v>10</v>
      </c>
      <c r="B20" s="94"/>
      <c r="C20" s="71" t="s">
        <v>1995</v>
      </c>
      <c r="D20" s="7">
        <f>D18-D19</f>
        <v>478629196.845725</v>
      </c>
      <c r="E20" s="7">
        <f t="shared" ref="E20:F20" si="1">E18-E19</f>
        <v>436392644.31523913</v>
      </c>
      <c r="F20" s="7">
        <f t="shared" si="1"/>
        <v>42236552.530485883</v>
      </c>
      <c r="G20" s="7"/>
      <c r="H20" s="649" t="s">
        <v>1062</v>
      </c>
    </row>
    <row r="21" spans="1:8" x14ac:dyDescent="0.2">
      <c r="B21" s="94"/>
      <c r="C21" s="94"/>
      <c r="D21" s="7"/>
      <c r="E21" s="7"/>
      <c r="F21" s="7"/>
      <c r="G21" s="7"/>
    </row>
    <row r="22" spans="1:8" x14ac:dyDescent="0.2">
      <c r="A22" s="2">
        <f>A20+1</f>
        <v>11</v>
      </c>
      <c r="B22" s="1"/>
      <c r="C22" s="71" t="s">
        <v>153</v>
      </c>
      <c r="D22" s="7">
        <f>B5</f>
        <v>-60654041</v>
      </c>
      <c r="E22" s="7">
        <f>B6</f>
        <v>-60454429</v>
      </c>
      <c r="F22" s="7">
        <f>B7</f>
        <v>-199612</v>
      </c>
      <c r="G22" s="7"/>
      <c r="H22" t="str">
        <f>"Lines "&amp;A5&amp;" to "&amp;A7&amp;""</f>
        <v>Lines 2 to 4</v>
      </c>
    </row>
    <row r="23" spans="1:8" x14ac:dyDescent="0.2">
      <c r="B23" s="1"/>
      <c r="C23" s="71"/>
      <c r="D23" s="7"/>
      <c r="E23" s="7"/>
      <c r="F23" s="7"/>
      <c r="G23" s="7"/>
    </row>
    <row r="24" spans="1:8" x14ac:dyDescent="0.2">
      <c r="A24" s="2">
        <f>A22+1</f>
        <v>12</v>
      </c>
      <c r="B24" s="1"/>
      <c r="C24" s="71" t="s">
        <v>2374</v>
      </c>
      <c r="D24" s="95">
        <f>$B$8</f>
        <v>-6650836.6334365802</v>
      </c>
      <c r="E24" s="95">
        <f>$B$8*$B$9</f>
        <v>-6206837.9138247184</v>
      </c>
      <c r="F24" s="95">
        <f>$B$8*$B$10</f>
        <v>-443998.71961186198</v>
      </c>
      <c r="G24" s="95"/>
      <c r="H24" s="649" t="s">
        <v>597</v>
      </c>
    </row>
    <row r="25" spans="1:8" x14ac:dyDescent="0.2">
      <c r="A25" s="808"/>
      <c r="B25" s="1"/>
      <c r="C25" s="71"/>
      <c r="D25" s="95"/>
      <c r="E25" s="95"/>
      <c r="F25" s="95"/>
      <c r="G25" s="95"/>
      <c r="H25" s="649"/>
    </row>
    <row r="26" spans="1:8" x14ac:dyDescent="0.2">
      <c r="B26" s="1"/>
      <c r="C26" s="71" t="s">
        <v>2375</v>
      </c>
      <c r="D26" s="95"/>
      <c r="E26" s="95"/>
      <c r="F26" s="95"/>
      <c r="G26" s="95"/>
    </row>
    <row r="27" spans="1:8" x14ac:dyDescent="0.2">
      <c r="A27" s="2">
        <f>A24+1</f>
        <v>13</v>
      </c>
      <c r="B27" s="1"/>
      <c r="C27" s="71" t="s">
        <v>2376</v>
      </c>
      <c r="D27" s="7">
        <f>D18+D22+D24</f>
        <v>565373547.84803903</v>
      </c>
      <c r="E27" s="7">
        <f>E18+E22+E24</f>
        <v>523780606.03716499</v>
      </c>
      <c r="F27" s="7">
        <f>F18+F22+F24</f>
        <v>41592941.810874023</v>
      </c>
      <c r="G27" s="7"/>
      <c r="H27" s="107" t="str">
        <f>"Sum of Lines "&amp;A18&amp;", "&amp;A22&amp;", and "&amp;A24&amp;""</f>
        <v>Sum of Lines 8, 11, and 12</v>
      </c>
    </row>
    <row r="28" spans="1:8" x14ac:dyDescent="0.2">
      <c r="E28" s="7"/>
    </row>
    <row r="29" spans="1:8" x14ac:dyDescent="0.2">
      <c r="B29" s="53" t="s">
        <v>267</v>
      </c>
    </row>
    <row r="30" spans="1:8" x14ac:dyDescent="0.2">
      <c r="B30" s="12" t="s">
        <v>1761</v>
      </c>
    </row>
    <row r="31" spans="1:8" x14ac:dyDescent="0.2">
      <c r="B31" s="649" t="s">
        <v>2403</v>
      </c>
    </row>
    <row r="32" spans="1:8" x14ac:dyDescent="0.2">
      <c r="B32" s="12" t="s">
        <v>1762</v>
      </c>
    </row>
    <row r="33" spans="2:6" x14ac:dyDescent="0.2">
      <c r="B33" s="651" t="s">
        <v>2630</v>
      </c>
      <c r="C33" s="14"/>
      <c r="D33" s="101" t="str">
        <f>""&amp;'33-RetailRates'!A254&amp;""</f>
        <v>32o</v>
      </c>
      <c r="F33" s="14"/>
    </row>
    <row r="34" spans="2:6" x14ac:dyDescent="0.2">
      <c r="B34" s="15" t="str">
        <f>"3) Column 1 is from Line "&amp;A4&amp;"."</f>
        <v>3) Column 1 is from Line 1.</v>
      </c>
      <c r="C34" s="14"/>
    </row>
    <row r="35" spans="2:6" x14ac:dyDescent="0.2">
      <c r="B35" s="47" t="str">
        <f>"Column 2 equals Column 1 * Line "&amp;A9&amp;"."</f>
        <v>Column 2 equals Column 1 * Line 6.</v>
      </c>
      <c r="C35" s="14"/>
    </row>
    <row r="36" spans="2:6" x14ac:dyDescent="0.2">
      <c r="B36" s="47" t="str">
        <f>"Column 3 equals Column 1 * Line "&amp;A10&amp;"."</f>
        <v>Column 3 equals Column 1 * Line 7.</v>
      </c>
      <c r="C36" s="14"/>
    </row>
    <row r="37" spans="2:6" x14ac:dyDescent="0.2">
      <c r="B37" s="14" t="str">
        <f>"4) From 24-CWIPTRR, Line "&amp;'24-CWIPTRR'!A145&amp;".  All High Voltage."</f>
        <v>4) From 24-CWIPTRR, Line 88.  All High Voltage.</v>
      </c>
      <c r="C37" s="14"/>
    </row>
    <row r="38" spans="2:6" x14ac:dyDescent="0.2">
      <c r="B38" s="14" t="str">
        <f>"5) Line "&amp;A18&amp;" - Line "&amp;A19&amp;""</f>
        <v>5) Line 8 - Line 9</v>
      </c>
      <c r="C38" s="14"/>
    </row>
    <row r="39" spans="2:6" x14ac:dyDescent="0.2">
      <c r="B39" s="12" t="str">
        <f>"6) Column 1 is from Line "&amp;A8&amp;"."</f>
        <v>6) Column 1 is from Line 5.</v>
      </c>
    </row>
    <row r="40" spans="2:6" x14ac:dyDescent="0.2">
      <c r="B40" s="13" t="str">
        <f>"Column 2 equals Column 1 * Line "&amp;A9&amp;"."</f>
        <v>Column 2 equals Column 1 * Line 6.</v>
      </c>
    </row>
    <row r="41" spans="2:6" x14ac:dyDescent="0.2">
      <c r="B41" s="13" t="str">
        <f>"Column 3 equals Column 1 * Line "&amp;A10&amp;"."</f>
        <v>Column 3 equals Column 1 * Line 7.</v>
      </c>
    </row>
  </sheetData>
  <phoneticPr fontId="10" type="noConversion"/>
  <pageMargins left="0.75" right="0.75" top="1" bottom="1" header="0.5" footer="0.5"/>
  <pageSetup scale="90" orientation="landscape" cellComments="asDisplayed" r:id="rId1"/>
  <headerFooter alignWithMargins="0">
    <oddHeader>&amp;CSchedule 29
Wholesale TRRs
&amp;"Arial,Bold"Exhibit G-1</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85" zoomScaleNormal="85" workbookViewId="0">
      <selection activeCell="E27" sqref="E27"/>
    </sheetView>
  </sheetViews>
  <sheetFormatPr defaultRowHeight="12.75" x14ac:dyDescent="0.2"/>
  <cols>
    <col min="1" max="2" width="4.7109375" customWidth="1"/>
    <col min="4" max="4" width="24.42578125" customWidth="1"/>
    <col min="5" max="5" width="17.7109375" customWidth="1"/>
    <col min="6" max="6" width="9.140625" style="16"/>
    <col min="7" max="7" width="10.140625" bestFit="1" customWidth="1"/>
  </cols>
  <sheetData>
    <row r="1" spans="1:11" x14ac:dyDescent="0.2">
      <c r="A1" s="1" t="s">
        <v>1759</v>
      </c>
    </row>
    <row r="2" spans="1:11" x14ac:dyDescent="0.2">
      <c r="B2" s="1"/>
    </row>
    <row r="3" spans="1:11" x14ac:dyDescent="0.2">
      <c r="B3" s="12" t="s">
        <v>154</v>
      </c>
      <c r="E3" s="14"/>
      <c r="F3" s="120"/>
    </row>
    <row r="4" spans="1:11" x14ac:dyDescent="0.2">
      <c r="B4" s="12"/>
    </row>
    <row r="5" spans="1:11" x14ac:dyDescent="0.2">
      <c r="B5" s="13" t="s">
        <v>155</v>
      </c>
    </row>
    <row r="6" spans="1:11" x14ac:dyDescent="0.2">
      <c r="B6" s="13" t="s">
        <v>156</v>
      </c>
    </row>
    <row r="7" spans="1:11" x14ac:dyDescent="0.2">
      <c r="B7" s="13" t="s">
        <v>157</v>
      </c>
    </row>
    <row r="8" spans="1:11" x14ac:dyDescent="0.2">
      <c r="B8" s="13" t="s">
        <v>158</v>
      </c>
    </row>
    <row r="9" spans="1:11" x14ac:dyDescent="0.2">
      <c r="B9" s="13" t="s">
        <v>159</v>
      </c>
    </row>
    <row r="10" spans="1:11" x14ac:dyDescent="0.2">
      <c r="B10" s="12"/>
    </row>
    <row r="11" spans="1:11" x14ac:dyDescent="0.2">
      <c r="B11" s="12"/>
    </row>
    <row r="12" spans="1:11" x14ac:dyDescent="0.2">
      <c r="B12" s="1" t="s">
        <v>160</v>
      </c>
    </row>
    <row r="13" spans="1:11" x14ac:dyDescent="0.2">
      <c r="A13" s="3" t="s">
        <v>372</v>
      </c>
      <c r="G13" s="3" t="s">
        <v>209</v>
      </c>
    </row>
    <row r="14" spans="1:11" x14ac:dyDescent="0.2">
      <c r="A14" s="2">
        <v>1</v>
      </c>
      <c r="D14" s="98" t="s">
        <v>1732</v>
      </c>
      <c r="E14" s="7">
        <f>'29-WholesaleTRRs'!F27</f>
        <v>41592941.810874023</v>
      </c>
      <c r="G14" s="47" t="str">
        <f>"29-WholesaleTRRs, Line "&amp;'29-WholesaleTRRs'!A27&amp;", C3"</f>
        <v>29-WholesaleTRRs, Line 13, C3</v>
      </c>
      <c r="H14" s="14"/>
      <c r="I14" s="14"/>
      <c r="J14" s="14"/>
      <c r="K14" s="14"/>
    </row>
    <row r="15" spans="1:11" x14ac:dyDescent="0.2">
      <c r="A15" s="2">
        <f>A14+1</f>
        <v>2</v>
      </c>
      <c r="D15" s="98" t="s">
        <v>1731</v>
      </c>
      <c r="E15" s="119">
        <f>'32-GrossLoad'!F7</f>
        <v>89629647</v>
      </c>
      <c r="F15" s="13" t="s">
        <v>324</v>
      </c>
      <c r="G15" s="47" t="str">
        <f>"32-Gross Load, Line "&amp;'32-GrossLoad'!A7&amp;""</f>
        <v>32-Gross Load, Line 3</v>
      </c>
      <c r="H15" s="14"/>
      <c r="I15" s="14"/>
      <c r="J15" s="14"/>
      <c r="K15" s="14"/>
    </row>
    <row r="16" spans="1:11" x14ac:dyDescent="0.2">
      <c r="A16" s="2">
        <f>A15+1</f>
        <v>3</v>
      </c>
      <c r="D16" s="98" t="s">
        <v>1733</v>
      </c>
      <c r="E16" s="96">
        <f>E14/(E15*1000)</f>
        <v>4.6405339307956914E-4</v>
      </c>
      <c r="F16" s="16" t="s">
        <v>161</v>
      </c>
      <c r="G16" s="120" t="str">
        <f>"Line "&amp;A14&amp;" / (Line "&amp;A15&amp;" * 1000)"</f>
        <v>Line 1 / (Line 2 * 1000)</v>
      </c>
      <c r="H16" s="14"/>
      <c r="I16" s="14"/>
      <c r="J16" s="14"/>
      <c r="K16" s="14"/>
    </row>
    <row r="17" spans="1:11" x14ac:dyDescent="0.2">
      <c r="D17" s="37"/>
      <c r="E17" s="74"/>
      <c r="G17" s="14"/>
      <c r="H17" s="14"/>
      <c r="I17" s="14"/>
      <c r="J17" s="14"/>
      <c r="K17" s="14"/>
    </row>
    <row r="18" spans="1:11" x14ac:dyDescent="0.2">
      <c r="B18" s="1" t="s">
        <v>162</v>
      </c>
      <c r="D18" s="37"/>
      <c r="E18" s="74"/>
      <c r="G18" s="14"/>
      <c r="H18" s="14"/>
      <c r="I18" s="14"/>
      <c r="J18" s="14"/>
      <c r="K18" s="14"/>
    </row>
    <row r="19" spans="1:11" x14ac:dyDescent="0.2">
      <c r="D19" s="37"/>
      <c r="E19" s="74"/>
      <c r="G19" s="131" t="s">
        <v>209</v>
      </c>
      <c r="H19" s="14"/>
      <c r="I19" s="14"/>
      <c r="J19" s="14"/>
      <c r="K19" s="14"/>
    </row>
    <row r="20" spans="1:11" x14ac:dyDescent="0.2">
      <c r="A20" s="2">
        <f>A16+1</f>
        <v>4</v>
      </c>
      <c r="D20" s="98" t="s">
        <v>1732</v>
      </c>
      <c r="E20" s="7">
        <f>'29-WholesaleTRRs'!F27</f>
        <v>41592941.810874023</v>
      </c>
      <c r="G20" s="47" t="str">
        <f>"29-WholesaleTRRs, Line "&amp;'29-WholesaleTRRs'!A27&amp;", C3"</f>
        <v>29-WholesaleTRRs, Line 13, C3</v>
      </c>
      <c r="H20" s="14"/>
      <c r="I20" s="14"/>
      <c r="J20" s="14"/>
      <c r="K20" s="14"/>
    </row>
    <row r="21" spans="1:11" x14ac:dyDescent="0.2">
      <c r="A21" s="2">
        <f>A20+1</f>
        <v>5</v>
      </c>
      <c r="D21" s="98" t="s">
        <v>1731</v>
      </c>
      <c r="E21" s="119">
        <f>'32-GrossLoad'!F7</f>
        <v>89629647</v>
      </c>
      <c r="F21" s="13" t="s">
        <v>324</v>
      </c>
      <c r="G21" s="47" t="str">
        <f>"32-Gross Load, Line "&amp;'32-GrossLoad'!A7&amp;""</f>
        <v>32-Gross Load, Line 3</v>
      </c>
      <c r="H21" s="14"/>
      <c r="I21" s="14"/>
      <c r="J21" s="14"/>
      <c r="K21" s="14"/>
    </row>
    <row r="22" spans="1:11" x14ac:dyDescent="0.2">
      <c r="A22" s="2">
        <f>A21+1</f>
        <v>6</v>
      </c>
      <c r="D22" s="98" t="s">
        <v>1734</v>
      </c>
      <c r="E22" s="96">
        <f>E20/(E21*1000)</f>
        <v>4.6405339307956914E-4</v>
      </c>
      <c r="F22" s="16" t="s">
        <v>161</v>
      </c>
      <c r="G22" s="120" t="str">
        <f>"Line "&amp;A20&amp;" / (Line "&amp;A21&amp;" * 1000)"</f>
        <v>Line 4 / (Line 5 * 1000)</v>
      </c>
      <c r="H22" s="14"/>
      <c r="I22" s="14"/>
      <c r="J22" s="14"/>
      <c r="K22" s="14"/>
    </row>
    <row r="23" spans="1:11" x14ac:dyDescent="0.2">
      <c r="D23" s="37"/>
      <c r="G23" s="14"/>
      <c r="H23" s="14"/>
      <c r="I23" s="14"/>
      <c r="J23" s="14"/>
      <c r="K23" s="14"/>
    </row>
    <row r="24" spans="1:11" x14ac:dyDescent="0.2">
      <c r="G24" s="14"/>
      <c r="H24" s="14"/>
      <c r="I24" s="14"/>
      <c r="J24" s="14"/>
      <c r="K24" s="14"/>
    </row>
    <row r="25" spans="1:11" x14ac:dyDescent="0.2">
      <c r="B25" s="1" t="s">
        <v>163</v>
      </c>
      <c r="G25" s="14"/>
      <c r="H25" s="14"/>
      <c r="I25" s="14"/>
      <c r="J25" s="14"/>
      <c r="K25" s="14"/>
    </row>
    <row r="26" spans="1:11" x14ac:dyDescent="0.2">
      <c r="C26" s="54" t="s">
        <v>164</v>
      </c>
      <c r="G26" s="14"/>
      <c r="H26" s="14"/>
      <c r="I26" s="14"/>
      <c r="J26" s="14"/>
      <c r="K26" s="14"/>
    </row>
    <row r="27" spans="1:11" x14ac:dyDescent="0.2">
      <c r="G27" s="131" t="s">
        <v>209</v>
      </c>
      <c r="H27" s="14"/>
      <c r="I27" s="14"/>
      <c r="J27" s="14"/>
      <c r="K27" s="14"/>
    </row>
    <row r="28" spans="1:11" x14ac:dyDescent="0.2">
      <c r="A28" s="2">
        <f>A22+1</f>
        <v>7</v>
      </c>
      <c r="D28" s="37" t="s">
        <v>165</v>
      </c>
      <c r="E28" s="7">
        <f>'29-WholesaleTRRs'!E27</f>
        <v>523780606.03716499</v>
      </c>
      <c r="G28" s="47" t="str">
        <f>"29-WholesaleTRRs, Line "&amp;'29-WholesaleTRRs'!A27&amp;", C2"</f>
        <v>29-WholesaleTRRs, Line 13, C2</v>
      </c>
      <c r="H28" s="14"/>
      <c r="I28" s="14"/>
      <c r="J28" s="14"/>
      <c r="K28" s="14"/>
    </row>
    <row r="29" spans="1:11" x14ac:dyDescent="0.2">
      <c r="A29" s="2">
        <f>A28+1</f>
        <v>8</v>
      </c>
      <c r="D29" s="98" t="s">
        <v>1731</v>
      </c>
      <c r="E29" s="119">
        <f>'32-GrossLoad'!F7</f>
        <v>89629647</v>
      </c>
      <c r="F29" s="13" t="s">
        <v>324</v>
      </c>
      <c r="G29" s="47" t="str">
        <f>"32-Gross Load, Line "&amp;'32-GrossLoad'!A7&amp;""</f>
        <v>32-Gross Load, Line 3</v>
      </c>
      <c r="H29" s="14"/>
      <c r="I29" s="14"/>
      <c r="J29" s="14"/>
      <c r="K29" s="14"/>
    </row>
    <row r="30" spans="1:11" x14ac:dyDescent="0.2">
      <c r="A30" s="2">
        <f>A29+1</f>
        <v>9</v>
      </c>
      <c r="D30" s="98" t="s">
        <v>1735</v>
      </c>
      <c r="E30" s="97">
        <f>E28/(E29*1000)</f>
        <v>5.8438320753083518E-3</v>
      </c>
      <c r="F30" s="16" t="s">
        <v>161</v>
      </c>
      <c r="G30" s="120" t="str">
        <f>"Line "&amp;A28&amp;" / (Line "&amp;A29&amp;" * 1000)"</f>
        <v>Line 7 / (Line 8 * 1000)</v>
      </c>
      <c r="H30" s="14"/>
      <c r="I30" s="14"/>
      <c r="J30" s="14"/>
      <c r="K30" s="14"/>
    </row>
    <row r="31" spans="1:11" x14ac:dyDescent="0.2">
      <c r="G31" s="14"/>
      <c r="H31" s="14"/>
      <c r="I31" s="14"/>
      <c r="J31" s="14"/>
      <c r="K31" s="14"/>
    </row>
    <row r="32" spans="1:11" x14ac:dyDescent="0.2">
      <c r="B32" s="1" t="s">
        <v>166</v>
      </c>
      <c r="G32" s="14"/>
      <c r="H32" s="14"/>
      <c r="I32" s="14"/>
      <c r="J32" s="14"/>
      <c r="K32" s="14"/>
    </row>
    <row r="33" spans="1:11" x14ac:dyDescent="0.2">
      <c r="G33" s="131" t="s">
        <v>209</v>
      </c>
      <c r="H33" s="14"/>
      <c r="I33" s="14"/>
      <c r="J33" s="14"/>
      <c r="K33" s="14"/>
    </row>
    <row r="34" spans="1:11" x14ac:dyDescent="0.2">
      <c r="A34" s="2">
        <f>A30+1</f>
        <v>10</v>
      </c>
      <c r="D34" s="98" t="s">
        <v>1736</v>
      </c>
      <c r="E34" s="7">
        <f>'29-WholesaleTRRs'!E27</f>
        <v>523780606.03716499</v>
      </c>
      <c r="G34" s="47" t="str">
        <f>"29-WholesaleTRRs, Line "&amp;'29-WholesaleTRRs'!A27&amp;", C2"</f>
        <v>29-WholesaleTRRs, Line 13, C2</v>
      </c>
      <c r="H34" s="14"/>
      <c r="I34" s="14"/>
      <c r="J34" s="14"/>
      <c r="K34" s="14"/>
    </row>
    <row r="35" spans="1:11" x14ac:dyDescent="0.2">
      <c r="A35" s="2">
        <f>A34+1</f>
        <v>11</v>
      </c>
      <c r="D35" s="98" t="s">
        <v>1737</v>
      </c>
      <c r="E35" s="119">
        <f>'32-GrossLoad'!F10</f>
        <v>178684</v>
      </c>
      <c r="F35" s="16" t="s">
        <v>167</v>
      </c>
      <c r="G35" s="47" t="str">
        <f>"32-Gross Load, Line "&amp;'32-GrossLoad'!A10&amp;""</f>
        <v>32-Gross Load, Line 4</v>
      </c>
      <c r="H35" s="14"/>
      <c r="I35" s="14"/>
      <c r="J35" s="14"/>
      <c r="K35" s="14"/>
    </row>
    <row r="36" spans="1:11" x14ac:dyDescent="0.2">
      <c r="A36" s="2">
        <f>A35+1</f>
        <v>12</v>
      </c>
      <c r="D36" s="98" t="s">
        <v>1738</v>
      </c>
      <c r="E36" s="74">
        <f>ROUND((E34/(E35*1000)),2)</f>
        <v>2.93</v>
      </c>
      <c r="F36" s="13" t="s">
        <v>369</v>
      </c>
      <c r="G36" s="120" t="str">
        <f>"Line "&amp;A34&amp;" / (Line "&amp;A35&amp;" * 1000)"</f>
        <v>Line 10 / (Line 11 * 1000)</v>
      </c>
      <c r="H36" s="14"/>
      <c r="I36" s="14"/>
      <c r="J36" s="14"/>
      <c r="K36" s="14"/>
    </row>
    <row r="37" spans="1:11" x14ac:dyDescent="0.2">
      <c r="G37" s="14"/>
      <c r="H37" s="14"/>
      <c r="I37" s="14"/>
      <c r="J37" s="14"/>
      <c r="K37" s="14"/>
    </row>
    <row r="38" spans="1:11" x14ac:dyDescent="0.2">
      <c r="B38" s="1" t="s">
        <v>168</v>
      </c>
      <c r="G38" s="14"/>
      <c r="H38" s="14"/>
      <c r="I38" s="14"/>
      <c r="J38" s="14"/>
      <c r="K38" s="14"/>
    </row>
    <row r="39" spans="1:11" x14ac:dyDescent="0.2">
      <c r="G39" s="131" t="s">
        <v>209</v>
      </c>
      <c r="H39" s="14"/>
      <c r="I39" s="14"/>
      <c r="J39" s="14"/>
      <c r="K39" s="14"/>
    </row>
    <row r="40" spans="1:11" x14ac:dyDescent="0.2">
      <c r="A40" s="2">
        <f>A36+1</f>
        <v>13</v>
      </c>
      <c r="D40" s="98" t="s">
        <v>1739</v>
      </c>
      <c r="E40" s="7">
        <f>'29-WholesaleTRRs'!F27</f>
        <v>41592941.810874023</v>
      </c>
      <c r="G40" s="47" t="str">
        <f>"29-WholesaleTRRs, Line "&amp;'29-WholesaleTRRs'!A27&amp;", C3"</f>
        <v>29-WholesaleTRRs, Line 13, C3</v>
      </c>
      <c r="H40" s="14"/>
      <c r="I40" s="14"/>
      <c r="J40" s="14"/>
      <c r="K40" s="14"/>
    </row>
    <row r="41" spans="1:11" x14ac:dyDescent="0.2">
      <c r="A41" s="2">
        <f>A40+1</f>
        <v>14</v>
      </c>
      <c r="D41" s="98" t="s">
        <v>1737</v>
      </c>
      <c r="E41" s="119">
        <f>'32-GrossLoad'!F10</f>
        <v>178684</v>
      </c>
      <c r="F41" s="16" t="s">
        <v>167</v>
      </c>
      <c r="G41" s="47" t="str">
        <f>"32-Gross Load, Line "&amp;'32-GrossLoad'!A10&amp;""</f>
        <v>32-Gross Load, Line 4</v>
      </c>
      <c r="H41" s="14"/>
      <c r="I41" s="14"/>
      <c r="J41" s="14"/>
      <c r="K41" s="14"/>
    </row>
    <row r="42" spans="1:11" x14ac:dyDescent="0.2">
      <c r="A42" s="2">
        <f>A41+1</f>
        <v>15</v>
      </c>
      <c r="D42" s="98" t="s">
        <v>1740</v>
      </c>
      <c r="E42" s="76">
        <f>ROUND((E40/(E41*1000)),2)</f>
        <v>0.23</v>
      </c>
      <c r="F42" s="13" t="s">
        <v>369</v>
      </c>
      <c r="G42" s="120" t="str">
        <f>"Line "&amp;A40&amp;" / (Line "&amp;A41&amp;" * 1000)"</f>
        <v>Line 13 / (Line 14 * 1000)</v>
      </c>
      <c r="H42" s="14"/>
      <c r="I42" s="14"/>
      <c r="J42" s="14"/>
      <c r="K42" s="14"/>
    </row>
    <row r="43" spans="1:11" x14ac:dyDescent="0.2">
      <c r="G43" s="14"/>
      <c r="H43" s="14"/>
      <c r="I43" s="14"/>
      <c r="J43" s="14"/>
      <c r="K43" s="14"/>
    </row>
    <row r="44" spans="1:11" x14ac:dyDescent="0.2">
      <c r="G44" s="14"/>
      <c r="H44" s="14"/>
      <c r="I44" s="14"/>
      <c r="J44" s="14"/>
      <c r="K44" s="14"/>
    </row>
    <row r="45" spans="1:11" x14ac:dyDescent="0.2">
      <c r="B45" s="53" t="s">
        <v>267</v>
      </c>
      <c r="G45" s="14"/>
      <c r="H45" s="14"/>
      <c r="I45" s="14"/>
      <c r="J45" s="14"/>
      <c r="K45" s="14"/>
    </row>
    <row r="46" spans="1:11" x14ac:dyDescent="0.2">
      <c r="B46" s="12" t="s">
        <v>1760</v>
      </c>
    </row>
    <row r="47" spans="1:11" x14ac:dyDescent="0.2">
      <c r="B47" s="649" t="s">
        <v>2631</v>
      </c>
      <c r="D47" s="14"/>
    </row>
  </sheetData>
  <phoneticPr fontId="10" type="noConversion"/>
  <pageMargins left="0.75" right="0.75" top="1" bottom="1" header="0.5" footer="0.5"/>
  <pageSetup scale="85" orientation="portrait" cellComments="asDisplayed" r:id="rId1"/>
  <headerFooter alignWithMargins="0">
    <oddHeader>&amp;CSchedule 30
Wholesale Rates
&amp;"Arial,Bold"Exhibit G-1</oddHeader>
    <oddFooter>&amp;R&amp;A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75" zoomScaleNormal="75" workbookViewId="0">
      <selection sqref="A1:B1"/>
    </sheetView>
  </sheetViews>
  <sheetFormatPr defaultRowHeight="12.75" x14ac:dyDescent="0.2"/>
  <cols>
    <col min="1" max="1" width="4.7109375" customWidth="1"/>
    <col min="2" max="2" width="38" style="148" customWidth="1"/>
    <col min="3" max="5" width="14.7109375" style="148" customWidth="1"/>
    <col min="6" max="6" width="3.42578125" style="148" bestFit="1" customWidth="1"/>
    <col min="7" max="11" width="14.7109375" style="148" customWidth="1"/>
  </cols>
  <sheetData>
    <row r="1" spans="1:11" x14ac:dyDescent="0.2">
      <c r="A1" s="269" t="s">
        <v>518</v>
      </c>
      <c r="B1" s="17"/>
      <c r="C1" s="17"/>
      <c r="D1" s="17"/>
      <c r="E1" s="17"/>
      <c r="F1" s="17"/>
      <c r="G1" s="17"/>
      <c r="H1" s="17"/>
      <c r="I1" s="17"/>
      <c r="J1" s="17"/>
      <c r="K1" s="17"/>
    </row>
    <row r="2" spans="1:11" x14ac:dyDescent="0.2">
      <c r="A2" s="17" t="s">
        <v>529</v>
      </c>
      <c r="B2" s="17"/>
      <c r="C2" s="17"/>
      <c r="D2" s="17"/>
      <c r="E2" s="17"/>
      <c r="F2" s="17"/>
      <c r="G2" s="17"/>
      <c r="H2" s="17"/>
      <c r="I2" s="270" t="s">
        <v>510</v>
      </c>
      <c r="J2" s="270"/>
      <c r="K2" s="17"/>
    </row>
    <row r="3" spans="1:11" x14ac:dyDescent="0.2">
      <c r="A3" s="12"/>
      <c r="B3" s="17"/>
      <c r="C3" s="17"/>
      <c r="D3" s="17"/>
      <c r="E3" s="17"/>
      <c r="F3" s="17"/>
      <c r="G3" s="17"/>
      <c r="H3" s="17"/>
      <c r="I3" s="17"/>
      <c r="J3" s="17"/>
      <c r="K3" s="17"/>
    </row>
    <row r="4" spans="1:11" x14ac:dyDescent="0.2">
      <c r="A4" s="12"/>
      <c r="B4" s="17"/>
      <c r="C4" s="17"/>
      <c r="D4" s="17"/>
      <c r="E4" s="17"/>
      <c r="F4" s="17"/>
      <c r="G4" s="1179" t="s">
        <v>2546</v>
      </c>
      <c r="H4" s="285"/>
      <c r="I4" s="285"/>
      <c r="J4" s="285"/>
      <c r="K4" s="17"/>
    </row>
    <row r="5" spans="1:11" x14ac:dyDescent="0.2">
      <c r="A5" s="12"/>
      <c r="B5" s="269" t="s">
        <v>541</v>
      </c>
      <c r="C5" s="17"/>
      <c r="D5" s="17"/>
      <c r="E5" s="17"/>
      <c r="F5" s="17"/>
      <c r="G5" s="1179" t="s">
        <v>2547</v>
      </c>
      <c r="H5" s="1179"/>
      <c r="I5" s="285"/>
      <c r="J5" s="285"/>
      <c r="K5" s="17"/>
    </row>
    <row r="6" spans="1:11" x14ac:dyDescent="0.2">
      <c r="A6" s="12"/>
      <c r="B6" s="17"/>
      <c r="C6" s="26" t="s">
        <v>520</v>
      </c>
      <c r="D6" s="26"/>
      <c r="E6" s="26"/>
      <c r="F6" s="26"/>
      <c r="G6" s="26"/>
      <c r="H6" s="26"/>
      <c r="I6" s="26" t="s">
        <v>15</v>
      </c>
      <c r="J6" s="26" t="s">
        <v>16</v>
      </c>
      <c r="K6" s="26" t="s">
        <v>87</v>
      </c>
    </row>
    <row r="7" spans="1:11" x14ac:dyDescent="0.2">
      <c r="A7" s="12"/>
      <c r="B7" s="269" t="s">
        <v>525</v>
      </c>
      <c r="C7" s="31" t="s">
        <v>521</v>
      </c>
      <c r="D7" s="31" t="s">
        <v>482</v>
      </c>
      <c r="E7" s="31" t="s">
        <v>515</v>
      </c>
      <c r="F7" s="31"/>
      <c r="G7" s="31" t="s">
        <v>522</v>
      </c>
      <c r="H7" s="31" t="s">
        <v>523</v>
      </c>
      <c r="I7" s="31" t="s">
        <v>515</v>
      </c>
      <c r="J7" s="31" t="s">
        <v>515</v>
      </c>
      <c r="K7" s="31" t="s">
        <v>524</v>
      </c>
    </row>
    <row r="8" spans="1:11" x14ac:dyDescent="0.2">
      <c r="A8" s="3" t="s">
        <v>372</v>
      </c>
      <c r="B8" s="269"/>
      <c r="C8" s="31"/>
      <c r="D8" s="31"/>
      <c r="E8" s="31"/>
      <c r="F8" s="31"/>
      <c r="G8" s="31"/>
      <c r="H8" s="31"/>
      <c r="I8" s="31"/>
      <c r="J8" s="31"/>
      <c r="K8" s="31"/>
    </row>
    <row r="9" spans="1:11" x14ac:dyDescent="0.2">
      <c r="A9" s="2">
        <v>1</v>
      </c>
      <c r="B9" s="271" t="s">
        <v>528</v>
      </c>
      <c r="C9" s="272"/>
      <c r="D9" s="273"/>
      <c r="E9" s="273"/>
      <c r="F9" s="274"/>
      <c r="G9" s="272"/>
      <c r="H9" s="275"/>
      <c r="I9" s="275"/>
      <c r="J9" s="275"/>
      <c r="K9" s="275"/>
    </row>
    <row r="10" spans="1:11" x14ac:dyDescent="0.2">
      <c r="A10" s="2">
        <f>A9+1</f>
        <v>2</v>
      </c>
      <c r="B10" s="276" t="s">
        <v>1477</v>
      </c>
      <c r="C10" s="277">
        <f>SUM(D10:E10)</f>
        <v>1197775571</v>
      </c>
      <c r="D10" s="278">
        <f>G10+H10</f>
        <v>114349405</v>
      </c>
      <c r="E10" s="278">
        <f>I10+J10</f>
        <v>1083426166</v>
      </c>
      <c r="F10" s="279"/>
      <c r="G10" s="1176">
        <v>114349405</v>
      </c>
      <c r="H10" s="1176">
        <v>0</v>
      </c>
      <c r="I10" s="1176">
        <v>1083426166</v>
      </c>
      <c r="J10" s="1176">
        <v>0</v>
      </c>
      <c r="K10" s="1176">
        <v>0</v>
      </c>
    </row>
    <row r="11" spans="1:11" x14ac:dyDescent="0.2">
      <c r="A11" s="2">
        <f t="shared" ref="A11:A47" si="0">A10+1</f>
        <v>3</v>
      </c>
      <c r="B11" s="276" t="s">
        <v>519</v>
      </c>
      <c r="C11" s="280">
        <f>SUM(D11:E11)</f>
        <v>117093579</v>
      </c>
      <c r="D11" s="281">
        <f>G11+H11</f>
        <v>8062867</v>
      </c>
      <c r="E11" s="281">
        <f>I11+J11</f>
        <v>109030712</v>
      </c>
      <c r="F11" s="282"/>
      <c r="G11" s="283">
        <v>0</v>
      </c>
      <c r="H11" s="283">
        <v>8062867</v>
      </c>
      <c r="I11" s="283">
        <v>0</v>
      </c>
      <c r="J11" s="283">
        <v>109030712</v>
      </c>
      <c r="K11" s="283">
        <v>0</v>
      </c>
    </row>
    <row r="12" spans="1:11" x14ac:dyDescent="0.2">
      <c r="A12" s="2">
        <f t="shared" si="0"/>
        <v>4</v>
      </c>
      <c r="B12" s="1180" t="s">
        <v>2545</v>
      </c>
      <c r="C12" s="284">
        <f>SUM(C10:C11)</f>
        <v>1314869150</v>
      </c>
      <c r="D12" s="284">
        <f t="shared" ref="D12:K12" si="1">SUM(D10:D11)</f>
        <v>122412272</v>
      </c>
      <c r="E12" s="284">
        <f t="shared" si="1"/>
        <v>1192456878</v>
      </c>
      <c r="F12" s="284"/>
      <c r="G12" s="284">
        <f t="shared" si="1"/>
        <v>114349405</v>
      </c>
      <c r="H12" s="284">
        <f t="shared" si="1"/>
        <v>8062867</v>
      </c>
      <c r="I12" s="284">
        <f t="shared" si="1"/>
        <v>1083426166</v>
      </c>
      <c r="J12" s="284">
        <f t="shared" si="1"/>
        <v>109030712</v>
      </c>
      <c r="K12" s="284">
        <f t="shared" si="1"/>
        <v>0</v>
      </c>
    </row>
    <row r="13" spans="1:11" x14ac:dyDescent="0.2">
      <c r="A13" s="2">
        <f t="shared" si="0"/>
        <v>5</v>
      </c>
      <c r="B13" s="285"/>
      <c r="C13" s="286"/>
      <c r="D13" s="286"/>
      <c r="E13" s="286"/>
      <c r="F13" s="287"/>
      <c r="G13" s="286"/>
      <c r="H13" s="288"/>
      <c r="I13" s="289"/>
      <c r="J13" s="288"/>
      <c r="K13" s="288"/>
    </row>
    <row r="14" spans="1:11" x14ac:dyDescent="0.2">
      <c r="A14" s="2">
        <f t="shared" si="0"/>
        <v>6</v>
      </c>
      <c r="B14" s="290" t="s">
        <v>516</v>
      </c>
      <c r="C14" s="286"/>
      <c r="D14" s="286"/>
      <c r="E14" s="286"/>
      <c r="F14" s="287"/>
      <c r="G14" s="286"/>
      <c r="H14" s="288"/>
      <c r="I14" s="289"/>
      <c r="J14" s="288"/>
      <c r="K14" s="288"/>
    </row>
    <row r="15" spans="1:11" x14ac:dyDescent="0.2">
      <c r="A15" s="2">
        <f t="shared" si="0"/>
        <v>7</v>
      </c>
      <c r="B15" s="291" t="s">
        <v>527</v>
      </c>
      <c r="C15" s="278">
        <f>SUM(D15:E15)</f>
        <v>1612845338</v>
      </c>
      <c r="D15" s="278">
        <f>G15+H15</f>
        <v>29220972</v>
      </c>
      <c r="E15" s="278">
        <f>I15+J15</f>
        <v>1583624366</v>
      </c>
      <c r="F15" s="292"/>
      <c r="G15" s="1111">
        <v>29220972</v>
      </c>
      <c r="H15" s="1177">
        <v>0</v>
      </c>
      <c r="I15" s="1111">
        <v>1583624366</v>
      </c>
      <c r="J15" s="1177">
        <v>0</v>
      </c>
      <c r="K15" s="1177">
        <v>0</v>
      </c>
    </row>
    <row r="16" spans="1:11" x14ac:dyDescent="0.2">
      <c r="A16" s="2">
        <f t="shared" si="0"/>
        <v>8</v>
      </c>
      <c r="B16" s="1131" t="s">
        <v>3199</v>
      </c>
      <c r="C16" s="286">
        <f>SUM(D16:E16)</f>
        <v>172720611</v>
      </c>
      <c r="D16" s="278">
        <f>G16+H16</f>
        <v>165407</v>
      </c>
      <c r="E16" s="278">
        <f>I16+J16+K16</f>
        <v>172555204</v>
      </c>
      <c r="F16" s="287"/>
      <c r="G16" s="1177">
        <v>100257</v>
      </c>
      <c r="H16" s="1177">
        <v>65150</v>
      </c>
      <c r="I16" s="1177">
        <v>112010514</v>
      </c>
      <c r="J16" s="1177">
        <v>36966022</v>
      </c>
      <c r="K16" s="1177">
        <v>23578668</v>
      </c>
    </row>
    <row r="17" spans="1:12" ht="15" x14ac:dyDescent="0.35">
      <c r="A17" s="2">
        <f t="shared" si="0"/>
        <v>9</v>
      </c>
      <c r="B17" s="291" t="s">
        <v>526</v>
      </c>
      <c r="C17" s="293">
        <f>SUM(D17:E17)</f>
        <v>118892280</v>
      </c>
      <c r="D17" s="281">
        <f>G17+H17</f>
        <v>2205407</v>
      </c>
      <c r="E17" s="294">
        <f>I17+J17</f>
        <v>116686873</v>
      </c>
      <c r="F17" s="295"/>
      <c r="G17" s="296">
        <v>0</v>
      </c>
      <c r="H17" s="1178">
        <v>2205407</v>
      </c>
      <c r="I17" s="296">
        <v>0</v>
      </c>
      <c r="J17" s="1178">
        <v>116686873</v>
      </c>
      <c r="K17" s="296">
        <v>0</v>
      </c>
    </row>
    <row r="18" spans="1:12" x14ac:dyDescent="0.2">
      <c r="A18" s="2">
        <f t="shared" si="0"/>
        <v>10</v>
      </c>
      <c r="B18" s="1181" t="s">
        <v>2770</v>
      </c>
      <c r="C18" s="278">
        <f>SUM(C15:C17)</f>
        <v>1904458229</v>
      </c>
      <c r="D18" s="278">
        <f>SUM(D15:D17)</f>
        <v>31591786</v>
      </c>
      <c r="E18" s="278">
        <f>SUM(E15:E17)</f>
        <v>1872866443</v>
      </c>
      <c r="F18" s="298"/>
      <c r="G18" s="278">
        <f>SUM(G15:G17)</f>
        <v>29321229</v>
      </c>
      <c r="H18" s="278">
        <f>SUM(H15:H17)</f>
        <v>2270557</v>
      </c>
      <c r="I18" s="278">
        <f>SUM(I15:I17)</f>
        <v>1695634880</v>
      </c>
      <c r="J18" s="278">
        <f>SUM(J15:J17)</f>
        <v>153652895</v>
      </c>
      <c r="K18" s="278">
        <f>SUM(K15:K17)</f>
        <v>23578668</v>
      </c>
    </row>
    <row r="19" spans="1:12" x14ac:dyDescent="0.2">
      <c r="A19" s="2">
        <f t="shared" si="0"/>
        <v>11</v>
      </c>
      <c r="B19" s="17"/>
      <c r="C19" s="299"/>
      <c r="D19" s="299"/>
      <c r="E19" s="299"/>
      <c r="F19" s="300"/>
      <c r="G19" s="299"/>
      <c r="H19" s="299"/>
      <c r="I19" s="299"/>
      <c r="J19" s="299"/>
      <c r="K19" s="299"/>
    </row>
    <row r="20" spans="1:12" x14ac:dyDescent="0.2">
      <c r="A20" s="2">
        <f t="shared" si="0"/>
        <v>12</v>
      </c>
      <c r="B20" s="297" t="s">
        <v>517</v>
      </c>
      <c r="C20" s="301">
        <f>C12+C18</f>
        <v>3219327379</v>
      </c>
      <c r="D20" s="301">
        <f t="shared" ref="D20:K20" si="2">D12+D18</f>
        <v>154004058</v>
      </c>
      <c r="E20" s="301">
        <f>E12+E18</f>
        <v>3065323321</v>
      </c>
      <c r="F20" s="301"/>
      <c r="G20" s="301">
        <f t="shared" si="2"/>
        <v>143670634</v>
      </c>
      <c r="H20" s="301">
        <f t="shared" si="2"/>
        <v>10333424</v>
      </c>
      <c r="I20" s="301">
        <f t="shared" si="2"/>
        <v>2779061046</v>
      </c>
      <c r="J20" s="301">
        <f t="shared" si="2"/>
        <v>262683607</v>
      </c>
      <c r="K20" s="301">
        <f t="shared" si="2"/>
        <v>23578668</v>
      </c>
    </row>
    <row r="21" spans="1:12" x14ac:dyDescent="0.2">
      <c r="A21" s="2">
        <f t="shared" si="0"/>
        <v>13</v>
      </c>
      <c r="B21" s="17"/>
      <c r="C21" s="302"/>
      <c r="D21" s="303"/>
      <c r="E21" s="302"/>
      <c r="F21" s="17"/>
      <c r="G21" s="302"/>
      <c r="H21" s="302"/>
      <c r="I21" s="302"/>
      <c r="J21" s="302"/>
      <c r="K21" s="302"/>
    </row>
    <row r="22" spans="1:12" x14ac:dyDescent="0.2">
      <c r="A22" s="2">
        <f t="shared" si="0"/>
        <v>14</v>
      </c>
      <c r="B22" s="17"/>
      <c r="C22" s="302"/>
      <c r="D22" s="303"/>
      <c r="E22" s="302"/>
      <c r="F22" s="17"/>
      <c r="G22" s="302"/>
      <c r="H22" s="302"/>
      <c r="I22" s="302"/>
      <c r="J22" s="302"/>
      <c r="K22" s="302"/>
    </row>
    <row r="23" spans="1:12" x14ac:dyDescent="0.2">
      <c r="A23" s="2">
        <f t="shared" si="0"/>
        <v>15</v>
      </c>
      <c r="B23" s="707" t="s">
        <v>3201</v>
      </c>
      <c r="C23" s="302"/>
      <c r="D23" s="303"/>
      <c r="E23" s="302"/>
      <c r="F23" s="17"/>
      <c r="G23" s="302"/>
      <c r="H23" s="302"/>
      <c r="I23" s="302"/>
      <c r="J23" s="302"/>
      <c r="K23" s="302"/>
    </row>
    <row r="24" spans="1:12" x14ac:dyDescent="0.2">
      <c r="A24" s="2">
        <f t="shared" si="0"/>
        <v>16</v>
      </c>
      <c r="B24" s="17"/>
      <c r="C24" s="304" t="s">
        <v>531</v>
      </c>
      <c r="D24" s="26" t="s">
        <v>532</v>
      </c>
      <c r="E24" s="26"/>
      <c r="F24" s="17"/>
      <c r="G24" s="17"/>
      <c r="H24" s="17"/>
      <c r="I24" s="17"/>
      <c r="J24" s="17"/>
      <c r="K24" s="17"/>
    </row>
    <row r="25" spans="1:12" x14ac:dyDescent="0.2">
      <c r="A25" s="2">
        <f t="shared" si="0"/>
        <v>17</v>
      </c>
      <c r="B25" s="17" t="s">
        <v>371</v>
      </c>
      <c r="C25" s="31" t="s">
        <v>530</v>
      </c>
      <c r="D25" s="31" t="s">
        <v>530</v>
      </c>
      <c r="E25" s="31" t="s">
        <v>226</v>
      </c>
      <c r="F25" s="17"/>
      <c r="G25" s="305" t="s">
        <v>267</v>
      </c>
      <c r="H25" s="17"/>
      <c r="I25" s="17"/>
      <c r="J25" s="17"/>
      <c r="K25" s="17"/>
    </row>
    <row r="26" spans="1:12" x14ac:dyDescent="0.2">
      <c r="A26" s="2">
        <f t="shared" si="0"/>
        <v>18</v>
      </c>
      <c r="B26" s="80" t="s">
        <v>482</v>
      </c>
      <c r="C26" s="301">
        <f>G20</f>
        <v>143670634</v>
      </c>
      <c r="D26" s="301">
        <f>H20</f>
        <v>10333424</v>
      </c>
      <c r="E26" s="306">
        <f>SUM(C26:D26)</f>
        <v>154004058</v>
      </c>
      <c r="F26" s="17"/>
      <c r="G26" s="17" t="s">
        <v>536</v>
      </c>
      <c r="H26" s="17"/>
      <c r="I26" s="17"/>
      <c r="J26" s="17"/>
      <c r="K26" s="17"/>
    </row>
    <row r="27" spans="1:12" x14ac:dyDescent="0.2">
      <c r="A27" s="2">
        <f t="shared" si="0"/>
        <v>19</v>
      </c>
      <c r="B27" s="80" t="s">
        <v>515</v>
      </c>
      <c r="C27" s="301">
        <f>I20</f>
        <v>2779061046</v>
      </c>
      <c r="D27" s="301">
        <f>J20</f>
        <v>262683607</v>
      </c>
      <c r="E27" s="306">
        <f>SUM(C27:D27)</f>
        <v>3041744653</v>
      </c>
      <c r="F27" s="17"/>
      <c r="G27" s="17" t="s">
        <v>536</v>
      </c>
      <c r="H27" s="17"/>
      <c r="I27" s="17"/>
      <c r="J27" s="17"/>
      <c r="K27" s="17"/>
    </row>
    <row r="28" spans="1:12" x14ac:dyDescent="0.2">
      <c r="A28" s="2">
        <f t="shared" si="0"/>
        <v>20</v>
      </c>
      <c r="B28" s="32" t="s">
        <v>534</v>
      </c>
      <c r="C28" s="301">
        <f>SUM(C26:C27)</f>
        <v>2922731680</v>
      </c>
      <c r="D28" s="301">
        <f>SUM(D26:D27)</f>
        <v>273017031</v>
      </c>
      <c r="E28" s="301">
        <f>SUM(C28:D28)</f>
        <v>3195748711</v>
      </c>
      <c r="F28" s="17"/>
      <c r="G28" s="17" t="s">
        <v>537</v>
      </c>
      <c r="H28" s="17"/>
      <c r="I28" s="17"/>
      <c r="J28" s="17"/>
      <c r="K28" s="17"/>
    </row>
    <row r="29" spans="1:12" x14ac:dyDescent="0.2">
      <c r="A29" s="2">
        <f t="shared" si="0"/>
        <v>21</v>
      </c>
      <c r="B29" s="307" t="s">
        <v>533</v>
      </c>
      <c r="C29" s="308">
        <f>C28/E28</f>
        <v>0.91456867992772539</v>
      </c>
      <c r="D29" s="308">
        <f>D28/E28</f>
        <v>8.5431320072274608E-2</v>
      </c>
      <c r="E29" s="309"/>
      <c r="F29" s="310"/>
      <c r="G29" s="311" t="s">
        <v>538</v>
      </c>
      <c r="H29" s="17"/>
      <c r="I29" s="17"/>
      <c r="J29" s="17"/>
      <c r="K29" s="310"/>
    </row>
    <row r="30" spans="1:12" x14ac:dyDescent="0.2">
      <c r="A30" s="117">
        <f t="shared" si="0"/>
        <v>22</v>
      </c>
      <c r="B30" s="312"/>
      <c r="C30" s="313"/>
      <c r="D30" s="313"/>
      <c r="E30" s="313"/>
      <c r="F30" s="312"/>
      <c r="G30" s="312"/>
      <c r="H30" s="312"/>
      <c r="I30" s="312"/>
      <c r="J30" s="312"/>
      <c r="K30" s="312"/>
      <c r="L30" s="14"/>
    </row>
    <row r="31" spans="1:12" x14ac:dyDescent="0.2">
      <c r="A31" s="117">
        <f t="shared" si="0"/>
        <v>23</v>
      </c>
      <c r="B31" s="285" t="s">
        <v>535</v>
      </c>
      <c r="C31" s="1182">
        <f>K20*C29</f>
        <v>21564311.267214101</v>
      </c>
      <c r="D31" s="1182">
        <f>K20*D29</f>
        <v>2014356.732785899</v>
      </c>
      <c r="E31" s="1182">
        <f>K20</f>
        <v>23578668</v>
      </c>
      <c r="F31" s="285"/>
      <c r="G31" s="669" t="str">
        <f>"Straddling Transformers split by Gross Plant Percentages on Line "&amp;A29&amp;""</f>
        <v>Straddling Transformers split by Gross Plant Percentages on Line 21</v>
      </c>
      <c r="H31" s="285"/>
      <c r="I31" s="285"/>
      <c r="J31" s="285"/>
      <c r="K31" s="285"/>
      <c r="L31" s="14"/>
    </row>
    <row r="32" spans="1:12" x14ac:dyDescent="0.2">
      <c r="A32" s="117">
        <f t="shared" si="0"/>
        <v>24</v>
      </c>
      <c r="B32" s="895" t="s">
        <v>2476</v>
      </c>
      <c r="C32" s="1183">
        <v>0</v>
      </c>
      <c r="D32" s="1183">
        <v>0</v>
      </c>
      <c r="E32" s="1183">
        <v>0</v>
      </c>
      <c r="F32" s="895"/>
      <c r="G32" s="895" t="s">
        <v>2477</v>
      </c>
      <c r="H32" s="1184"/>
      <c r="I32" s="285"/>
      <c r="J32" s="285"/>
      <c r="K32" s="285"/>
      <c r="L32" s="14"/>
    </row>
    <row r="33" spans="1:12" x14ac:dyDescent="0.2">
      <c r="A33" s="117">
        <f t="shared" si="0"/>
        <v>25</v>
      </c>
      <c r="B33" s="285" t="s">
        <v>539</v>
      </c>
      <c r="C33" s="278">
        <f>C28+C31+C32</f>
        <v>2944295991.2672143</v>
      </c>
      <c r="D33" s="278">
        <f>D28+D31+D32</f>
        <v>275031387.73278588</v>
      </c>
      <c r="E33" s="278">
        <f>E28+E31+E32</f>
        <v>3219327379</v>
      </c>
      <c r="F33" s="285"/>
      <c r="G33" s="895" t="str">
        <f>"Line "&amp;A28&amp;" + Line "&amp;A31&amp;" + Line "&amp;A32&amp;""</f>
        <v>Line 20 + Line 23 + Line 24</v>
      </c>
      <c r="H33" s="895"/>
      <c r="I33" s="285"/>
      <c r="J33" s="285"/>
      <c r="K33" s="285"/>
      <c r="L33" s="14"/>
    </row>
    <row r="34" spans="1:12" x14ac:dyDescent="0.2">
      <c r="A34" s="117">
        <f t="shared" si="0"/>
        <v>26</v>
      </c>
      <c r="B34" s="285"/>
      <c r="C34" s="314"/>
      <c r="D34" s="314"/>
      <c r="E34" s="1185"/>
      <c r="F34" s="285"/>
      <c r="G34" s="285"/>
      <c r="H34" s="285"/>
      <c r="I34" s="285"/>
      <c r="J34" s="285"/>
      <c r="K34" s="285"/>
      <c r="L34" s="14"/>
    </row>
    <row r="35" spans="1:12" x14ac:dyDescent="0.2">
      <c r="A35" s="117">
        <f t="shared" si="0"/>
        <v>27</v>
      </c>
      <c r="B35" s="285"/>
      <c r="C35" s="1186"/>
      <c r="D35" s="1186"/>
      <c r="E35" s="285"/>
      <c r="F35" s="285"/>
      <c r="G35" s="1186"/>
      <c r="H35" s="1186"/>
      <c r="I35" s="1186"/>
      <c r="J35" s="285"/>
      <c r="K35" s="285"/>
      <c r="L35" s="14"/>
    </row>
    <row r="36" spans="1:12" x14ac:dyDescent="0.2">
      <c r="A36" s="117">
        <f t="shared" si="0"/>
        <v>28</v>
      </c>
      <c r="B36" s="290" t="s">
        <v>542</v>
      </c>
      <c r="C36" s="285"/>
      <c r="D36" s="285"/>
      <c r="E36" s="285"/>
      <c r="F36" s="285"/>
      <c r="G36" s="285"/>
      <c r="H36" s="285"/>
      <c r="I36" s="285"/>
      <c r="J36" s="285"/>
      <c r="K36" s="285"/>
      <c r="L36" s="14"/>
    </row>
    <row r="37" spans="1:12" x14ac:dyDescent="0.2">
      <c r="A37" s="117">
        <f t="shared" si="0"/>
        <v>29</v>
      </c>
      <c r="B37" s="290"/>
      <c r="C37" s="285"/>
      <c r="D37" s="285"/>
      <c r="E37" s="285"/>
      <c r="F37" s="285"/>
      <c r="G37" s="285"/>
      <c r="H37" s="285"/>
      <c r="I37" s="285"/>
      <c r="J37" s="285"/>
      <c r="K37" s="285"/>
      <c r="L37" s="14"/>
    </row>
    <row r="38" spans="1:12" x14ac:dyDescent="0.2">
      <c r="A38" s="117">
        <f t="shared" si="0"/>
        <v>30</v>
      </c>
      <c r="B38" s="290"/>
      <c r="C38" s="1187" t="s">
        <v>531</v>
      </c>
      <c r="D38" s="506" t="s">
        <v>532</v>
      </c>
      <c r="E38" s="506"/>
      <c r="F38" s="285"/>
      <c r="G38" s="285"/>
      <c r="H38" s="285"/>
      <c r="I38" s="285"/>
      <c r="J38" s="285"/>
      <c r="K38" s="285"/>
      <c r="L38" s="14"/>
    </row>
    <row r="39" spans="1:12" x14ac:dyDescent="0.2">
      <c r="A39" s="117">
        <f t="shared" si="0"/>
        <v>31</v>
      </c>
      <c r="B39" s="290"/>
      <c r="C39" s="636" t="s">
        <v>530</v>
      </c>
      <c r="D39" s="636" t="s">
        <v>530</v>
      </c>
      <c r="E39" s="636" t="s">
        <v>226</v>
      </c>
      <c r="F39" s="285"/>
      <c r="G39" s="1188" t="s">
        <v>267</v>
      </c>
      <c r="H39" s="285"/>
      <c r="I39" s="285"/>
      <c r="J39" s="285"/>
      <c r="K39" s="285"/>
      <c r="L39" s="14"/>
    </row>
    <row r="40" spans="1:12" x14ac:dyDescent="0.2">
      <c r="A40" s="117">
        <f t="shared" si="0"/>
        <v>32</v>
      </c>
      <c r="B40" s="285" t="s">
        <v>539</v>
      </c>
      <c r="C40" s="292">
        <f>C33</f>
        <v>2944295991.2672143</v>
      </c>
      <c r="D40" s="292">
        <f>D33</f>
        <v>275031387.73278588</v>
      </c>
      <c r="E40" s="292">
        <f>E33</f>
        <v>3219327379</v>
      </c>
      <c r="F40" s="285"/>
      <c r="G40" s="285" t="str">
        <f>"Line "&amp;A33&amp;""</f>
        <v>Line 25</v>
      </c>
      <c r="H40" s="285"/>
      <c r="I40" s="285"/>
      <c r="J40" s="285"/>
      <c r="K40" s="285"/>
      <c r="L40" s="14"/>
    </row>
    <row r="41" spans="1:12" x14ac:dyDescent="0.2">
      <c r="A41" s="117">
        <f t="shared" si="0"/>
        <v>33</v>
      </c>
      <c r="B41" s="669" t="s">
        <v>2307</v>
      </c>
      <c r="C41" s="292">
        <f>'16-PlantAdditions'!K34-'16-PlantAdditions'!P34</f>
        <v>369660013.73950368</v>
      </c>
      <c r="D41" s="292">
        <f>'16-PlantAdditions'!P34</f>
        <v>8975718.506615201</v>
      </c>
      <c r="E41" s="1189">
        <f>SUM(C41:D41)</f>
        <v>378635732.2461189</v>
      </c>
      <c r="F41" s="285"/>
      <c r="G41" s="285" t="str">
        <f>"13-Month Average: 16-PlantAdditions, Line "&amp;'16-PlantAdditions'!A34&amp;", Cols 7  (for Total) and 12 (for LV).  HV = C7 - C12."</f>
        <v>13-Month Average: 16-PlantAdditions, Line 22, Cols 7  (for Total) and 12 (for LV).  HV = C7 - C12.</v>
      </c>
      <c r="H41" s="285"/>
      <c r="I41" s="285"/>
      <c r="J41" s="285"/>
      <c r="K41" s="285"/>
      <c r="L41" s="14"/>
    </row>
    <row r="42" spans="1:12" x14ac:dyDescent="0.2">
      <c r="A42" s="117">
        <f t="shared" si="0"/>
        <v>34</v>
      </c>
      <c r="B42" s="669" t="s">
        <v>2306</v>
      </c>
      <c r="C42" s="800">
        <f>'10-CWIP'!K76</f>
        <v>656294351.44332886</v>
      </c>
      <c r="D42" s="800">
        <v>0</v>
      </c>
      <c r="E42" s="800">
        <f>SUM(C42:D42)</f>
        <v>656294351.44332886</v>
      </c>
      <c r="F42" s="285"/>
      <c r="G42" s="285" t="str">
        <f>"13 Month Average: 10-CWIP, Line "&amp;'10-CWIP'!A76&amp;", Col. 8"</f>
        <v>13 Month Average: 10-CWIP, Line 51, Col. 8</v>
      </c>
      <c r="H42" s="285"/>
      <c r="I42" s="285"/>
      <c r="J42" s="285"/>
      <c r="K42" s="285"/>
      <c r="L42" s="14"/>
    </row>
    <row r="43" spans="1:12" x14ac:dyDescent="0.2">
      <c r="A43" s="117">
        <f t="shared" si="0"/>
        <v>35</v>
      </c>
      <c r="B43" s="285" t="s">
        <v>540</v>
      </c>
      <c r="C43" s="292">
        <f>SUM(C40:C42)</f>
        <v>3970250356.450047</v>
      </c>
      <c r="D43" s="292">
        <f t="shared" ref="D43:E43" si="3">SUM(D40:D42)</f>
        <v>284007106.2394011</v>
      </c>
      <c r="E43" s="292">
        <f t="shared" si="3"/>
        <v>4254257462.6894479</v>
      </c>
      <c r="F43" s="285"/>
      <c r="G43" s="285" t="str">
        <f>"Line "&amp;A40&amp;" + Line "&amp;A41&amp;" + Line "&amp;A42&amp;""</f>
        <v>Line 32 + Line 33 + Line 34</v>
      </c>
      <c r="H43" s="285"/>
      <c r="I43" s="285"/>
      <c r="J43" s="285"/>
      <c r="K43" s="285"/>
      <c r="L43" s="14"/>
    </row>
    <row r="44" spans="1:12" x14ac:dyDescent="0.2">
      <c r="A44" s="117">
        <f t="shared" si="0"/>
        <v>36</v>
      </c>
      <c r="B44" s="285"/>
      <c r="C44" s="285"/>
      <c r="D44" s="285"/>
      <c r="E44" s="285"/>
      <c r="F44" s="285"/>
      <c r="G44" s="285"/>
      <c r="H44" s="285"/>
      <c r="I44" s="285"/>
      <c r="J44" s="285"/>
      <c r="K44" s="285"/>
      <c r="L44" s="14"/>
    </row>
    <row r="45" spans="1:12" x14ac:dyDescent="0.2">
      <c r="A45" s="117">
        <f t="shared" si="0"/>
        <v>37</v>
      </c>
      <c r="B45" s="285" t="s">
        <v>1283</v>
      </c>
      <c r="C45" s="1190">
        <f>C43/E43</f>
        <v>0.93324167408056735</v>
      </c>
      <c r="D45" s="1190">
        <f>D43/E43</f>
        <v>6.6758325919432732E-2</v>
      </c>
      <c r="E45" s="285"/>
      <c r="F45" s="285"/>
      <c r="G45" s="1191" t="str">
        <f>"Percent of Total on Line "&amp;A43&amp;""</f>
        <v>Percent of Total on Line 35</v>
      </c>
      <c r="H45" s="285"/>
      <c r="I45" s="285"/>
      <c r="J45" s="285"/>
      <c r="K45" s="285"/>
      <c r="L45" s="14"/>
    </row>
    <row r="46" spans="1:12" x14ac:dyDescent="0.2">
      <c r="A46" s="117">
        <f t="shared" si="0"/>
        <v>38</v>
      </c>
      <c r="B46" s="1120" t="s">
        <v>1912</v>
      </c>
      <c r="C46" s="285"/>
      <c r="D46" s="285"/>
      <c r="E46" s="285"/>
      <c r="F46" s="285"/>
      <c r="G46" s="285"/>
      <c r="H46" s="285"/>
      <c r="I46" s="285"/>
      <c r="J46" s="285"/>
      <c r="K46" s="285"/>
      <c r="L46" s="14"/>
    </row>
    <row r="47" spans="1:12" x14ac:dyDescent="0.2">
      <c r="A47" s="117">
        <f t="shared" si="0"/>
        <v>39</v>
      </c>
      <c r="B47" s="669" t="s">
        <v>2310</v>
      </c>
      <c r="C47" s="285"/>
      <c r="D47" s="285"/>
      <c r="E47" s="285"/>
      <c r="F47" s="285"/>
      <c r="G47" s="285"/>
      <c r="H47" s="285"/>
      <c r="I47" s="285"/>
      <c r="J47" s="285"/>
      <c r="K47" s="285"/>
      <c r="L47" s="14"/>
    </row>
    <row r="48" spans="1:12" x14ac:dyDescent="0.2">
      <c r="A48" s="15"/>
      <c r="B48" s="45"/>
      <c r="C48" s="285"/>
      <c r="D48" s="285"/>
      <c r="E48" s="285"/>
      <c r="F48" s="285"/>
      <c r="G48" s="285"/>
      <c r="H48" s="285"/>
      <c r="I48" s="285"/>
      <c r="J48" s="285"/>
      <c r="K48" s="285"/>
      <c r="L48" s="14"/>
    </row>
    <row r="49" spans="1:12" x14ac:dyDescent="0.2">
      <c r="A49" s="15"/>
      <c r="B49" s="45" t="s">
        <v>267</v>
      </c>
      <c r="C49" s="895"/>
      <c r="D49" s="895"/>
      <c r="E49" s="895"/>
      <c r="F49" s="895"/>
      <c r="G49" s="895"/>
      <c r="H49" s="895"/>
      <c r="I49" s="285"/>
      <c r="J49" s="285"/>
      <c r="K49" s="285"/>
      <c r="L49" s="14"/>
    </row>
    <row r="50" spans="1:12" x14ac:dyDescent="0.2">
      <c r="A50" s="15"/>
      <c r="B50" s="895" t="s">
        <v>2478</v>
      </c>
      <c r="C50" s="895"/>
      <c r="D50" s="895"/>
      <c r="E50" s="895"/>
      <c r="F50" s="895"/>
      <c r="G50" s="895"/>
      <c r="H50" s="895"/>
      <c r="I50" s="285"/>
      <c r="J50" s="285"/>
      <c r="K50" s="285"/>
      <c r="L50" s="14"/>
    </row>
    <row r="51" spans="1:12" x14ac:dyDescent="0.2">
      <c r="A51" s="14"/>
      <c r="B51" s="895" t="s">
        <v>2479</v>
      </c>
      <c r="C51" s="1184"/>
      <c r="D51" s="1184"/>
      <c r="E51" s="1184"/>
      <c r="F51" s="1184"/>
      <c r="G51" s="1184"/>
      <c r="H51" s="1184"/>
      <c r="I51" s="1179"/>
      <c r="J51" s="1179"/>
      <c r="K51" s="1179"/>
      <c r="L51" s="14"/>
    </row>
    <row r="52" spans="1:12" x14ac:dyDescent="0.2">
      <c r="A52" s="14"/>
      <c r="B52" s="1179"/>
      <c r="C52" s="1179"/>
      <c r="D52" s="1179"/>
      <c r="E52" s="1179"/>
      <c r="F52" s="1179"/>
      <c r="G52" s="1179"/>
      <c r="H52" s="1179"/>
      <c r="I52" s="1179"/>
      <c r="J52" s="1179"/>
      <c r="K52" s="1179"/>
      <c r="L52" s="14"/>
    </row>
    <row r="53" spans="1:12" x14ac:dyDescent="0.2">
      <c r="A53" s="14"/>
      <c r="B53" s="1179"/>
      <c r="C53" s="1179"/>
      <c r="D53" s="1179"/>
      <c r="E53" s="1179"/>
      <c r="F53" s="1179"/>
      <c r="G53" s="1179"/>
      <c r="H53" s="1179"/>
      <c r="I53" s="1179"/>
      <c r="J53" s="1179"/>
      <c r="K53" s="1179"/>
      <c r="L53" s="14"/>
    </row>
  </sheetData>
  <pageMargins left="0.7" right="0.7" top="0.75" bottom="0.75" header="0.3" footer="0.3"/>
  <pageSetup scale="75" orientation="landscape" cellComments="asDisplayed" r:id="rId1"/>
  <headerFooter>
    <oddHeader>&amp;CSchedule 31
High and Low Voltage Gross Plant
&amp;"Arial,Bold"Exhibit G-1</oddHeader>
    <oddFooter>&amp;R31-HVLV</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2.75" x14ac:dyDescent="0.2"/>
  <cols>
    <col min="1" max="1" width="4.7109375" customWidth="1"/>
    <col min="5" max="5" width="3.140625" customWidth="1"/>
    <col min="6" max="6" width="12.7109375" customWidth="1"/>
    <col min="7" max="7" width="22.7109375" customWidth="1"/>
    <col min="8" max="8" width="25.7109375" customWidth="1"/>
  </cols>
  <sheetData>
    <row r="1" spans="1:8" x14ac:dyDescent="0.2">
      <c r="A1" s="1" t="s">
        <v>2366</v>
      </c>
    </row>
    <row r="3" spans="1:8" x14ac:dyDescent="0.2">
      <c r="G3" s="2"/>
    </row>
    <row r="4" spans="1:8" x14ac:dyDescent="0.2">
      <c r="A4" s="3" t="s">
        <v>372</v>
      </c>
      <c r="F4" s="3" t="s">
        <v>324</v>
      </c>
      <c r="G4" s="3" t="s">
        <v>174</v>
      </c>
      <c r="H4" s="53" t="s">
        <v>209</v>
      </c>
    </row>
    <row r="5" spans="1:8" x14ac:dyDescent="0.2">
      <c r="A5" s="2">
        <v>1</v>
      </c>
      <c r="B5" s="649" t="s">
        <v>378</v>
      </c>
      <c r="F5" s="104">
        <v>89484747</v>
      </c>
      <c r="G5" s="16"/>
      <c r="H5" t="s">
        <v>407</v>
      </c>
    </row>
    <row r="6" spans="1:8" x14ac:dyDescent="0.2">
      <c r="A6" s="2">
        <v>2</v>
      </c>
      <c r="B6" s="12" t="s">
        <v>379</v>
      </c>
      <c r="F6" s="106">
        <v>144900</v>
      </c>
      <c r="G6" s="16"/>
      <c r="H6" t="s">
        <v>408</v>
      </c>
    </row>
    <row r="7" spans="1:8" x14ac:dyDescent="0.2">
      <c r="A7" s="2">
        <v>3</v>
      </c>
      <c r="B7" s="52" t="s">
        <v>367</v>
      </c>
      <c r="F7" s="105">
        <f>SUM(F5:F6)</f>
        <v>89629647</v>
      </c>
      <c r="G7" s="13" t="s">
        <v>380</v>
      </c>
      <c r="H7" s="12" t="s">
        <v>368</v>
      </c>
    </row>
    <row r="8" spans="1:8" x14ac:dyDescent="0.2">
      <c r="A8" s="2"/>
      <c r="G8" s="16"/>
    </row>
    <row r="9" spans="1:8" x14ac:dyDescent="0.2">
      <c r="A9" s="2"/>
      <c r="G9" s="16"/>
    </row>
    <row r="10" spans="1:8" x14ac:dyDescent="0.2">
      <c r="A10" s="2">
        <v>4</v>
      </c>
      <c r="B10" s="651" t="s">
        <v>3183</v>
      </c>
      <c r="C10" s="651"/>
      <c r="D10" s="651"/>
      <c r="E10" s="37"/>
      <c r="F10" s="104">
        <v>178684</v>
      </c>
      <c r="G10" s="16"/>
      <c r="H10" s="12" t="s">
        <v>407</v>
      </c>
    </row>
    <row r="13" spans="1:8" x14ac:dyDescent="0.2">
      <c r="B13" s="53" t="s">
        <v>267</v>
      </c>
    </row>
    <row r="14" spans="1:8" x14ac:dyDescent="0.2">
      <c r="B14" s="12" t="s">
        <v>1528</v>
      </c>
    </row>
    <row r="15" spans="1:8" x14ac:dyDescent="0.2">
      <c r="B15" s="12" t="s">
        <v>1529</v>
      </c>
    </row>
    <row r="16" spans="1:8" x14ac:dyDescent="0.2">
      <c r="B16" s="651" t="s">
        <v>2792</v>
      </c>
      <c r="C16" s="14"/>
      <c r="D16" s="14"/>
      <c r="E16" s="14"/>
      <c r="F16" s="14"/>
      <c r="G16" s="14"/>
      <c r="H16" s="14"/>
    </row>
    <row r="18" spans="2:2" ht="15.75" x14ac:dyDescent="0.25">
      <c r="B18" s="875"/>
    </row>
  </sheetData>
  <pageMargins left="0.7" right="0.7" top="1" bottom="0.75" header="0.3" footer="0.3"/>
  <pageSetup orientation="landscape" cellComments="asDisplayed" r:id="rId1"/>
  <headerFooter>
    <oddHeader>&amp;CSchedule 32 
Gross Load
&amp;"Arial,Bold"Exhibit G-1</oddHeader>
    <oddFooter>&amp;R&amp;A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4"/>
  <sheetViews>
    <sheetView topLeftCell="A175" zoomScale="90" zoomScaleNormal="90" zoomScalePageLayoutView="75" workbookViewId="0">
      <selection activeCell="B247" sqref="B247"/>
    </sheetView>
  </sheetViews>
  <sheetFormatPr defaultRowHeight="12.75" x14ac:dyDescent="0.2"/>
  <cols>
    <col min="1" max="1" width="5.140625" customWidth="1"/>
    <col min="2" max="2" width="30.5703125" customWidth="1"/>
    <col min="3" max="11" width="17.7109375" customWidth="1"/>
    <col min="12" max="12" width="10.7109375" customWidth="1"/>
    <col min="13" max="13" width="9.140625" style="14"/>
  </cols>
  <sheetData>
    <row r="1" spans="1:12" x14ac:dyDescent="0.2">
      <c r="A1" s="1" t="s">
        <v>425</v>
      </c>
      <c r="B1" s="649"/>
      <c r="C1" s="649"/>
      <c r="D1" s="649"/>
      <c r="E1" s="649"/>
      <c r="F1" s="649"/>
      <c r="G1" s="649"/>
      <c r="H1" s="649"/>
      <c r="I1" s="649"/>
      <c r="J1" s="649"/>
      <c r="K1" s="649"/>
      <c r="L1" s="649"/>
    </row>
    <row r="2" spans="1:12" x14ac:dyDescent="0.2">
      <c r="E2" s="3" t="s">
        <v>209</v>
      </c>
    </row>
    <row r="3" spans="1:12" x14ac:dyDescent="0.2">
      <c r="C3" s="71" t="s">
        <v>1315</v>
      </c>
      <c r="D3" s="652">
        <f>'1-BaseTRR'!K152</f>
        <v>638250567.69217527</v>
      </c>
      <c r="E3" s="648" t="str">
        <f>"1-BaseTRR, Line "&amp;'1-BaseTRR'!A152&amp;""</f>
        <v>1-BaseTRR, Line 86</v>
      </c>
      <c r="H3" s="444" t="s">
        <v>510</v>
      </c>
      <c r="I3" s="654"/>
      <c r="J3" s="14"/>
    </row>
    <row r="4" spans="1:12" x14ac:dyDescent="0.2">
      <c r="C4" s="71"/>
      <c r="D4" s="7"/>
      <c r="E4" s="653"/>
    </row>
    <row r="5" spans="1:12" x14ac:dyDescent="0.2">
      <c r="B5" s="1" t="s">
        <v>1316</v>
      </c>
      <c r="D5" s="71"/>
      <c r="E5" s="7"/>
      <c r="F5" s="653"/>
    </row>
    <row r="6" spans="1:12" x14ac:dyDescent="0.2">
      <c r="C6" s="88" t="s">
        <v>406</v>
      </c>
      <c r="D6" s="88" t="s">
        <v>390</v>
      </c>
      <c r="E6" s="88" t="s">
        <v>391</v>
      </c>
      <c r="F6" s="88" t="s">
        <v>392</v>
      </c>
      <c r="G6" s="88" t="s">
        <v>393</v>
      </c>
      <c r="H6" s="88" t="s">
        <v>394</v>
      </c>
      <c r="I6" s="88" t="s">
        <v>395</v>
      </c>
      <c r="J6" s="88" t="s">
        <v>610</v>
      </c>
      <c r="K6" s="88" t="s">
        <v>1059</v>
      </c>
      <c r="L6" s="88" t="s">
        <v>1076</v>
      </c>
    </row>
    <row r="7" spans="1:12" x14ac:dyDescent="0.2">
      <c r="C7" s="650" t="s">
        <v>407</v>
      </c>
      <c r="E7" s="650" t="s">
        <v>408</v>
      </c>
      <c r="F7" s="650" t="s">
        <v>1317</v>
      </c>
      <c r="G7" s="650" t="s">
        <v>1343</v>
      </c>
      <c r="H7" s="650" t="s">
        <v>1352</v>
      </c>
      <c r="I7" s="650" t="s">
        <v>1353</v>
      </c>
      <c r="J7" s="650" t="s">
        <v>1923</v>
      </c>
      <c r="K7" s="650" t="s">
        <v>1923</v>
      </c>
      <c r="L7" s="88"/>
    </row>
    <row r="8" spans="1:12" x14ac:dyDescent="0.2">
      <c r="D8" s="715"/>
      <c r="E8" s="716"/>
      <c r="G8" s="716"/>
    </row>
    <row r="9" spans="1:12" x14ac:dyDescent="0.2">
      <c r="C9" s="650"/>
      <c r="D9" s="1274" t="s">
        <v>1818</v>
      </c>
      <c r="E9" s="1265" t="s">
        <v>1819</v>
      </c>
      <c r="F9" s="1265" t="s">
        <v>1820</v>
      </c>
      <c r="G9" s="1265" t="s">
        <v>1924</v>
      </c>
      <c r="H9" s="650"/>
      <c r="I9" s="650"/>
      <c r="J9" s="1265" t="str">
        <f>F9</f>
        <v>Applies to monthly maximum kW demand charges</v>
      </c>
      <c r="K9" s="1265" t="str">
        <f>G9</f>
        <v>Applies to monthly contracted standby kW demand charges</v>
      </c>
    </row>
    <row r="10" spans="1:12" x14ac:dyDescent="0.2">
      <c r="C10" s="88"/>
      <c r="D10" s="1274"/>
      <c r="E10" s="1265"/>
      <c r="F10" s="1265"/>
      <c r="G10" s="1265"/>
      <c r="H10" s="88"/>
      <c r="J10" s="1265"/>
      <c r="K10" s="1265"/>
    </row>
    <row r="11" spans="1:12" x14ac:dyDescent="0.2">
      <c r="C11" s="88"/>
      <c r="D11" s="1274"/>
      <c r="E11" s="1266"/>
      <c r="F11" s="1266"/>
      <c r="G11" s="1266"/>
      <c r="H11" s="88"/>
      <c r="J11" s="1266"/>
      <c r="K11" s="1266"/>
    </row>
    <row r="12" spans="1:12" x14ac:dyDescent="0.2">
      <c r="C12" s="88"/>
      <c r="D12" s="1275"/>
      <c r="E12" s="1296" t="s">
        <v>1319</v>
      </c>
      <c r="F12" s="1297"/>
      <c r="G12" s="1298"/>
      <c r="H12" s="88"/>
      <c r="J12" s="1294" t="s">
        <v>1320</v>
      </c>
      <c r="K12" s="1295"/>
    </row>
    <row r="13" spans="1:12" x14ac:dyDescent="0.2">
      <c r="B13" s="1251" t="s">
        <v>1321</v>
      </c>
      <c r="C13" s="1276" t="s">
        <v>1322</v>
      </c>
      <c r="D13" s="1277" t="s">
        <v>1323</v>
      </c>
      <c r="E13" s="1278" t="s">
        <v>1324</v>
      </c>
      <c r="F13" s="1254" t="s">
        <v>1821</v>
      </c>
      <c r="G13" s="1254" t="s">
        <v>1822</v>
      </c>
      <c r="H13" s="1277" t="s">
        <v>1326</v>
      </c>
      <c r="I13" s="1277" t="s">
        <v>1325</v>
      </c>
      <c r="J13" s="1254" t="s">
        <v>1823</v>
      </c>
      <c r="K13" s="1254" t="s">
        <v>1824</v>
      </c>
      <c r="L13" s="1282" t="s">
        <v>198</v>
      </c>
    </row>
    <row r="14" spans="1:12" x14ac:dyDescent="0.2">
      <c r="B14" s="1252"/>
      <c r="C14" s="1276"/>
      <c r="D14" s="1277"/>
      <c r="E14" s="1278"/>
      <c r="F14" s="1254"/>
      <c r="G14" s="1254"/>
      <c r="H14" s="1277"/>
      <c r="I14" s="1277"/>
      <c r="J14" s="1254"/>
      <c r="K14" s="1254"/>
      <c r="L14" s="1283"/>
    </row>
    <row r="15" spans="1:12" x14ac:dyDescent="0.2">
      <c r="B15" s="1252"/>
      <c r="C15" s="1276"/>
      <c r="D15" s="1277"/>
      <c r="E15" s="1278"/>
      <c r="F15" s="1254"/>
      <c r="G15" s="1254"/>
      <c r="H15" s="1277"/>
      <c r="I15" s="1277"/>
      <c r="J15" s="1254"/>
      <c r="K15" s="1254"/>
      <c r="L15" s="1283"/>
    </row>
    <row r="16" spans="1:12" x14ac:dyDescent="0.2">
      <c r="A16" s="55" t="s">
        <v>362</v>
      </c>
      <c r="B16" s="1253"/>
      <c r="C16" s="1276"/>
      <c r="D16" s="1277"/>
      <c r="E16" s="1278"/>
      <c r="F16" s="1254"/>
      <c r="G16" s="1254"/>
      <c r="H16" s="1277"/>
      <c r="I16" s="1277"/>
      <c r="J16" s="1254"/>
      <c r="K16" s="1254"/>
      <c r="L16" s="1284"/>
    </row>
    <row r="17" spans="1:12" x14ac:dyDescent="0.2">
      <c r="A17" s="721" t="s">
        <v>653</v>
      </c>
      <c r="B17" s="655" t="s">
        <v>177</v>
      </c>
      <c r="C17" s="43">
        <f t="shared" ref="C17:C29" si="0">K158</f>
        <v>0.387556440649865</v>
      </c>
      <c r="D17" s="7">
        <f>$D$3*C17</f>
        <v>247358118.25753516</v>
      </c>
      <c r="E17" s="104">
        <v>28641.489631946144</v>
      </c>
      <c r="F17" s="104">
        <v>3.8128786907531319E-2</v>
      </c>
      <c r="G17" s="104">
        <v>1.2E-2</v>
      </c>
      <c r="H17" s="656">
        <f>D17/(E17*1000000)</f>
        <v>8.6363566084089721E-3</v>
      </c>
      <c r="I17" s="657" t="s">
        <v>88</v>
      </c>
      <c r="L17" s="658"/>
    </row>
    <row r="18" spans="1:12" x14ac:dyDescent="0.2">
      <c r="A18" s="721" t="s">
        <v>655</v>
      </c>
      <c r="B18" s="655" t="s">
        <v>178</v>
      </c>
      <c r="C18" s="43">
        <f t="shared" si="0"/>
        <v>6.8849261054534525E-2</v>
      </c>
      <c r="D18" s="7">
        <f t="shared" ref="D18:D29" si="1">$D$3*C18</f>
        <v>43943079.953243434</v>
      </c>
      <c r="E18" s="104">
        <v>5023.2339715085254</v>
      </c>
      <c r="F18" s="104">
        <v>0.1108803563117981</v>
      </c>
      <c r="G18" s="104">
        <v>9.6000000000000002E-2</v>
      </c>
      <c r="H18" s="656">
        <f>D18/(E18*1000000)</f>
        <v>8.7479659921249706E-3</v>
      </c>
      <c r="I18" s="657" t="s">
        <v>88</v>
      </c>
      <c r="L18" s="658"/>
    </row>
    <row r="19" spans="1:12" x14ac:dyDescent="0.2">
      <c r="A19" s="721" t="s">
        <v>658</v>
      </c>
      <c r="B19" s="655" t="s">
        <v>179</v>
      </c>
      <c r="C19" s="43">
        <f t="shared" si="0"/>
        <v>5.3790381361135348E-4</v>
      </c>
      <c r="D19" s="7">
        <f t="shared" si="1"/>
        <v>343317.41440123238</v>
      </c>
      <c r="E19" s="104">
        <v>65.636748963418967</v>
      </c>
      <c r="F19" s="104">
        <v>0</v>
      </c>
      <c r="G19" s="104">
        <v>0</v>
      </c>
      <c r="H19" s="656">
        <f>D19/(E19*1000000)</f>
        <v>5.2305670195909905E-3</v>
      </c>
      <c r="I19" s="657" t="s">
        <v>88</v>
      </c>
      <c r="L19" s="658"/>
    </row>
    <row r="20" spans="1:12" x14ac:dyDescent="0.2">
      <c r="A20" s="721" t="s">
        <v>1327</v>
      </c>
      <c r="B20" s="655" t="s">
        <v>180</v>
      </c>
      <c r="C20" s="43">
        <f t="shared" si="0"/>
        <v>0.19548208119027086</v>
      </c>
      <c r="D20" s="7">
        <f t="shared" si="1"/>
        <v>124766549.29333827</v>
      </c>
      <c r="E20" s="104">
        <v>15702.447280046117</v>
      </c>
      <c r="F20" s="104">
        <v>54570.130604294478</v>
      </c>
      <c r="G20" s="104">
        <v>50.597999999999999</v>
      </c>
      <c r="H20" s="657" t="s">
        <v>88</v>
      </c>
      <c r="I20" s="448">
        <f t="shared" ref="I20:I28" si="2">D20/((G20+F20)*1000)</f>
        <v>2.284234437757549</v>
      </c>
      <c r="J20" s="74"/>
      <c r="L20" s="658"/>
    </row>
    <row r="21" spans="1:12" x14ac:dyDescent="0.2">
      <c r="A21" s="721" t="s">
        <v>1328</v>
      </c>
      <c r="B21" s="655" t="s">
        <v>181</v>
      </c>
      <c r="C21" s="43">
        <f t="shared" si="0"/>
        <v>9.7227354306715058E-2</v>
      </c>
      <c r="D21" s="7">
        <f t="shared" si="1"/>
        <v>62055414.081469148</v>
      </c>
      <c r="E21" s="104">
        <v>8463.0971280422382</v>
      </c>
      <c r="F21" s="104">
        <v>24404.800047235876</v>
      </c>
      <c r="G21" s="104">
        <v>89.915999999999997</v>
      </c>
      <c r="H21" s="657" t="s">
        <v>88</v>
      </c>
      <c r="I21" s="448">
        <f t="shared" si="2"/>
        <v>2.5334204308309114</v>
      </c>
      <c r="J21" s="74"/>
      <c r="L21" s="658"/>
    </row>
    <row r="22" spans="1:12" x14ac:dyDescent="0.2">
      <c r="A22" s="721" t="s">
        <v>1329</v>
      </c>
      <c r="B22" s="655" t="s">
        <v>1330</v>
      </c>
      <c r="C22" s="43">
        <f t="shared" si="0"/>
        <v>9.657868814795309E-2</v>
      </c>
      <c r="D22" s="7">
        <f t="shared" si="1"/>
        <v>61641402.537396617</v>
      </c>
      <c r="E22" s="104">
        <v>9120.4128520910126</v>
      </c>
      <c r="F22" s="104">
        <v>22814.844027793824</v>
      </c>
      <c r="G22" s="104">
        <v>446.58600000000001</v>
      </c>
      <c r="H22" s="657" t="s">
        <v>88</v>
      </c>
      <c r="I22" s="448">
        <f t="shared" si="2"/>
        <v>2.6499403718406236</v>
      </c>
      <c r="J22" s="74"/>
      <c r="L22" s="658"/>
    </row>
    <row r="23" spans="1:12" x14ac:dyDescent="0.2">
      <c r="A23" s="721" t="s">
        <v>1331</v>
      </c>
      <c r="B23" s="655" t="s">
        <v>1332</v>
      </c>
      <c r="C23" s="43">
        <f t="shared" si="0"/>
        <v>6.2461704736242823E-2</v>
      </c>
      <c r="D23" s="7">
        <f t="shared" si="1"/>
        <v>39866218.506928012</v>
      </c>
      <c r="E23" s="104">
        <v>6501.7477598760197</v>
      </c>
      <c r="F23" s="104">
        <v>15207.293822000047</v>
      </c>
      <c r="G23" s="104">
        <v>1297.172</v>
      </c>
      <c r="H23" s="657" t="s">
        <v>88</v>
      </c>
      <c r="I23" s="448">
        <f t="shared" si="2"/>
        <v>2.4154806909162323</v>
      </c>
      <c r="J23" s="74"/>
      <c r="L23" s="658"/>
    </row>
    <row r="24" spans="1:12" ht="14.25" x14ac:dyDescent="0.2">
      <c r="A24" s="721" t="s">
        <v>1333</v>
      </c>
      <c r="B24" s="655" t="s">
        <v>1334</v>
      </c>
      <c r="C24" s="43">
        <f t="shared" si="0"/>
        <v>6.3275997885883561E-2</v>
      </c>
      <c r="D24" s="7">
        <f t="shared" si="1"/>
        <v>40385941.571954064</v>
      </c>
      <c r="E24" s="104">
        <v>7958.5144782319139</v>
      </c>
      <c r="F24" s="104">
        <v>13698.433622743918</v>
      </c>
      <c r="G24" s="104">
        <v>7534.1820000000007</v>
      </c>
      <c r="H24" s="657" t="s">
        <v>88</v>
      </c>
      <c r="I24" s="448">
        <f t="shared" si="2"/>
        <v>1.902070959580388</v>
      </c>
      <c r="J24" s="104">
        <v>85.668000999999464</v>
      </c>
      <c r="K24" s="104">
        <v>2050.3319999999999</v>
      </c>
      <c r="L24" s="16"/>
    </row>
    <row r="25" spans="1:12" x14ac:dyDescent="0.2">
      <c r="A25" s="721" t="s">
        <v>1335</v>
      </c>
      <c r="B25" s="655" t="s">
        <v>182</v>
      </c>
      <c r="C25" s="43">
        <f t="shared" si="0"/>
        <v>2.8764742048198971E-3</v>
      </c>
      <c r="D25" s="7">
        <f t="shared" si="1"/>
        <v>1835911.2941781979</v>
      </c>
      <c r="E25" s="104">
        <v>275.58157070794078</v>
      </c>
      <c r="F25" s="104">
        <v>4177.6291931514661</v>
      </c>
      <c r="G25" s="104">
        <v>0.09</v>
      </c>
      <c r="H25" s="657" t="s">
        <v>88</v>
      </c>
      <c r="I25" s="448">
        <f t="shared" si="2"/>
        <v>0.43945301474254345</v>
      </c>
      <c r="J25" s="74"/>
      <c r="L25" s="16"/>
    </row>
    <row r="26" spans="1:12" x14ac:dyDescent="0.2">
      <c r="A26" s="721" t="s">
        <v>1336</v>
      </c>
      <c r="B26" s="655" t="s">
        <v>183</v>
      </c>
      <c r="C26" s="43">
        <f t="shared" si="0"/>
        <v>2.8117268248282487E-3</v>
      </c>
      <c r="D26" s="7">
        <f t="shared" si="1"/>
        <v>1794586.2421419472</v>
      </c>
      <c r="E26" s="104">
        <v>287.53750133961745</v>
      </c>
      <c r="F26" s="104">
        <v>1313.7809474949279</v>
      </c>
      <c r="G26" s="104">
        <v>0.93600000000000005</v>
      </c>
      <c r="H26" s="657" t="s">
        <v>88</v>
      </c>
      <c r="I26" s="448">
        <f t="shared" si="2"/>
        <v>1.3649981812141132</v>
      </c>
      <c r="J26" s="74"/>
      <c r="L26" s="16"/>
    </row>
    <row r="27" spans="1:12" x14ac:dyDescent="0.2">
      <c r="A27" s="721" t="s">
        <v>1337</v>
      </c>
      <c r="B27" s="655" t="s">
        <v>184</v>
      </c>
      <c r="C27" s="43">
        <f t="shared" si="0"/>
        <v>1.6479401356169852E-2</v>
      </c>
      <c r="D27" s="7">
        <f t="shared" si="1"/>
        <v>10517987.270802611</v>
      </c>
      <c r="E27" s="104">
        <v>2198.3599766296243</v>
      </c>
      <c r="F27" s="104">
        <v>9010.043424878002</v>
      </c>
      <c r="G27" s="104">
        <v>7.1159999999999997</v>
      </c>
      <c r="H27" s="657" t="s">
        <v>88</v>
      </c>
      <c r="I27" s="448">
        <f t="shared" si="2"/>
        <v>1.1664413120814836</v>
      </c>
      <c r="J27" s="74"/>
      <c r="L27" s="16"/>
    </row>
    <row r="28" spans="1:12" x14ac:dyDescent="0.2">
      <c r="A28" s="721" t="s">
        <v>1338</v>
      </c>
      <c r="B28" s="655" t="s">
        <v>1339</v>
      </c>
      <c r="C28" s="43">
        <f t="shared" si="0"/>
        <v>1.444811299029794E-3</v>
      </c>
      <c r="D28" s="7">
        <f t="shared" si="1"/>
        <v>922151.63181383524</v>
      </c>
      <c r="E28" s="104">
        <v>175.26673544243664</v>
      </c>
      <c r="F28" s="104">
        <v>500.47319307714764</v>
      </c>
      <c r="G28" s="104">
        <v>2.7</v>
      </c>
      <c r="H28" s="657" t="s">
        <v>88</v>
      </c>
      <c r="I28" s="448">
        <f t="shared" si="2"/>
        <v>1.8326724167764814</v>
      </c>
      <c r="J28" s="74"/>
      <c r="L28" s="16"/>
    </row>
    <row r="29" spans="1:12" x14ac:dyDescent="0.2">
      <c r="A29" s="721" t="s">
        <v>1340</v>
      </c>
      <c r="B29" s="655" t="s">
        <v>1341</v>
      </c>
      <c r="C29" s="43">
        <f t="shared" si="0"/>
        <v>4.4181545300761337E-3</v>
      </c>
      <c r="D29" s="659">
        <f t="shared" si="1"/>
        <v>2819889.6369728483</v>
      </c>
      <c r="E29" s="104">
        <v>727.36533345949545</v>
      </c>
      <c r="F29" s="104">
        <v>0</v>
      </c>
      <c r="G29" s="104">
        <v>0</v>
      </c>
      <c r="H29" s="656">
        <f>D29/(E29*1000000)</f>
        <v>3.8768545973464083E-3</v>
      </c>
      <c r="I29" s="657" t="s">
        <v>88</v>
      </c>
      <c r="L29" s="16"/>
    </row>
    <row r="30" spans="1:12" x14ac:dyDescent="0.2">
      <c r="A30" s="721" t="s">
        <v>1342</v>
      </c>
      <c r="B30" s="655" t="s">
        <v>1825</v>
      </c>
      <c r="C30" s="657" t="s">
        <v>88</v>
      </c>
      <c r="D30" s="657" t="s">
        <v>88</v>
      </c>
      <c r="E30" s="660" t="s">
        <v>88</v>
      </c>
      <c r="F30" s="660" t="s">
        <v>88</v>
      </c>
      <c r="G30" s="660" t="s">
        <v>88</v>
      </c>
      <c r="H30" s="657" t="s">
        <v>88</v>
      </c>
      <c r="I30" s="657" t="s">
        <v>88</v>
      </c>
      <c r="L30" s="650" t="s">
        <v>1354</v>
      </c>
    </row>
    <row r="31" spans="1:12" x14ac:dyDescent="0.2">
      <c r="A31" s="721" t="s">
        <v>1344</v>
      </c>
      <c r="B31" s="655" t="s">
        <v>1826</v>
      </c>
      <c r="C31" s="657" t="s">
        <v>88</v>
      </c>
      <c r="D31" s="657" t="s">
        <v>88</v>
      </c>
      <c r="E31" s="660" t="s">
        <v>88</v>
      </c>
      <c r="F31" s="660" t="s">
        <v>88</v>
      </c>
      <c r="G31" s="660" t="s">
        <v>88</v>
      </c>
      <c r="H31" s="657" t="s">
        <v>88</v>
      </c>
      <c r="I31" s="657" t="s">
        <v>88</v>
      </c>
      <c r="L31" s="650" t="s">
        <v>1354</v>
      </c>
    </row>
    <row r="32" spans="1:12" ht="14.25" x14ac:dyDescent="0.2">
      <c r="A32" s="721" t="s">
        <v>1345</v>
      </c>
      <c r="B32" s="655" t="s">
        <v>1827</v>
      </c>
      <c r="C32" s="657" t="s">
        <v>88</v>
      </c>
      <c r="D32" s="657" t="s">
        <v>88</v>
      </c>
      <c r="E32" s="660" t="s">
        <v>88</v>
      </c>
      <c r="F32" s="660" t="s">
        <v>88</v>
      </c>
      <c r="G32" s="660" t="s">
        <v>88</v>
      </c>
      <c r="H32" s="657" t="s">
        <v>88</v>
      </c>
      <c r="I32" s="657" t="s">
        <v>88</v>
      </c>
      <c r="J32" s="660" t="s">
        <v>88</v>
      </c>
      <c r="K32" s="660" t="s">
        <v>88</v>
      </c>
      <c r="L32" s="650" t="s">
        <v>1354</v>
      </c>
    </row>
    <row r="33" spans="1:12" x14ac:dyDescent="0.2">
      <c r="A33" s="721" t="s">
        <v>1346</v>
      </c>
      <c r="B33" s="655" t="s">
        <v>1347</v>
      </c>
      <c r="C33" s="657" t="s">
        <v>88</v>
      </c>
      <c r="D33" s="657" t="s">
        <v>88</v>
      </c>
      <c r="E33" s="660" t="s">
        <v>88</v>
      </c>
      <c r="F33" s="660" t="s">
        <v>88</v>
      </c>
      <c r="G33" s="660" t="s">
        <v>88</v>
      </c>
      <c r="H33" s="657" t="s">
        <v>88</v>
      </c>
      <c r="I33" s="657" t="s">
        <v>88</v>
      </c>
      <c r="L33" s="650" t="s">
        <v>1354</v>
      </c>
    </row>
    <row r="34" spans="1:12" x14ac:dyDescent="0.2">
      <c r="A34" s="721" t="s">
        <v>1348</v>
      </c>
      <c r="B34" s="655" t="s">
        <v>1349</v>
      </c>
      <c r="C34" s="657" t="s">
        <v>88</v>
      </c>
      <c r="D34" s="657" t="s">
        <v>88</v>
      </c>
      <c r="E34" s="660" t="s">
        <v>88</v>
      </c>
      <c r="F34" s="660" t="s">
        <v>88</v>
      </c>
      <c r="G34" s="660" t="s">
        <v>88</v>
      </c>
      <c r="H34" s="657" t="s">
        <v>88</v>
      </c>
      <c r="I34" s="657" t="s">
        <v>88</v>
      </c>
      <c r="L34" s="650" t="s">
        <v>1354</v>
      </c>
    </row>
    <row r="35" spans="1:12" x14ac:dyDescent="0.2">
      <c r="A35" s="721" t="s">
        <v>1350</v>
      </c>
      <c r="B35" s="806" t="s">
        <v>578</v>
      </c>
      <c r="C35" s="657" t="s">
        <v>88</v>
      </c>
      <c r="D35" s="657" t="s">
        <v>88</v>
      </c>
      <c r="E35" s="660" t="s">
        <v>88</v>
      </c>
      <c r="F35" s="660" t="s">
        <v>88</v>
      </c>
      <c r="G35" s="660" t="s">
        <v>88</v>
      </c>
      <c r="H35" s="657" t="s">
        <v>88</v>
      </c>
      <c r="I35" s="657" t="s">
        <v>88</v>
      </c>
      <c r="K35" s="16"/>
    </row>
    <row r="36" spans="1:12" x14ac:dyDescent="0.2">
      <c r="A36" s="721">
        <v>2</v>
      </c>
      <c r="B36" s="661" t="s">
        <v>227</v>
      </c>
      <c r="C36" s="445">
        <f>SUM(C17:C29)</f>
        <v>1.0000000000000002</v>
      </c>
      <c r="D36" s="446">
        <f>SUM(D17:D29)</f>
        <v>638250567.69217551</v>
      </c>
      <c r="E36" s="447">
        <f>SUM(E17:E29)</f>
        <v>85140.6909682845</v>
      </c>
      <c r="F36" s="447">
        <f>SUM(F17:F29)</f>
        <v>145697.57789181289</v>
      </c>
      <c r="G36" s="447">
        <f>SUM(G17:G29)</f>
        <v>9429.4040000000023</v>
      </c>
      <c r="H36" s="722"/>
    </row>
    <row r="37" spans="1:12" x14ac:dyDescent="0.2">
      <c r="A37" s="721">
        <f>A36+1</f>
        <v>3</v>
      </c>
    </row>
    <row r="38" spans="1:12" x14ac:dyDescent="0.2">
      <c r="A38" s="721">
        <f t="shared" ref="A38:A46" si="3">A37+1</f>
        <v>4</v>
      </c>
      <c r="I38" s="88"/>
    </row>
    <row r="39" spans="1:12" x14ac:dyDescent="0.2">
      <c r="A39" s="721">
        <f t="shared" si="3"/>
        <v>5</v>
      </c>
      <c r="B39" s="1" t="s">
        <v>1351</v>
      </c>
    </row>
    <row r="40" spans="1:12" x14ac:dyDescent="0.2">
      <c r="A40" s="721">
        <f t="shared" si="3"/>
        <v>6</v>
      </c>
      <c r="C40" s="88" t="s">
        <v>406</v>
      </c>
      <c r="D40" s="88" t="s">
        <v>390</v>
      </c>
      <c r="E40" s="88" t="s">
        <v>391</v>
      </c>
      <c r="F40" s="88" t="s">
        <v>392</v>
      </c>
      <c r="G40" s="88" t="s">
        <v>393</v>
      </c>
      <c r="H40" s="88" t="s">
        <v>394</v>
      </c>
      <c r="I40" s="88" t="s">
        <v>395</v>
      </c>
      <c r="J40" s="88" t="s">
        <v>610</v>
      </c>
    </row>
    <row r="41" spans="1:12" x14ac:dyDescent="0.2">
      <c r="A41" s="721">
        <f t="shared" si="3"/>
        <v>7</v>
      </c>
      <c r="C41" s="650" t="s">
        <v>1925</v>
      </c>
      <c r="D41" s="650" t="s">
        <v>1926</v>
      </c>
      <c r="E41" s="650" t="s">
        <v>1927</v>
      </c>
      <c r="F41" s="650" t="s">
        <v>1367</v>
      </c>
      <c r="G41" s="650" t="s">
        <v>1368</v>
      </c>
      <c r="H41" s="650" t="s">
        <v>1829</v>
      </c>
      <c r="I41" s="650" t="s">
        <v>1369</v>
      </c>
    </row>
    <row r="42" spans="1:12" x14ac:dyDescent="0.2">
      <c r="A42" s="721">
        <f t="shared" si="3"/>
        <v>8</v>
      </c>
      <c r="C42" s="650" t="s">
        <v>1366</v>
      </c>
      <c r="D42" s="650"/>
      <c r="E42" s="650"/>
      <c r="F42" s="88"/>
      <c r="G42" s="88"/>
      <c r="H42" s="650" t="s">
        <v>1830</v>
      </c>
      <c r="I42" s="88"/>
    </row>
    <row r="43" spans="1:12" x14ac:dyDescent="0.2">
      <c r="A43" s="721">
        <f t="shared" si="3"/>
        <v>9</v>
      </c>
      <c r="I43" s="721"/>
    </row>
    <row r="44" spans="1:12" x14ac:dyDescent="0.2">
      <c r="A44" s="721">
        <f t="shared" si="3"/>
        <v>10</v>
      </c>
      <c r="B44" s="1251" t="s">
        <v>1321</v>
      </c>
      <c r="C44" s="1277" t="s">
        <v>1355</v>
      </c>
      <c r="D44" s="1277" t="str">
        <f>F186</f>
        <v>Total 12-CP</v>
      </c>
      <c r="E44" s="1277" t="str">
        <f>G186</f>
        <v>Backup 12-CP</v>
      </c>
      <c r="F44" s="1277" t="s">
        <v>1831</v>
      </c>
      <c r="G44" s="1288" t="s">
        <v>1832</v>
      </c>
      <c r="H44" s="1277" t="s">
        <v>1822</v>
      </c>
      <c r="I44" s="1277" t="s">
        <v>1833</v>
      </c>
      <c r="J44" s="1282" t="s">
        <v>198</v>
      </c>
    </row>
    <row r="45" spans="1:12" x14ac:dyDescent="0.2">
      <c r="A45" s="721">
        <f t="shared" si="3"/>
        <v>11</v>
      </c>
      <c r="B45" s="1252"/>
      <c r="C45" s="1277"/>
      <c r="D45" s="1277"/>
      <c r="E45" s="1277"/>
      <c r="F45" s="1277"/>
      <c r="G45" s="1289"/>
      <c r="H45" s="1277"/>
      <c r="I45" s="1277"/>
      <c r="J45" s="1283"/>
    </row>
    <row r="46" spans="1:12" x14ac:dyDescent="0.2">
      <c r="A46" s="721">
        <f t="shared" si="3"/>
        <v>12</v>
      </c>
      <c r="B46" s="1253"/>
      <c r="C46" s="1277"/>
      <c r="D46" s="1277"/>
      <c r="E46" s="1277"/>
      <c r="F46" s="1277"/>
      <c r="G46" s="1290"/>
      <c r="H46" s="1277"/>
      <c r="I46" s="1277"/>
      <c r="J46" s="1284"/>
    </row>
    <row r="47" spans="1:12" x14ac:dyDescent="0.2">
      <c r="A47" s="721" t="s">
        <v>1356</v>
      </c>
      <c r="B47" s="655" t="s">
        <v>1330</v>
      </c>
      <c r="C47" s="7">
        <f>D22</f>
        <v>61641402.537396617</v>
      </c>
      <c r="D47" s="105">
        <f t="shared" ref="D47:E51" si="4">F188</f>
        <v>18758.614167333333</v>
      </c>
      <c r="E47" s="105">
        <f t="shared" si="4"/>
        <v>182.64558500000001</v>
      </c>
      <c r="F47" s="7">
        <f>C47-G47</f>
        <v>61041223.338323951</v>
      </c>
      <c r="G47" s="7">
        <f>C47*E47/D47</f>
        <v>600179.19907266623</v>
      </c>
      <c r="H47" s="105">
        <f>G22</f>
        <v>446.58600000000001</v>
      </c>
      <c r="I47" s="448">
        <f>G47/(H47*1000)</f>
        <v>1.3439274833350492</v>
      </c>
      <c r="J47" s="722"/>
    </row>
    <row r="48" spans="1:12" x14ac:dyDescent="0.2">
      <c r="A48" s="721" t="s">
        <v>1357</v>
      </c>
      <c r="B48" s="655" t="s">
        <v>1332</v>
      </c>
      <c r="C48" s="449">
        <f>D23</f>
        <v>39866218.506928012</v>
      </c>
      <c r="D48" s="450">
        <f t="shared" si="4"/>
        <v>11725.694225833335</v>
      </c>
      <c r="E48" s="450">
        <f t="shared" si="4"/>
        <v>491.51423533333332</v>
      </c>
      <c r="F48" s="7">
        <f>C48-G48</f>
        <v>38195117.970987529</v>
      </c>
      <c r="G48" s="7">
        <f>C48*E48/D48</f>
        <v>1671100.5359404823</v>
      </c>
      <c r="H48" s="450">
        <f>G23</f>
        <v>1297.172</v>
      </c>
      <c r="I48" s="451">
        <f>G48/(H48*1000)</f>
        <v>1.2882644213261483</v>
      </c>
      <c r="J48" s="722"/>
    </row>
    <row r="49" spans="1:12" ht="14.25" x14ac:dyDescent="0.2">
      <c r="A49" s="721" t="s">
        <v>1358</v>
      </c>
      <c r="B49" s="655" t="s">
        <v>1334</v>
      </c>
      <c r="C49" s="452">
        <f>D24</f>
        <v>40385941.571954064</v>
      </c>
      <c r="D49" s="662">
        <f t="shared" si="4"/>
        <v>12028.346831333334</v>
      </c>
      <c r="E49" s="662">
        <f t="shared" si="4"/>
        <v>1244.2026680000001</v>
      </c>
      <c r="F49" s="460">
        <f>C49-G49</f>
        <v>36208451.767401479</v>
      </c>
      <c r="G49" s="460">
        <f>C49*E49/D49</f>
        <v>4177489.8045525826</v>
      </c>
      <c r="H49" s="453">
        <f>G24</f>
        <v>7534.1820000000007</v>
      </c>
      <c r="I49" s="663" t="s">
        <v>88</v>
      </c>
      <c r="J49" s="454"/>
    </row>
    <row r="50" spans="1:12" ht="15" x14ac:dyDescent="0.25">
      <c r="A50" s="721" t="s">
        <v>1359</v>
      </c>
      <c r="B50" s="655" t="s">
        <v>1360</v>
      </c>
      <c r="C50" s="449">
        <f>C49*D50/D49</f>
        <v>39353832.309124783</v>
      </c>
      <c r="D50" s="450">
        <f t="shared" si="4"/>
        <v>11720.948571000001</v>
      </c>
      <c r="E50" s="450">
        <f t="shared" si="4"/>
        <v>980.5712656666667</v>
      </c>
      <c r="F50" s="7">
        <f>C50-G50</f>
        <v>36061501.750515401</v>
      </c>
      <c r="G50" s="7">
        <f>C50*E50/D50</f>
        <v>3292330.5586093799</v>
      </c>
      <c r="H50" s="119">
        <f>H49-H51</f>
        <v>5483.85</v>
      </c>
      <c r="I50" s="455">
        <f>G50/(H50*1000)</f>
        <v>0.600368456214043</v>
      </c>
      <c r="J50" s="722"/>
    </row>
    <row r="51" spans="1:12" ht="15" x14ac:dyDescent="0.25">
      <c r="A51" s="721" t="s">
        <v>1361</v>
      </c>
      <c r="B51" s="655" t="s">
        <v>1362</v>
      </c>
      <c r="C51" s="664">
        <f>C49-C50</f>
        <v>1032109.2628292814</v>
      </c>
      <c r="D51" s="450">
        <f t="shared" si="4"/>
        <v>303.62157666666656</v>
      </c>
      <c r="E51" s="450">
        <f t="shared" si="4"/>
        <v>260.39243666666664</v>
      </c>
      <c r="F51" s="7">
        <f>C51-G51</f>
        <v>146950.01688607608</v>
      </c>
      <c r="G51" s="7">
        <f>C51*E51/D51</f>
        <v>885159.24594320531</v>
      </c>
      <c r="H51" s="119">
        <f>K24</f>
        <v>2050.3319999999999</v>
      </c>
      <c r="I51" s="455">
        <f>G51/(H51*1000)</f>
        <v>0.43171508123718766</v>
      </c>
      <c r="J51" s="650" t="s">
        <v>1923</v>
      </c>
    </row>
    <row r="52" spans="1:12" ht="14.25" x14ac:dyDescent="0.2">
      <c r="A52" s="721" t="s">
        <v>1363</v>
      </c>
      <c r="B52" s="655" t="s">
        <v>1835</v>
      </c>
      <c r="C52" s="657" t="s">
        <v>88</v>
      </c>
      <c r="D52" s="657" t="s">
        <v>88</v>
      </c>
      <c r="E52" s="657" t="s">
        <v>88</v>
      </c>
      <c r="F52" s="657" t="s">
        <v>88</v>
      </c>
      <c r="G52" s="657" t="s">
        <v>88</v>
      </c>
      <c r="H52" s="657" t="s">
        <v>88</v>
      </c>
      <c r="I52" s="657" t="s">
        <v>88</v>
      </c>
      <c r="J52" s="650" t="s">
        <v>1354</v>
      </c>
    </row>
    <row r="53" spans="1:12" ht="15" x14ac:dyDescent="0.25">
      <c r="A53" s="721" t="s">
        <v>1364</v>
      </c>
      <c r="B53" s="655" t="s">
        <v>1836</v>
      </c>
      <c r="C53" s="657" t="s">
        <v>88</v>
      </c>
      <c r="D53" s="657" t="s">
        <v>88</v>
      </c>
      <c r="E53" s="657" t="s">
        <v>88</v>
      </c>
      <c r="F53" s="657" t="s">
        <v>88</v>
      </c>
      <c r="G53" s="657" t="s">
        <v>88</v>
      </c>
      <c r="H53" s="657" t="s">
        <v>88</v>
      </c>
      <c r="I53" s="657" t="s">
        <v>88</v>
      </c>
      <c r="J53" s="650" t="s">
        <v>1354</v>
      </c>
    </row>
    <row r="54" spans="1:12" ht="15" x14ac:dyDescent="0.25">
      <c r="A54" s="721" t="s">
        <v>1365</v>
      </c>
      <c r="B54" s="655" t="s">
        <v>1837</v>
      </c>
      <c r="C54" s="657" t="s">
        <v>88</v>
      </c>
      <c r="D54" s="657" t="s">
        <v>88</v>
      </c>
      <c r="E54" s="657" t="s">
        <v>88</v>
      </c>
      <c r="F54" s="657" t="s">
        <v>88</v>
      </c>
      <c r="G54" s="657" t="s">
        <v>88</v>
      </c>
      <c r="H54" s="657" t="s">
        <v>88</v>
      </c>
      <c r="I54" s="657" t="s">
        <v>88</v>
      </c>
      <c r="J54" s="650" t="s">
        <v>1354</v>
      </c>
    </row>
    <row r="55" spans="1:12" x14ac:dyDescent="0.2">
      <c r="A55" s="721">
        <v>14</v>
      </c>
    </row>
    <row r="56" spans="1:12" x14ac:dyDescent="0.2">
      <c r="A56" s="721">
        <f>A55+1</f>
        <v>15</v>
      </c>
      <c r="B56" s="456" t="s">
        <v>2377</v>
      </c>
    </row>
    <row r="57" spans="1:12" x14ac:dyDescent="0.2">
      <c r="A57" s="721">
        <f t="shared" ref="A57:A65" si="5">A56+1</f>
        <v>16</v>
      </c>
    </row>
    <row r="58" spans="1:12" x14ac:dyDescent="0.2">
      <c r="A58" s="721">
        <f>A57+1</f>
        <v>17</v>
      </c>
      <c r="C58" s="88" t="s">
        <v>406</v>
      </c>
      <c r="D58" s="88" t="s">
        <v>390</v>
      </c>
      <c r="E58" s="88" t="s">
        <v>391</v>
      </c>
      <c r="F58" s="88" t="s">
        <v>392</v>
      </c>
      <c r="G58" s="88" t="s">
        <v>393</v>
      </c>
      <c r="H58" s="88" t="s">
        <v>394</v>
      </c>
      <c r="I58" s="88" t="s">
        <v>395</v>
      </c>
      <c r="J58" s="88" t="s">
        <v>610</v>
      </c>
      <c r="K58" s="88" t="s">
        <v>1059</v>
      </c>
      <c r="L58" s="88" t="s">
        <v>1076</v>
      </c>
    </row>
    <row r="59" spans="1:12" x14ac:dyDescent="0.2">
      <c r="A59" s="721"/>
      <c r="C59" s="665" t="s">
        <v>1828</v>
      </c>
      <c r="D59" s="88"/>
      <c r="E59" s="88"/>
      <c r="F59" s="88"/>
      <c r="G59" s="88"/>
      <c r="H59" s="88"/>
      <c r="I59" s="88"/>
      <c r="J59" s="88"/>
      <c r="K59" s="88"/>
      <c r="L59" s="88"/>
    </row>
    <row r="60" spans="1:12" x14ac:dyDescent="0.2">
      <c r="A60" s="721">
        <f>A58+1</f>
        <v>18</v>
      </c>
      <c r="C60" s="650" t="s">
        <v>1838</v>
      </c>
      <c r="D60" s="650" t="s">
        <v>1370</v>
      </c>
      <c r="E60" s="650" t="s">
        <v>1318</v>
      </c>
      <c r="G60" s="650" t="s">
        <v>1839</v>
      </c>
      <c r="H60" s="650" t="s">
        <v>1834</v>
      </c>
      <c r="I60" s="650" t="s">
        <v>1928</v>
      </c>
      <c r="J60" s="650" t="s">
        <v>1929</v>
      </c>
      <c r="K60" s="650" t="s">
        <v>1929</v>
      </c>
    </row>
    <row r="61" spans="1:12" x14ac:dyDescent="0.2">
      <c r="A61" s="721">
        <f t="shared" si="5"/>
        <v>19</v>
      </c>
      <c r="C61" s="650"/>
      <c r="G61" s="1291" t="s">
        <v>2382</v>
      </c>
      <c r="H61" s="1292"/>
      <c r="I61" s="1292"/>
      <c r="J61" s="1292"/>
      <c r="K61" s="1293"/>
    </row>
    <row r="62" spans="1:12" x14ac:dyDescent="0.2">
      <c r="A62" s="721">
        <f t="shared" si="5"/>
        <v>20</v>
      </c>
      <c r="B62" s="1278" t="s">
        <v>1321</v>
      </c>
      <c r="C62" s="1277" t="s">
        <v>1355</v>
      </c>
      <c r="D62" s="1277" t="s">
        <v>1840</v>
      </c>
      <c r="E62" s="1277" t="s">
        <v>1841</v>
      </c>
      <c r="G62" s="1277" t="s">
        <v>1371</v>
      </c>
      <c r="H62" s="1277" t="s">
        <v>1373</v>
      </c>
      <c r="I62" s="1277" t="s">
        <v>1372</v>
      </c>
      <c r="J62" s="1277" t="s">
        <v>1375</v>
      </c>
      <c r="K62" s="1277" t="s">
        <v>1374</v>
      </c>
      <c r="L62" s="1285" t="s">
        <v>198</v>
      </c>
    </row>
    <row r="63" spans="1:12" x14ac:dyDescent="0.2">
      <c r="A63" s="721">
        <f t="shared" si="5"/>
        <v>21</v>
      </c>
      <c r="B63" s="1278"/>
      <c r="C63" s="1277"/>
      <c r="D63" s="1277"/>
      <c r="E63" s="1277"/>
      <c r="G63" s="1277"/>
      <c r="H63" s="1277"/>
      <c r="I63" s="1277"/>
      <c r="J63" s="1277"/>
      <c r="K63" s="1277"/>
      <c r="L63" s="1286"/>
    </row>
    <row r="64" spans="1:12" x14ac:dyDescent="0.2">
      <c r="A64" s="721">
        <f t="shared" si="5"/>
        <v>22</v>
      </c>
      <c r="B64" s="1278"/>
      <c r="C64" s="1277"/>
      <c r="D64" s="1277"/>
      <c r="E64" s="1277"/>
      <c r="G64" s="1277"/>
      <c r="H64" s="1277"/>
      <c r="I64" s="1277"/>
      <c r="J64" s="1277"/>
      <c r="K64" s="1277"/>
      <c r="L64" s="1286"/>
    </row>
    <row r="65" spans="1:12" x14ac:dyDescent="0.2">
      <c r="A65" s="721">
        <f t="shared" si="5"/>
        <v>23</v>
      </c>
      <c r="B65" s="1278"/>
      <c r="C65" s="1277"/>
      <c r="D65" s="1277"/>
      <c r="E65" s="1277"/>
      <c r="G65" s="1277"/>
      <c r="H65" s="1277"/>
      <c r="I65" s="1277"/>
      <c r="J65" s="1277"/>
      <c r="K65" s="1277"/>
      <c r="L65" s="1287"/>
    </row>
    <row r="66" spans="1:12" x14ac:dyDescent="0.2">
      <c r="A66" s="721" t="s">
        <v>979</v>
      </c>
      <c r="B66" s="655" t="s">
        <v>177</v>
      </c>
      <c r="C66" s="7">
        <f t="shared" ref="C66:C73" si="6">D17</f>
        <v>247358118.25753516</v>
      </c>
      <c r="D66" s="7">
        <f>C66-E66</f>
        <v>247358118.25753516</v>
      </c>
      <c r="E66" s="457">
        <v>0</v>
      </c>
      <c r="G66" s="458">
        <f t="shared" ref="G66:G72" si="7">H17</f>
        <v>8.6363566084089721E-3</v>
      </c>
      <c r="H66" s="459" t="s">
        <v>88</v>
      </c>
      <c r="I66" s="459" t="s">
        <v>88</v>
      </c>
      <c r="J66" s="459" t="s">
        <v>88</v>
      </c>
      <c r="K66" s="459" t="s">
        <v>88</v>
      </c>
    </row>
    <row r="67" spans="1:12" x14ac:dyDescent="0.2">
      <c r="A67" s="721" t="s">
        <v>981</v>
      </c>
      <c r="B67" s="655" t="s">
        <v>178</v>
      </c>
      <c r="C67" s="7">
        <f t="shared" si="6"/>
        <v>43943079.953243434</v>
      </c>
      <c r="D67" s="7">
        <f>C67-E67</f>
        <v>43943079.953243434</v>
      </c>
      <c r="E67" s="457">
        <v>0</v>
      </c>
      <c r="G67" s="458">
        <f t="shared" si="7"/>
        <v>8.7479659921249706E-3</v>
      </c>
      <c r="H67" s="459" t="s">
        <v>88</v>
      </c>
      <c r="I67" s="459" t="s">
        <v>88</v>
      </c>
      <c r="J67" s="459" t="s">
        <v>88</v>
      </c>
      <c r="K67" s="459" t="s">
        <v>88</v>
      </c>
    </row>
    <row r="68" spans="1:12" x14ac:dyDescent="0.2">
      <c r="A68" s="721" t="s">
        <v>983</v>
      </c>
      <c r="B68" s="655" t="s">
        <v>179</v>
      </c>
      <c r="C68" s="7">
        <f t="shared" si="6"/>
        <v>343317.41440123238</v>
      </c>
      <c r="D68" s="7">
        <f>C68-E68</f>
        <v>343317.41440123238</v>
      </c>
      <c r="E68" s="457">
        <v>0</v>
      </c>
      <c r="G68" s="458">
        <f t="shared" si="7"/>
        <v>5.2305670195909905E-3</v>
      </c>
      <c r="H68" s="459" t="s">
        <v>88</v>
      </c>
      <c r="I68" s="459" t="s">
        <v>88</v>
      </c>
      <c r="J68" s="459" t="s">
        <v>88</v>
      </c>
      <c r="K68" s="459" t="s">
        <v>88</v>
      </c>
    </row>
    <row r="69" spans="1:12" x14ac:dyDescent="0.2">
      <c r="A69" s="721" t="s">
        <v>985</v>
      </c>
      <c r="B69" s="655" t="s">
        <v>180</v>
      </c>
      <c r="C69" s="7">
        <f t="shared" si="6"/>
        <v>124766549.29333827</v>
      </c>
      <c r="D69" s="7">
        <f>C69-E69</f>
        <v>124698549.25053649</v>
      </c>
      <c r="E69" s="457">
        <f>G20*I69*1000</f>
        <v>68000.042801786825</v>
      </c>
      <c r="G69" s="458" t="str">
        <f t="shared" si="7"/>
        <v>---</v>
      </c>
      <c r="H69" s="455">
        <f>D69/(F20*1000)</f>
        <v>2.2851063002719503</v>
      </c>
      <c r="I69" s="455">
        <f>MIN(I20,$I$47)</f>
        <v>1.3439274833350492</v>
      </c>
      <c r="J69" s="459" t="s">
        <v>88</v>
      </c>
      <c r="K69" s="459" t="s">
        <v>88</v>
      </c>
    </row>
    <row r="70" spans="1:12" x14ac:dyDescent="0.2">
      <c r="A70" s="721" t="s">
        <v>987</v>
      </c>
      <c r="B70" s="655" t="s">
        <v>181</v>
      </c>
      <c r="C70" s="7">
        <f t="shared" si="6"/>
        <v>62055414.081469148</v>
      </c>
      <c r="D70" s="7">
        <f>C70-E70</f>
        <v>61934573.497877598</v>
      </c>
      <c r="E70" s="457">
        <f>G21*I70*1000</f>
        <v>120840.58359155428</v>
      </c>
      <c r="G70" s="458" t="str">
        <f t="shared" si="7"/>
        <v>---</v>
      </c>
      <c r="H70" s="455">
        <f>D70/(F21*1000)</f>
        <v>2.5378029476989057</v>
      </c>
      <c r="I70" s="455">
        <f>MIN(I21,$I$47)</f>
        <v>1.3439274833350492</v>
      </c>
      <c r="J70" s="459" t="s">
        <v>88</v>
      </c>
      <c r="K70" s="459" t="s">
        <v>88</v>
      </c>
    </row>
    <row r="71" spans="1:12" x14ac:dyDescent="0.2">
      <c r="A71" s="721" t="s">
        <v>989</v>
      </c>
      <c r="B71" s="655" t="s">
        <v>1330</v>
      </c>
      <c r="C71" s="7">
        <f t="shared" si="6"/>
        <v>61641402.537396617</v>
      </c>
      <c r="D71" s="449">
        <f t="shared" ref="D71:E75" si="8">F47</f>
        <v>61041223.338323951</v>
      </c>
      <c r="E71" s="457">
        <f t="shared" si="8"/>
        <v>600179.19907266623</v>
      </c>
      <c r="G71" s="458" t="str">
        <f t="shared" si="7"/>
        <v>---</v>
      </c>
      <c r="H71" s="455">
        <f>D71/(F22*1000)</f>
        <v>2.675504739982506</v>
      </c>
      <c r="I71" s="455">
        <f>I47</f>
        <v>1.3439274833350492</v>
      </c>
      <c r="J71" s="459" t="s">
        <v>88</v>
      </c>
      <c r="K71" s="459" t="s">
        <v>88</v>
      </c>
    </row>
    <row r="72" spans="1:12" x14ac:dyDescent="0.2">
      <c r="A72" s="721" t="s">
        <v>991</v>
      </c>
      <c r="B72" s="655" t="s">
        <v>1332</v>
      </c>
      <c r="C72" s="7">
        <f t="shared" si="6"/>
        <v>39866218.506928012</v>
      </c>
      <c r="D72" s="449">
        <f t="shared" si="8"/>
        <v>38195117.970987529</v>
      </c>
      <c r="E72" s="457">
        <f t="shared" si="8"/>
        <v>1671100.5359404823</v>
      </c>
      <c r="G72" s="458" t="str">
        <f t="shared" si="7"/>
        <v>---</v>
      </c>
      <c r="H72" s="455">
        <f>D72/(F23*1000)</f>
        <v>2.5116314853949566</v>
      </c>
      <c r="I72" s="455">
        <f>I48</f>
        <v>1.2882644213261483</v>
      </c>
      <c r="J72" s="459" t="s">
        <v>88</v>
      </c>
      <c r="K72" s="459" t="s">
        <v>88</v>
      </c>
    </row>
    <row r="73" spans="1:12" x14ac:dyDescent="0.2">
      <c r="A73" s="721" t="s">
        <v>992</v>
      </c>
      <c r="B73" s="655" t="s">
        <v>1376</v>
      </c>
      <c r="C73" s="460">
        <f t="shared" si="6"/>
        <v>40385941.571954064</v>
      </c>
      <c r="D73" s="460">
        <f t="shared" si="8"/>
        <v>36208451.767401479</v>
      </c>
      <c r="E73" s="461">
        <f t="shared" si="8"/>
        <v>4177489.8045525826</v>
      </c>
      <c r="G73" s="458" t="s">
        <v>88</v>
      </c>
      <c r="H73" s="458" t="s">
        <v>88</v>
      </c>
      <c r="I73" s="458" t="s">
        <v>88</v>
      </c>
      <c r="J73" s="458" t="s">
        <v>88</v>
      </c>
      <c r="K73" s="458" t="s">
        <v>88</v>
      </c>
    </row>
    <row r="74" spans="1:12" ht="15" x14ac:dyDescent="0.25">
      <c r="A74" s="721" t="s">
        <v>1377</v>
      </c>
      <c r="B74" s="655" t="s">
        <v>1360</v>
      </c>
      <c r="C74" s="458" t="s">
        <v>88</v>
      </c>
      <c r="D74" s="7">
        <f t="shared" si="8"/>
        <v>36061501.750515401</v>
      </c>
      <c r="E74" s="457">
        <f t="shared" si="8"/>
        <v>3292330.5586093799</v>
      </c>
      <c r="G74" s="717" t="str">
        <f>H25</f>
        <v>---</v>
      </c>
      <c r="H74" s="718">
        <f>D74/((F24-J24)*1000)</f>
        <v>2.6490944421252438</v>
      </c>
      <c r="I74" s="718">
        <f>I50</f>
        <v>0.600368456214043</v>
      </c>
      <c r="J74" s="719" t="s">
        <v>88</v>
      </c>
      <c r="K74" s="719" t="s">
        <v>88</v>
      </c>
    </row>
    <row r="75" spans="1:12" ht="15" x14ac:dyDescent="0.25">
      <c r="A75" s="721" t="s">
        <v>1378</v>
      </c>
      <c r="B75" s="655" t="s">
        <v>1362</v>
      </c>
      <c r="C75" s="462" t="s">
        <v>88</v>
      </c>
      <c r="D75" s="460">
        <f t="shared" si="8"/>
        <v>146950.01688607608</v>
      </c>
      <c r="E75" s="461">
        <f t="shared" si="8"/>
        <v>885159.24594320531</v>
      </c>
      <c r="G75" s="462" t="str">
        <f>H26</f>
        <v>---</v>
      </c>
      <c r="H75" s="463">
        <f>D75/(J24*1000)</f>
        <v>1.7153431289481937</v>
      </c>
      <c r="I75" s="463">
        <f>I51</f>
        <v>0.43171508123718766</v>
      </c>
      <c r="J75" s="464" t="s">
        <v>88</v>
      </c>
      <c r="K75" s="464" t="s">
        <v>88</v>
      </c>
      <c r="L75" s="650" t="s">
        <v>1923</v>
      </c>
    </row>
    <row r="76" spans="1:12" x14ac:dyDescent="0.2">
      <c r="A76" s="721" t="s">
        <v>994</v>
      </c>
      <c r="B76" s="655" t="s">
        <v>182</v>
      </c>
      <c r="C76" s="7">
        <f>D25</f>
        <v>1835911.2941781979</v>
      </c>
      <c r="D76" s="7">
        <f>C76-E76</f>
        <v>1835871.7434068711</v>
      </c>
      <c r="E76" s="457">
        <f>G25*I76*1000</f>
        <v>39.550771326828908</v>
      </c>
      <c r="G76" s="458" t="str">
        <f>H25</f>
        <v>---</v>
      </c>
      <c r="H76" s="455">
        <f>D76/(F25*1000)</f>
        <v>0.43945301474254345</v>
      </c>
      <c r="I76" s="455">
        <f>MIN(I25,$I$47)</f>
        <v>0.43945301474254345</v>
      </c>
      <c r="J76" s="455">
        <f>H76*0.75</f>
        <v>0.32958976105690757</v>
      </c>
      <c r="K76" s="455">
        <f>I76*0.75</f>
        <v>0.32958976105690757</v>
      </c>
      <c r="L76" s="651"/>
    </row>
    <row r="77" spans="1:12" x14ac:dyDescent="0.2">
      <c r="A77" s="721" t="s">
        <v>996</v>
      </c>
      <c r="B77" s="655" t="s">
        <v>183</v>
      </c>
      <c r="C77" s="7">
        <f>D26</f>
        <v>1794586.2421419472</v>
      </c>
      <c r="D77" s="7">
        <f>C77-E77</f>
        <v>1793328.3260175455</v>
      </c>
      <c r="E77" s="457">
        <f>G26*I77*1000</f>
        <v>1257.9161244016061</v>
      </c>
      <c r="G77" s="458" t="str">
        <f>H26</f>
        <v>---</v>
      </c>
      <c r="H77" s="455">
        <f>D77/(F26*1000)</f>
        <v>1.3650131929809168</v>
      </c>
      <c r="I77" s="455">
        <f>MIN(I26,$I$47)</f>
        <v>1.3439274833350492</v>
      </c>
      <c r="J77" s="459" t="s">
        <v>88</v>
      </c>
      <c r="K77" s="459" t="s">
        <v>88</v>
      </c>
      <c r="L77" s="649"/>
    </row>
    <row r="78" spans="1:12" x14ac:dyDescent="0.2">
      <c r="A78" s="721" t="s">
        <v>998</v>
      </c>
      <c r="B78" s="655" t="s">
        <v>184</v>
      </c>
      <c r="C78" s="7">
        <f>D27</f>
        <v>10517987.270802611</v>
      </c>
      <c r="D78" s="7">
        <f>C78-E78</f>
        <v>10509686.87442584</v>
      </c>
      <c r="E78" s="457">
        <f>G27*I78*1000</f>
        <v>8300.396376771836</v>
      </c>
      <c r="G78" s="458" t="str">
        <f>H27</f>
        <v>---</v>
      </c>
      <c r="H78" s="455">
        <f>D78/(F27*1000)</f>
        <v>1.1664413120814836</v>
      </c>
      <c r="I78" s="455">
        <f>MIN(I27,$I$47)</f>
        <v>1.1664413120814836</v>
      </c>
      <c r="J78" s="455">
        <f>H78*0.75</f>
        <v>0.8748309840611127</v>
      </c>
      <c r="K78" s="455">
        <f>I78*0.75</f>
        <v>0.8748309840611127</v>
      </c>
      <c r="L78" s="649"/>
    </row>
    <row r="79" spans="1:12" x14ac:dyDescent="0.2">
      <c r="A79" s="721" t="s">
        <v>1000</v>
      </c>
      <c r="B79" s="655" t="s">
        <v>1339</v>
      </c>
      <c r="C79" s="7">
        <f>D28</f>
        <v>922151.63181383524</v>
      </c>
      <c r="D79" s="7">
        <f>C79-E79</f>
        <v>918523.0276088306</v>
      </c>
      <c r="E79" s="457">
        <f>G28*I79*1000</f>
        <v>3628.6042050046331</v>
      </c>
      <c r="G79" s="458" t="str">
        <f>H28</f>
        <v>---</v>
      </c>
      <c r="H79" s="455">
        <f>D79/(F28*1000)</f>
        <v>1.8353091440548761</v>
      </c>
      <c r="I79" s="455">
        <f>MIN(I28,$I$47)</f>
        <v>1.3439274833350492</v>
      </c>
      <c r="J79" s="459" t="s">
        <v>88</v>
      </c>
      <c r="K79" s="459" t="s">
        <v>88</v>
      </c>
      <c r="L79" s="649"/>
    </row>
    <row r="80" spans="1:12" x14ac:dyDescent="0.2">
      <c r="A80" s="721" t="s">
        <v>1002</v>
      </c>
      <c r="B80" s="655" t="s">
        <v>1341</v>
      </c>
      <c r="C80" s="7">
        <f>D29</f>
        <v>2819889.6369728483</v>
      </c>
      <c r="D80" s="7">
        <f>C80-E80</f>
        <v>2819889.6369728483</v>
      </c>
      <c r="E80" s="457">
        <f>F29</f>
        <v>0</v>
      </c>
      <c r="G80" s="458">
        <f>H29</f>
        <v>3.8768545973464083E-3</v>
      </c>
      <c r="H80" s="459" t="s">
        <v>88</v>
      </c>
      <c r="I80" s="459" t="s">
        <v>88</v>
      </c>
      <c r="J80" s="459" t="s">
        <v>88</v>
      </c>
      <c r="K80" s="459" t="s">
        <v>88</v>
      </c>
      <c r="L80" s="649"/>
    </row>
    <row r="81" spans="1:12" x14ac:dyDescent="0.2">
      <c r="A81" s="721" t="s">
        <v>1004</v>
      </c>
      <c r="B81" s="655" t="s">
        <v>1825</v>
      </c>
      <c r="C81" s="458" t="s">
        <v>88</v>
      </c>
      <c r="D81" s="458" t="s">
        <v>88</v>
      </c>
      <c r="E81" s="458" t="s">
        <v>88</v>
      </c>
      <c r="G81" s="458" t="s">
        <v>88</v>
      </c>
      <c r="H81" s="458" t="s">
        <v>88</v>
      </c>
      <c r="I81" s="458" t="s">
        <v>88</v>
      </c>
      <c r="J81" s="458" t="s">
        <v>88</v>
      </c>
      <c r="K81" s="458" t="s">
        <v>88</v>
      </c>
      <c r="L81" s="650" t="s">
        <v>1354</v>
      </c>
    </row>
    <row r="82" spans="1:12" x14ac:dyDescent="0.2">
      <c r="A82" s="721" t="s">
        <v>1006</v>
      </c>
      <c r="B82" s="655" t="s">
        <v>1826</v>
      </c>
      <c r="C82" s="458" t="s">
        <v>88</v>
      </c>
      <c r="D82" s="458" t="s">
        <v>88</v>
      </c>
      <c r="E82" s="458" t="s">
        <v>88</v>
      </c>
      <c r="G82" s="458" t="s">
        <v>88</v>
      </c>
      <c r="H82" s="458" t="s">
        <v>88</v>
      </c>
      <c r="I82" s="458" t="s">
        <v>88</v>
      </c>
      <c r="J82" s="458" t="s">
        <v>88</v>
      </c>
      <c r="K82" s="458" t="s">
        <v>88</v>
      </c>
      <c r="L82" s="650" t="s">
        <v>1354</v>
      </c>
    </row>
    <row r="83" spans="1:12" x14ac:dyDescent="0.2">
      <c r="A83" s="721" t="s">
        <v>1379</v>
      </c>
      <c r="B83" s="655" t="s">
        <v>1842</v>
      </c>
      <c r="C83" s="458" t="s">
        <v>88</v>
      </c>
      <c r="D83" s="458" t="s">
        <v>88</v>
      </c>
      <c r="E83" s="458" t="s">
        <v>88</v>
      </c>
      <c r="G83" s="458" t="s">
        <v>88</v>
      </c>
      <c r="H83" s="458" t="s">
        <v>88</v>
      </c>
      <c r="I83" s="458" t="s">
        <v>88</v>
      </c>
      <c r="J83" s="458" t="s">
        <v>88</v>
      </c>
      <c r="K83" s="458" t="s">
        <v>88</v>
      </c>
      <c r="L83" s="650" t="s">
        <v>1354</v>
      </c>
    </row>
    <row r="84" spans="1:12" ht="15" x14ac:dyDescent="0.25">
      <c r="A84" s="721" t="s">
        <v>1380</v>
      </c>
      <c r="B84" s="655" t="s">
        <v>1836</v>
      </c>
      <c r="C84" s="458" t="s">
        <v>88</v>
      </c>
      <c r="D84" s="458" t="s">
        <v>88</v>
      </c>
      <c r="E84" s="458" t="s">
        <v>88</v>
      </c>
      <c r="G84" s="458" t="s">
        <v>88</v>
      </c>
      <c r="H84" s="458" t="s">
        <v>88</v>
      </c>
      <c r="I84" s="458" t="s">
        <v>88</v>
      </c>
      <c r="J84" s="458" t="s">
        <v>88</v>
      </c>
      <c r="K84" s="458" t="s">
        <v>88</v>
      </c>
      <c r="L84" s="650" t="s">
        <v>1354</v>
      </c>
    </row>
    <row r="85" spans="1:12" ht="15" x14ac:dyDescent="0.25">
      <c r="A85" s="721" t="s">
        <v>1381</v>
      </c>
      <c r="B85" s="655" t="s">
        <v>1843</v>
      </c>
      <c r="C85" s="458" t="s">
        <v>88</v>
      </c>
      <c r="D85" s="458" t="s">
        <v>88</v>
      </c>
      <c r="E85" s="458" t="s">
        <v>88</v>
      </c>
      <c r="G85" s="458" t="s">
        <v>88</v>
      </c>
      <c r="H85" s="458" t="s">
        <v>88</v>
      </c>
      <c r="I85" s="458" t="s">
        <v>88</v>
      </c>
      <c r="J85" s="458" t="s">
        <v>88</v>
      </c>
      <c r="K85" s="458" t="s">
        <v>88</v>
      </c>
      <c r="L85" s="650" t="s">
        <v>1354</v>
      </c>
    </row>
    <row r="86" spans="1:12" x14ac:dyDescent="0.2">
      <c r="A86" s="721" t="s">
        <v>1458</v>
      </c>
      <c r="B86" s="655" t="s">
        <v>1347</v>
      </c>
      <c r="C86" s="458" t="s">
        <v>88</v>
      </c>
      <c r="D86" s="458" t="s">
        <v>88</v>
      </c>
      <c r="E86" s="458" t="s">
        <v>88</v>
      </c>
      <c r="G86" s="458" t="s">
        <v>88</v>
      </c>
      <c r="H86" s="458" t="s">
        <v>88</v>
      </c>
      <c r="I86" s="458" t="s">
        <v>88</v>
      </c>
      <c r="J86" s="458" t="s">
        <v>88</v>
      </c>
      <c r="K86" s="458" t="s">
        <v>88</v>
      </c>
      <c r="L86" s="650" t="s">
        <v>1354</v>
      </c>
    </row>
    <row r="87" spans="1:12" x14ac:dyDescent="0.2">
      <c r="A87" s="721" t="s">
        <v>1382</v>
      </c>
      <c r="B87" s="655" t="s">
        <v>1349</v>
      </c>
      <c r="C87" s="458" t="s">
        <v>88</v>
      </c>
      <c r="D87" s="458" t="s">
        <v>88</v>
      </c>
      <c r="E87" s="458" t="s">
        <v>88</v>
      </c>
      <c r="G87" s="458" t="s">
        <v>88</v>
      </c>
      <c r="H87" s="458" t="s">
        <v>88</v>
      </c>
      <c r="I87" s="458" t="s">
        <v>88</v>
      </c>
      <c r="J87" s="458" t="s">
        <v>88</v>
      </c>
      <c r="K87" s="458" t="s">
        <v>88</v>
      </c>
      <c r="L87" s="650" t="s">
        <v>1354</v>
      </c>
    </row>
    <row r="88" spans="1:12" x14ac:dyDescent="0.2">
      <c r="A88" s="721" t="s">
        <v>1383</v>
      </c>
      <c r="B88" s="806" t="s">
        <v>578</v>
      </c>
      <c r="C88" s="458" t="s">
        <v>88</v>
      </c>
      <c r="D88" s="458" t="s">
        <v>88</v>
      </c>
      <c r="E88" s="458" t="s">
        <v>88</v>
      </c>
      <c r="G88" s="458" t="s">
        <v>88</v>
      </c>
      <c r="H88" s="458" t="s">
        <v>88</v>
      </c>
      <c r="I88" s="458" t="s">
        <v>88</v>
      </c>
      <c r="J88" s="458" t="s">
        <v>88</v>
      </c>
      <c r="K88" s="458" t="s">
        <v>88</v>
      </c>
      <c r="L88" s="649"/>
    </row>
    <row r="89" spans="1:12" x14ac:dyDescent="0.2">
      <c r="A89" s="721">
        <v>25</v>
      </c>
      <c r="B89" s="658" t="s">
        <v>227</v>
      </c>
      <c r="C89" s="446">
        <f>SUM(C66:C73,C76:C80)</f>
        <v>638250567.69217551</v>
      </c>
      <c r="D89" s="446">
        <f>SUM(D66:D73,D76:D80)</f>
        <v>631599731.05873895</v>
      </c>
      <c r="E89" s="446">
        <f>SUM(E66:E73,E76:E80)</f>
        <v>6650836.6334365774</v>
      </c>
      <c r="I89" s="649"/>
      <c r="J89" s="649"/>
      <c r="K89" s="649"/>
      <c r="L89" s="649"/>
    </row>
    <row r="90" spans="1:12" x14ac:dyDescent="0.2">
      <c r="I90" s="649"/>
      <c r="J90" s="649"/>
      <c r="K90" s="649"/>
      <c r="L90" s="649"/>
    </row>
    <row r="91" spans="1:12" x14ac:dyDescent="0.2">
      <c r="A91" s="721">
        <v>26</v>
      </c>
      <c r="B91" s="53" t="s">
        <v>267</v>
      </c>
      <c r="I91" s="649"/>
      <c r="J91" s="649"/>
      <c r="K91" s="649"/>
      <c r="L91" s="649"/>
    </row>
    <row r="92" spans="1:12" x14ac:dyDescent="0.2">
      <c r="B92" s="651" t="s">
        <v>1384</v>
      </c>
      <c r="C92" s="14"/>
      <c r="D92" s="14"/>
      <c r="E92" s="14"/>
      <c r="F92" s="14"/>
      <c r="G92" s="14"/>
      <c r="H92" s="14"/>
      <c r="I92" s="651"/>
      <c r="J92" s="651"/>
      <c r="K92" s="651"/>
      <c r="L92" s="651"/>
    </row>
    <row r="93" spans="1:12" x14ac:dyDescent="0.2">
      <c r="B93" s="651" t="s">
        <v>2741</v>
      </c>
      <c r="C93" s="14"/>
      <c r="D93" s="14"/>
      <c r="E93" s="14"/>
      <c r="F93" s="14"/>
      <c r="G93" s="14"/>
      <c r="H93" s="14"/>
      <c r="I93" s="651"/>
      <c r="J93" s="651"/>
      <c r="K93" s="651"/>
      <c r="L93" s="651"/>
    </row>
    <row r="94" spans="1:12" x14ac:dyDescent="0.2">
      <c r="B94" s="648" t="s">
        <v>2742</v>
      </c>
      <c r="C94" s="14"/>
      <c r="D94" s="14"/>
      <c r="E94" s="14"/>
      <c r="F94" s="14"/>
      <c r="G94" s="14"/>
      <c r="H94" s="14"/>
      <c r="I94" s="651"/>
      <c r="J94" s="651"/>
      <c r="K94" s="651"/>
      <c r="L94" s="651"/>
    </row>
    <row r="95" spans="1:12" x14ac:dyDescent="0.2">
      <c r="B95" s="651" t="s">
        <v>2400</v>
      </c>
      <c r="C95" s="14"/>
      <c r="D95" s="14"/>
      <c r="E95" s="14"/>
      <c r="F95" s="14"/>
      <c r="G95" s="14"/>
      <c r="H95" s="14"/>
      <c r="I95" s="651"/>
      <c r="J95" s="651"/>
      <c r="K95" s="651"/>
      <c r="L95" s="651"/>
    </row>
    <row r="96" spans="1:12" x14ac:dyDescent="0.2">
      <c r="B96" s="651" t="s">
        <v>2401</v>
      </c>
      <c r="C96" s="14"/>
      <c r="D96" s="14"/>
      <c r="E96" s="14"/>
      <c r="F96" s="14"/>
      <c r="G96" s="14"/>
      <c r="H96" s="14"/>
      <c r="I96" s="651"/>
      <c r="J96" s="651"/>
      <c r="K96" s="651"/>
      <c r="L96" s="651"/>
    </row>
    <row r="97" spans="2:12" x14ac:dyDescent="0.2">
      <c r="B97" s="651" t="s">
        <v>1930</v>
      </c>
      <c r="C97" s="14"/>
      <c r="D97" s="14"/>
      <c r="E97" s="14"/>
      <c r="F97" s="14"/>
      <c r="G97" s="14"/>
      <c r="H97" s="14"/>
      <c r="I97" s="651"/>
      <c r="J97" s="651"/>
      <c r="K97" s="651"/>
      <c r="L97" s="651"/>
    </row>
    <row r="98" spans="2:12" x14ac:dyDescent="0.2">
      <c r="B98" s="651" t="s">
        <v>1931</v>
      </c>
      <c r="C98" s="14"/>
      <c r="D98" s="14"/>
      <c r="E98" s="14"/>
      <c r="F98" s="14"/>
      <c r="G98" s="14"/>
      <c r="H98" s="14"/>
      <c r="I98" s="658"/>
      <c r="J98" s="651"/>
      <c r="K98" s="651"/>
      <c r="L98" s="651"/>
    </row>
    <row r="99" spans="2:12" x14ac:dyDescent="0.2">
      <c r="B99" s="648" t="s">
        <v>1932</v>
      </c>
      <c r="C99" s="14"/>
      <c r="D99" s="14"/>
      <c r="E99" s="14"/>
      <c r="F99" s="14"/>
      <c r="G99" s="14"/>
      <c r="H99" s="14"/>
      <c r="I99" s="658"/>
      <c r="J99" s="651"/>
      <c r="K99" s="651"/>
      <c r="L99" s="651"/>
    </row>
    <row r="100" spans="2:12" x14ac:dyDescent="0.2">
      <c r="B100" s="648" t="s">
        <v>1385</v>
      </c>
      <c r="C100" s="14"/>
      <c r="D100" s="14"/>
      <c r="E100" s="14"/>
      <c r="F100" s="14"/>
      <c r="G100" s="14"/>
      <c r="H100" s="14"/>
      <c r="I100" s="658"/>
      <c r="J100" s="651"/>
      <c r="K100" s="651"/>
      <c r="L100" s="651"/>
    </row>
    <row r="101" spans="2:12" x14ac:dyDescent="0.2">
      <c r="B101" s="651" t="s">
        <v>1933</v>
      </c>
      <c r="C101" s="14"/>
      <c r="D101" s="14"/>
      <c r="E101" s="14"/>
      <c r="F101" s="14"/>
      <c r="G101" s="14"/>
      <c r="H101" s="14"/>
      <c r="I101" s="658"/>
      <c r="J101" s="651"/>
      <c r="K101" s="651"/>
      <c r="L101" s="651"/>
    </row>
    <row r="102" spans="2:12" x14ac:dyDescent="0.2">
      <c r="B102" s="651" t="s">
        <v>1478</v>
      </c>
    </row>
    <row r="103" spans="2:12" x14ac:dyDescent="0.2">
      <c r="B103" s="651" t="s">
        <v>1934</v>
      </c>
      <c r="C103" s="14"/>
      <c r="D103" s="14"/>
      <c r="E103" s="14"/>
      <c r="F103" s="14"/>
      <c r="G103" s="14"/>
      <c r="H103" s="14"/>
      <c r="I103" s="651"/>
      <c r="J103" s="651"/>
      <c r="K103" s="651"/>
      <c r="L103" s="651"/>
    </row>
    <row r="104" spans="2:12" x14ac:dyDescent="0.2">
      <c r="B104" s="651" t="s">
        <v>1844</v>
      </c>
      <c r="C104" s="14"/>
      <c r="D104" s="14"/>
      <c r="E104" s="14"/>
      <c r="F104" s="14"/>
      <c r="G104" s="14"/>
      <c r="H104" s="14"/>
      <c r="I104" s="651"/>
      <c r="J104" s="651"/>
      <c r="K104" s="651"/>
      <c r="L104" s="651"/>
    </row>
    <row r="105" spans="2:12" x14ac:dyDescent="0.2">
      <c r="B105" s="651" t="s">
        <v>1935</v>
      </c>
      <c r="C105" s="14"/>
      <c r="D105" s="14"/>
      <c r="E105" s="14"/>
      <c r="F105" s="14"/>
      <c r="G105" s="14"/>
      <c r="H105" s="14"/>
      <c r="I105" s="651"/>
      <c r="J105" s="651"/>
      <c r="K105" s="651"/>
      <c r="L105" s="651"/>
    </row>
    <row r="106" spans="2:12" x14ac:dyDescent="0.2">
      <c r="B106" s="651" t="s">
        <v>1936</v>
      </c>
      <c r="C106" s="14"/>
      <c r="D106" s="14"/>
      <c r="E106" s="14"/>
      <c r="F106" s="14"/>
      <c r="G106" s="14"/>
      <c r="H106" s="14"/>
      <c r="I106" s="651"/>
      <c r="J106" s="651"/>
      <c r="K106" s="651"/>
      <c r="L106" s="651"/>
    </row>
    <row r="107" spans="2:12" x14ac:dyDescent="0.2">
      <c r="B107" s="651" t="s">
        <v>1937</v>
      </c>
      <c r="C107" s="14"/>
      <c r="D107" s="14"/>
      <c r="E107" s="14"/>
      <c r="F107" s="14"/>
      <c r="G107" s="14"/>
      <c r="H107" s="14"/>
      <c r="I107" s="651"/>
      <c r="J107" s="651"/>
      <c r="K107" s="651"/>
      <c r="L107" s="651"/>
    </row>
    <row r="108" spans="2:12" x14ac:dyDescent="0.2">
      <c r="B108" s="651" t="s">
        <v>1938</v>
      </c>
      <c r="C108" s="14"/>
      <c r="D108" s="14"/>
      <c r="E108" s="14"/>
      <c r="F108" s="14"/>
      <c r="G108" s="14"/>
      <c r="H108" s="14"/>
      <c r="I108" s="651"/>
      <c r="J108" s="651"/>
      <c r="K108" s="651"/>
      <c r="L108" s="651"/>
    </row>
    <row r="109" spans="2:12" x14ac:dyDescent="0.2">
      <c r="B109" s="651" t="s">
        <v>1845</v>
      </c>
      <c r="C109" s="14"/>
      <c r="D109" s="14"/>
      <c r="E109" s="14"/>
      <c r="F109" s="14"/>
      <c r="G109" s="14"/>
      <c r="H109" s="14"/>
      <c r="I109" s="651"/>
      <c r="J109" s="651"/>
      <c r="K109" s="651"/>
      <c r="L109" s="651"/>
    </row>
    <row r="110" spans="2:12" x14ac:dyDescent="0.2">
      <c r="B110" s="651" t="s">
        <v>1939</v>
      </c>
      <c r="C110" s="14"/>
      <c r="D110" s="14"/>
      <c r="E110" s="14"/>
      <c r="F110" s="14"/>
      <c r="G110" s="14"/>
      <c r="H110" s="14"/>
      <c r="I110" s="651"/>
      <c r="J110" s="651"/>
      <c r="K110" s="651"/>
      <c r="L110" s="651"/>
    </row>
    <row r="111" spans="2:12" x14ac:dyDescent="0.2">
      <c r="B111" s="651" t="s">
        <v>1846</v>
      </c>
      <c r="C111" s="14"/>
      <c r="D111" s="14"/>
      <c r="E111" s="14"/>
      <c r="F111" s="14"/>
      <c r="G111" s="14"/>
      <c r="H111" s="14"/>
      <c r="I111" s="651"/>
      <c r="J111" s="651"/>
      <c r="K111" s="651"/>
      <c r="L111" s="651"/>
    </row>
    <row r="112" spans="2:12" x14ac:dyDescent="0.2">
      <c r="B112" s="651" t="s">
        <v>1940</v>
      </c>
      <c r="C112" s="14"/>
      <c r="D112" s="14"/>
      <c r="E112" s="14"/>
      <c r="F112" s="14"/>
      <c r="G112" s="14"/>
      <c r="H112" s="14"/>
      <c r="I112" s="651"/>
      <c r="J112" s="651"/>
      <c r="K112" s="651"/>
      <c r="L112" s="651"/>
    </row>
    <row r="113" spans="1:12" x14ac:dyDescent="0.2">
      <c r="B113" s="651" t="s">
        <v>2402</v>
      </c>
      <c r="C113" s="14"/>
      <c r="D113" s="14"/>
      <c r="E113" s="14"/>
      <c r="F113" s="14"/>
      <c r="G113" s="14"/>
      <c r="H113" s="14"/>
      <c r="I113" s="651"/>
      <c r="J113" s="651"/>
      <c r="K113" s="651"/>
      <c r="L113" s="651"/>
    </row>
    <row r="114" spans="1:12" x14ac:dyDescent="0.2">
      <c r="B114" s="651" t="s">
        <v>1941</v>
      </c>
      <c r="C114" s="14"/>
      <c r="D114" s="14"/>
      <c r="E114" s="14"/>
      <c r="F114" s="14"/>
      <c r="G114" s="14"/>
      <c r="H114" s="14"/>
      <c r="I114" s="651"/>
      <c r="J114" s="651"/>
      <c r="K114" s="651"/>
      <c r="L114" s="651"/>
    </row>
    <row r="115" spans="1:12" x14ac:dyDescent="0.2">
      <c r="B115" s="651" t="s">
        <v>1942</v>
      </c>
      <c r="C115" s="14"/>
      <c r="D115" s="14"/>
      <c r="E115" s="14"/>
      <c r="F115" s="14"/>
      <c r="G115" s="14"/>
      <c r="H115" s="14"/>
      <c r="I115" s="14"/>
      <c r="J115" s="14"/>
      <c r="K115" s="14"/>
      <c r="L115" s="14"/>
    </row>
    <row r="116" spans="1:12" x14ac:dyDescent="0.2">
      <c r="B116" s="651" t="s">
        <v>1847</v>
      </c>
      <c r="C116" s="14"/>
      <c r="D116" s="14"/>
      <c r="E116" s="14"/>
      <c r="F116" s="14"/>
      <c r="G116" s="14"/>
      <c r="H116" s="14"/>
      <c r="I116" s="14"/>
      <c r="J116" s="14"/>
      <c r="K116" s="14"/>
      <c r="L116" s="14"/>
    </row>
    <row r="117" spans="1:12" x14ac:dyDescent="0.2">
      <c r="B117" s="651" t="s">
        <v>1943</v>
      </c>
      <c r="C117" s="14"/>
      <c r="D117" s="14"/>
      <c r="E117" s="14"/>
      <c r="F117" s="14"/>
      <c r="G117" s="14"/>
      <c r="H117" s="14"/>
      <c r="I117" s="14"/>
      <c r="J117" s="14"/>
      <c r="K117" s="14"/>
      <c r="L117" s="14"/>
    </row>
    <row r="118" spans="1:12" x14ac:dyDescent="0.2">
      <c r="B118" s="720" t="s">
        <v>1944</v>
      </c>
      <c r="C118" s="14"/>
      <c r="D118" s="14"/>
      <c r="E118" s="14"/>
      <c r="F118" s="14"/>
      <c r="G118" s="14"/>
      <c r="H118" s="14"/>
      <c r="I118" s="14"/>
      <c r="J118" s="14"/>
      <c r="K118" s="14"/>
      <c r="L118" s="14"/>
    </row>
    <row r="119" spans="1:12" x14ac:dyDescent="0.2">
      <c r="B119" s="67"/>
    </row>
    <row r="120" spans="1:12" x14ac:dyDescent="0.2">
      <c r="B120" s="1" t="s">
        <v>1386</v>
      </c>
    </row>
    <row r="122" spans="1:12" x14ac:dyDescent="0.2">
      <c r="B122" s="131" t="s">
        <v>1321</v>
      </c>
      <c r="C122" s="53" t="s">
        <v>1387</v>
      </c>
    </row>
    <row r="123" spans="1:12" x14ac:dyDescent="0.2">
      <c r="A123" s="721" t="s">
        <v>1388</v>
      </c>
      <c r="B123" s="655" t="s">
        <v>177</v>
      </c>
      <c r="C123" s="666" t="s">
        <v>1389</v>
      </c>
      <c r="D123" s="667"/>
      <c r="E123" s="667"/>
      <c r="F123" s="667"/>
      <c r="G123" s="667"/>
      <c r="H123" s="667"/>
    </row>
    <row r="124" spans="1:12" x14ac:dyDescent="0.2">
      <c r="A124" s="721" t="s">
        <v>1390</v>
      </c>
      <c r="B124" s="668" t="s">
        <v>1391</v>
      </c>
      <c r="C124" s="666" t="s">
        <v>1392</v>
      </c>
      <c r="D124" s="667"/>
      <c r="E124" s="667"/>
      <c r="F124" s="667"/>
      <c r="G124" s="667"/>
      <c r="H124" s="667"/>
      <c r="J124" s="658"/>
    </row>
    <row r="125" spans="1:12" x14ac:dyDescent="0.2">
      <c r="A125" s="721" t="s">
        <v>1393</v>
      </c>
      <c r="B125" s="655" t="s">
        <v>178</v>
      </c>
      <c r="C125" s="666" t="s">
        <v>1394</v>
      </c>
      <c r="D125" s="667"/>
      <c r="E125" s="667"/>
      <c r="F125" s="667"/>
      <c r="G125" s="667"/>
      <c r="H125" s="667"/>
      <c r="J125" s="658"/>
    </row>
    <row r="126" spans="1:12" x14ac:dyDescent="0.2">
      <c r="A126" s="721" t="s">
        <v>1395</v>
      </c>
      <c r="B126" s="655" t="s">
        <v>179</v>
      </c>
      <c r="C126" s="666" t="s">
        <v>1396</v>
      </c>
      <c r="D126" s="667"/>
      <c r="E126" s="667"/>
      <c r="F126" s="667"/>
      <c r="G126" s="667"/>
      <c r="H126" s="667"/>
      <c r="J126" s="658"/>
    </row>
    <row r="127" spans="1:12" x14ac:dyDescent="0.2">
      <c r="A127" s="721" t="s">
        <v>1397</v>
      </c>
      <c r="B127" s="655" t="s">
        <v>180</v>
      </c>
      <c r="C127" s="666" t="s">
        <v>1398</v>
      </c>
      <c r="D127" s="667"/>
      <c r="E127" s="667"/>
      <c r="F127" s="667"/>
      <c r="G127" s="667"/>
      <c r="H127" s="667"/>
      <c r="J127" s="658"/>
    </row>
    <row r="128" spans="1:12" x14ac:dyDescent="0.2">
      <c r="A128" s="721" t="s">
        <v>1399</v>
      </c>
      <c r="B128" s="655" t="s">
        <v>181</v>
      </c>
      <c r="C128" s="666" t="s">
        <v>1400</v>
      </c>
      <c r="D128" s="667"/>
      <c r="E128" s="667"/>
      <c r="F128" s="667"/>
      <c r="G128" s="667"/>
      <c r="H128" s="667"/>
      <c r="J128" s="658"/>
    </row>
    <row r="129" spans="1:10" x14ac:dyDescent="0.2">
      <c r="A129" s="721" t="s">
        <v>1401</v>
      </c>
      <c r="B129" s="655" t="s">
        <v>1330</v>
      </c>
      <c r="C129" s="666" t="s">
        <v>1402</v>
      </c>
      <c r="D129" s="667"/>
      <c r="E129" s="667"/>
      <c r="F129" s="667"/>
      <c r="G129" s="667"/>
      <c r="H129" s="667"/>
      <c r="J129" s="658"/>
    </row>
    <row r="130" spans="1:10" x14ac:dyDescent="0.2">
      <c r="A130" s="721" t="s">
        <v>1403</v>
      </c>
      <c r="B130" s="655" t="s">
        <v>1332</v>
      </c>
      <c r="C130" s="666" t="s">
        <v>1402</v>
      </c>
      <c r="D130" s="667"/>
      <c r="E130" s="667"/>
      <c r="F130" s="667"/>
      <c r="G130" s="667"/>
      <c r="H130" s="667"/>
      <c r="J130" s="658"/>
    </row>
    <row r="131" spans="1:10" x14ac:dyDescent="0.2">
      <c r="A131" s="721" t="s">
        <v>1404</v>
      </c>
      <c r="B131" s="655" t="s">
        <v>1376</v>
      </c>
      <c r="C131" s="666" t="s">
        <v>1402</v>
      </c>
      <c r="D131" s="667"/>
      <c r="E131" s="667"/>
      <c r="F131" s="667"/>
      <c r="G131" s="667"/>
      <c r="H131" s="667"/>
      <c r="J131" s="658"/>
    </row>
    <row r="132" spans="1:10" ht="15" x14ac:dyDescent="0.25">
      <c r="A132" s="721" t="s">
        <v>1405</v>
      </c>
      <c r="B132" s="655" t="s">
        <v>1360</v>
      </c>
      <c r="C132" s="666" t="s">
        <v>1402</v>
      </c>
      <c r="D132" s="667"/>
      <c r="E132" s="667"/>
      <c r="F132" s="667"/>
      <c r="G132" s="667"/>
      <c r="H132" s="667"/>
      <c r="J132" s="658"/>
    </row>
    <row r="133" spans="1:10" ht="15" x14ac:dyDescent="0.25">
      <c r="A133" s="721" t="s">
        <v>1406</v>
      </c>
      <c r="B133" s="655" t="s">
        <v>1362</v>
      </c>
      <c r="C133" s="666" t="s">
        <v>1402</v>
      </c>
      <c r="D133" s="667"/>
      <c r="E133" s="667"/>
      <c r="F133" s="667"/>
      <c r="G133" s="667"/>
      <c r="H133" s="667"/>
      <c r="J133" s="658"/>
    </row>
    <row r="134" spans="1:10" x14ac:dyDescent="0.2">
      <c r="A134" s="721" t="s">
        <v>1407</v>
      </c>
      <c r="B134" s="655" t="s">
        <v>182</v>
      </c>
      <c r="C134" s="666" t="s">
        <v>1408</v>
      </c>
      <c r="D134" s="667"/>
      <c r="E134" s="667"/>
      <c r="F134" s="667"/>
      <c r="G134" s="667"/>
      <c r="H134" s="667"/>
      <c r="J134" s="658"/>
    </row>
    <row r="135" spans="1:10" x14ac:dyDescent="0.2">
      <c r="A135" s="721" t="s">
        <v>1409</v>
      </c>
      <c r="B135" s="655" t="s">
        <v>183</v>
      </c>
      <c r="C135" s="666" t="s">
        <v>1410</v>
      </c>
      <c r="D135" s="667"/>
      <c r="E135" s="667"/>
      <c r="F135" s="667"/>
      <c r="G135" s="667"/>
      <c r="H135" s="667"/>
      <c r="J135" s="658"/>
    </row>
    <row r="136" spans="1:10" x14ac:dyDescent="0.2">
      <c r="A136" s="721" t="s">
        <v>1411</v>
      </c>
      <c r="B136" s="655" t="s">
        <v>184</v>
      </c>
      <c r="C136" s="666" t="s">
        <v>1412</v>
      </c>
      <c r="D136" s="667"/>
      <c r="E136" s="667"/>
      <c r="F136" s="667"/>
      <c r="G136" s="667"/>
      <c r="H136" s="667"/>
      <c r="J136" s="658"/>
    </row>
    <row r="137" spans="1:10" x14ac:dyDescent="0.2">
      <c r="A137" s="721" t="s">
        <v>1413</v>
      </c>
      <c r="B137" s="655" t="s">
        <v>1339</v>
      </c>
      <c r="C137" s="666" t="s">
        <v>1414</v>
      </c>
      <c r="D137" s="667"/>
      <c r="E137" s="667"/>
      <c r="F137" s="667"/>
      <c r="G137" s="667"/>
      <c r="H137" s="667"/>
      <c r="J137" s="658"/>
    </row>
    <row r="138" spans="1:10" x14ac:dyDescent="0.2">
      <c r="A138" s="721" t="s">
        <v>1415</v>
      </c>
      <c r="B138" s="655" t="s">
        <v>1341</v>
      </c>
      <c r="C138" s="666" t="s">
        <v>1416</v>
      </c>
      <c r="D138" s="667"/>
      <c r="E138" s="667"/>
      <c r="F138" s="667"/>
      <c r="G138" s="667"/>
      <c r="H138" s="667"/>
      <c r="J138" s="658"/>
    </row>
    <row r="139" spans="1:10" x14ac:dyDescent="0.2">
      <c r="A139" s="721" t="s">
        <v>1417</v>
      </c>
      <c r="B139" s="655" t="s">
        <v>1825</v>
      </c>
      <c r="C139" s="44"/>
      <c r="D139" s="44"/>
      <c r="E139" s="44"/>
      <c r="F139" s="44"/>
      <c r="G139" s="44"/>
      <c r="H139" s="44"/>
      <c r="J139" s="658"/>
    </row>
    <row r="140" spans="1:10" x14ac:dyDescent="0.2">
      <c r="A140" s="721" t="s">
        <v>1418</v>
      </c>
      <c r="B140" s="655" t="s">
        <v>1826</v>
      </c>
      <c r="C140" s="44"/>
      <c r="D140" s="44"/>
      <c r="E140" s="44"/>
      <c r="F140" s="44"/>
      <c r="G140" s="44"/>
      <c r="H140" s="44"/>
      <c r="J140" s="658"/>
    </row>
    <row r="141" spans="1:10" x14ac:dyDescent="0.2">
      <c r="A141" s="721" t="s">
        <v>1419</v>
      </c>
      <c r="B141" s="655" t="s">
        <v>1842</v>
      </c>
      <c r="C141" s="44"/>
      <c r="D141" s="44"/>
      <c r="E141" s="44"/>
      <c r="F141" s="44"/>
      <c r="G141" s="44"/>
      <c r="H141" s="44"/>
      <c r="J141" s="658"/>
    </row>
    <row r="142" spans="1:10" ht="15" x14ac:dyDescent="0.25">
      <c r="A142" s="721" t="s">
        <v>1420</v>
      </c>
      <c r="B142" s="655" t="s">
        <v>1836</v>
      </c>
      <c r="C142" s="44"/>
      <c r="D142" s="44"/>
      <c r="E142" s="44"/>
      <c r="F142" s="44"/>
      <c r="G142" s="44"/>
      <c r="H142" s="44"/>
      <c r="J142" s="658"/>
    </row>
    <row r="143" spans="1:10" ht="15" x14ac:dyDescent="0.25">
      <c r="A143" s="721" t="s">
        <v>1421</v>
      </c>
      <c r="B143" s="655" t="s">
        <v>1843</v>
      </c>
      <c r="C143" s="44"/>
      <c r="D143" s="44"/>
      <c r="E143" s="44"/>
      <c r="F143" s="44"/>
      <c r="G143" s="44"/>
      <c r="H143" s="44"/>
      <c r="J143" s="658"/>
    </row>
    <row r="144" spans="1:10" x14ac:dyDescent="0.2">
      <c r="A144" s="721" t="s">
        <v>1422</v>
      </c>
      <c r="B144" s="655" t="s">
        <v>1347</v>
      </c>
      <c r="C144" s="44"/>
      <c r="D144" s="44"/>
      <c r="E144" s="44"/>
      <c r="F144" s="44"/>
      <c r="G144" s="44"/>
      <c r="H144" s="44"/>
      <c r="J144" s="658"/>
    </row>
    <row r="145" spans="1:12" x14ac:dyDescent="0.2">
      <c r="A145" s="721" t="s">
        <v>1423</v>
      </c>
      <c r="B145" s="655" t="s">
        <v>1349</v>
      </c>
      <c r="C145" s="44"/>
      <c r="D145" s="44"/>
      <c r="E145" s="44"/>
      <c r="F145" s="44"/>
      <c r="G145" s="44"/>
      <c r="H145" s="44"/>
      <c r="J145" s="658"/>
    </row>
    <row r="146" spans="1:12" x14ac:dyDescent="0.2">
      <c r="A146" s="721" t="s">
        <v>1424</v>
      </c>
      <c r="B146" s="806" t="s">
        <v>578</v>
      </c>
      <c r="C146" s="44"/>
      <c r="D146" s="44"/>
      <c r="E146" s="44"/>
      <c r="F146" s="44"/>
      <c r="G146" s="44"/>
      <c r="H146" s="44"/>
      <c r="J146" s="658"/>
    </row>
    <row r="147" spans="1:12" x14ac:dyDescent="0.2">
      <c r="A147" s="721" t="s">
        <v>1425</v>
      </c>
      <c r="B147" s="806" t="s">
        <v>578</v>
      </c>
      <c r="C147" s="44"/>
      <c r="D147" s="44"/>
      <c r="E147" s="44"/>
      <c r="F147" s="44"/>
      <c r="G147" s="44"/>
      <c r="H147" s="44"/>
      <c r="J147" s="658"/>
    </row>
    <row r="148" spans="1:12" x14ac:dyDescent="0.2">
      <c r="A148" s="721" t="s">
        <v>1426</v>
      </c>
      <c r="B148" s="806" t="s">
        <v>578</v>
      </c>
      <c r="C148" s="44"/>
      <c r="D148" s="44"/>
      <c r="E148" s="44"/>
      <c r="F148" s="44"/>
      <c r="G148" s="44"/>
      <c r="H148" s="44"/>
      <c r="J148" s="658"/>
    </row>
    <row r="150" spans="1:12" x14ac:dyDescent="0.2">
      <c r="B150" s="1" t="s">
        <v>1427</v>
      </c>
    </row>
    <row r="151" spans="1:12" x14ac:dyDescent="0.2">
      <c r="F151" s="669"/>
      <c r="G151" s="669"/>
      <c r="H151" s="651"/>
    </row>
    <row r="152" spans="1:12" x14ac:dyDescent="0.2">
      <c r="C152" s="88" t="s">
        <v>406</v>
      </c>
      <c r="D152" s="88" t="s">
        <v>390</v>
      </c>
      <c r="E152" s="88" t="s">
        <v>391</v>
      </c>
      <c r="F152" s="88" t="s">
        <v>392</v>
      </c>
      <c r="G152" s="385" t="s">
        <v>393</v>
      </c>
      <c r="H152" s="385" t="s">
        <v>394</v>
      </c>
      <c r="I152" s="385" t="s">
        <v>395</v>
      </c>
      <c r="J152" s="385" t="s">
        <v>610</v>
      </c>
      <c r="K152" s="385" t="s">
        <v>1059</v>
      </c>
      <c r="L152" s="385" t="s">
        <v>1076</v>
      </c>
    </row>
    <row r="153" spans="1:12" x14ac:dyDescent="0.2">
      <c r="C153" s="88"/>
      <c r="D153" s="88"/>
      <c r="E153" s="88"/>
      <c r="F153" s="1280" t="s">
        <v>1848</v>
      </c>
      <c r="G153" s="385"/>
      <c r="H153" s="1279"/>
      <c r="I153" s="1280" t="s">
        <v>1949</v>
      </c>
      <c r="J153" s="1280" t="s">
        <v>1950</v>
      </c>
      <c r="K153" s="1280" t="s">
        <v>1951</v>
      </c>
      <c r="L153" s="385"/>
    </row>
    <row r="154" spans="1:12" x14ac:dyDescent="0.2">
      <c r="A154" s="722"/>
      <c r="B154" s="722"/>
      <c r="C154" s="88"/>
      <c r="D154" s="88"/>
      <c r="E154" s="88"/>
      <c r="F154" s="1281"/>
      <c r="G154" s="722"/>
      <c r="H154" s="1279"/>
      <c r="I154" s="1280"/>
      <c r="J154" s="1280"/>
      <c r="K154" s="1280"/>
      <c r="L154" s="385"/>
    </row>
    <row r="155" spans="1:12" x14ac:dyDescent="0.2">
      <c r="C155" s="1267" t="s">
        <v>1849</v>
      </c>
      <c r="D155" s="1268"/>
      <c r="E155" s="1268"/>
      <c r="F155" s="1269"/>
      <c r="H155" s="1248" t="s">
        <v>1952</v>
      </c>
      <c r="I155" s="1251" t="s">
        <v>1953</v>
      </c>
      <c r="K155" s="88"/>
      <c r="L155" s="651"/>
    </row>
    <row r="156" spans="1:12" x14ac:dyDescent="0.2">
      <c r="B156" s="1256" t="s">
        <v>1321</v>
      </c>
      <c r="C156" s="1250">
        <v>2007</v>
      </c>
      <c r="D156" s="1250">
        <v>2008</v>
      </c>
      <c r="E156" s="1271">
        <v>2009</v>
      </c>
      <c r="F156" s="1252" t="s">
        <v>1428</v>
      </c>
      <c r="G156" s="1273" t="s">
        <v>1429</v>
      </c>
      <c r="H156" s="1249"/>
      <c r="I156" s="1252"/>
      <c r="J156" s="1254" t="s">
        <v>1850</v>
      </c>
      <c r="K156" s="1254" t="s">
        <v>1322</v>
      </c>
      <c r="L156" s="1254" t="s">
        <v>198</v>
      </c>
    </row>
    <row r="157" spans="1:12" x14ac:dyDescent="0.2">
      <c r="A157" s="55" t="s">
        <v>362</v>
      </c>
      <c r="B157" s="1256"/>
      <c r="C157" s="1270"/>
      <c r="D157" s="1270"/>
      <c r="E157" s="1272"/>
      <c r="F157" s="1253"/>
      <c r="G157" s="1273"/>
      <c r="H157" s="1250"/>
      <c r="I157" s="1253"/>
      <c r="J157" s="1254"/>
      <c r="K157" s="1254"/>
      <c r="L157" s="1254"/>
    </row>
    <row r="158" spans="1:12" x14ac:dyDescent="0.2">
      <c r="A158" s="721" t="s">
        <v>1011</v>
      </c>
      <c r="B158" s="655" t="s">
        <v>177</v>
      </c>
      <c r="C158" s="104">
        <v>63529.220000000008</v>
      </c>
      <c r="D158" s="104">
        <v>70407.09</v>
      </c>
      <c r="E158" s="104">
        <v>68372.98</v>
      </c>
      <c r="F158" s="105">
        <f t="shared" ref="F158:F170" si="9">SUM(C158:E158)/3</f>
        <v>67436.429999999993</v>
      </c>
      <c r="G158" s="670">
        <v>1.0968</v>
      </c>
      <c r="H158" s="104">
        <v>29807.967491289997</v>
      </c>
      <c r="I158" s="105">
        <f t="shared" ref="I158:I170" si="10">E17</f>
        <v>28641.489631946144</v>
      </c>
      <c r="J158" s="105">
        <f>F158*G158/H158*I158</f>
        <v>71069.825775655874</v>
      </c>
      <c r="K158" s="43">
        <f t="shared" ref="K158:K170" si="11">J158/$J$179</f>
        <v>0.387556440649865</v>
      </c>
      <c r="L158" s="465"/>
    </row>
    <row r="159" spans="1:12" x14ac:dyDescent="0.2">
      <c r="A159" s="721" t="s">
        <v>1014</v>
      </c>
      <c r="B159" s="655" t="s">
        <v>178</v>
      </c>
      <c r="C159" s="104">
        <v>11444.489999999998</v>
      </c>
      <c r="D159" s="104">
        <v>11486.249999999998</v>
      </c>
      <c r="E159" s="104">
        <v>10674.880000000001</v>
      </c>
      <c r="F159" s="105">
        <f t="shared" si="9"/>
        <v>11201.873333333331</v>
      </c>
      <c r="G159" s="670">
        <v>1.0971</v>
      </c>
      <c r="H159" s="104">
        <v>4889.5704076666671</v>
      </c>
      <c r="I159" s="105">
        <f t="shared" si="10"/>
        <v>5023.2339715085254</v>
      </c>
      <c r="J159" s="105">
        <f t="shared" ref="J159:J170" si="12">F159*G159/H159*I159</f>
        <v>12625.528760981313</v>
      </c>
      <c r="K159" s="43">
        <f t="shared" si="11"/>
        <v>6.8849261054534525E-2</v>
      </c>
      <c r="L159" s="465"/>
    </row>
    <row r="160" spans="1:12" x14ac:dyDescent="0.2">
      <c r="A160" s="721" t="s">
        <v>1016</v>
      </c>
      <c r="B160" s="655" t="s">
        <v>179</v>
      </c>
      <c r="C160" s="104">
        <v>96.339999999999989</v>
      </c>
      <c r="D160" s="104">
        <v>94.239999999999981</v>
      </c>
      <c r="E160" s="104">
        <v>92.98</v>
      </c>
      <c r="F160" s="105">
        <f t="shared" si="9"/>
        <v>94.52</v>
      </c>
      <c r="G160" s="670">
        <v>1.0982000000000001</v>
      </c>
      <c r="H160" s="104">
        <v>69.071247333333332</v>
      </c>
      <c r="I160" s="105">
        <f t="shared" si="10"/>
        <v>65.636748963418967</v>
      </c>
      <c r="J160" s="105">
        <f t="shared" si="12"/>
        <v>98.640420614135081</v>
      </c>
      <c r="K160" s="43">
        <f t="shared" si="11"/>
        <v>5.3790381361135348E-4</v>
      </c>
      <c r="L160" s="465"/>
    </row>
    <row r="161" spans="1:12" x14ac:dyDescent="0.2">
      <c r="A161" s="721" t="s">
        <v>1018</v>
      </c>
      <c r="B161" s="655" t="s">
        <v>180</v>
      </c>
      <c r="C161" s="104">
        <v>34152.159999999996</v>
      </c>
      <c r="D161" s="104">
        <v>34335.160000000003</v>
      </c>
      <c r="E161" s="104">
        <v>32332.239999999998</v>
      </c>
      <c r="F161" s="105">
        <f t="shared" si="9"/>
        <v>33606.519999999997</v>
      </c>
      <c r="G161" s="670">
        <v>1.0967</v>
      </c>
      <c r="H161" s="104">
        <v>16144.3842</v>
      </c>
      <c r="I161" s="105">
        <f t="shared" si="10"/>
        <v>15702.447280046117</v>
      </c>
      <c r="J161" s="105">
        <f t="shared" si="12"/>
        <v>35847.36568732858</v>
      </c>
      <c r="K161" s="43">
        <f t="shared" si="11"/>
        <v>0.19548208119027086</v>
      </c>
      <c r="L161" s="465"/>
    </row>
    <row r="162" spans="1:12" x14ac:dyDescent="0.2">
      <c r="A162" s="721" t="s">
        <v>1430</v>
      </c>
      <c r="B162" s="655" t="s">
        <v>181</v>
      </c>
      <c r="C162" s="104">
        <v>16915.63</v>
      </c>
      <c r="D162" s="104">
        <v>17094.95</v>
      </c>
      <c r="E162" s="104">
        <v>15963.619999999999</v>
      </c>
      <c r="F162" s="105">
        <f t="shared" si="9"/>
        <v>16658.066666666666</v>
      </c>
      <c r="G162" s="670">
        <v>1.0964</v>
      </c>
      <c r="H162" s="104">
        <v>8669.3031069999997</v>
      </c>
      <c r="I162" s="105">
        <f t="shared" si="10"/>
        <v>8463.0971280422382</v>
      </c>
      <c r="J162" s="105">
        <f t="shared" si="12"/>
        <v>17829.48341567862</v>
      </c>
      <c r="K162" s="43">
        <f t="shared" si="11"/>
        <v>9.7227354306715058E-2</v>
      </c>
      <c r="L162" s="465"/>
    </row>
    <row r="163" spans="1:12" x14ac:dyDescent="0.2">
      <c r="A163" s="721" t="s">
        <v>1431</v>
      </c>
      <c r="B163" s="655" t="s">
        <v>1330</v>
      </c>
      <c r="C163" s="104">
        <v>17615.300000000003</v>
      </c>
      <c r="D163" s="104">
        <v>17453.47</v>
      </c>
      <c r="E163" s="104">
        <v>16216.98</v>
      </c>
      <c r="F163" s="105">
        <f t="shared" si="9"/>
        <v>17095.25</v>
      </c>
      <c r="G163" s="670">
        <v>1.0972999999999999</v>
      </c>
      <c r="H163" s="104">
        <v>9660.1470906666655</v>
      </c>
      <c r="I163" s="105">
        <f t="shared" si="10"/>
        <v>9120.4128520910126</v>
      </c>
      <c r="J163" s="105">
        <f t="shared" si="12"/>
        <v>17710.531474607858</v>
      </c>
      <c r="K163" s="43">
        <f t="shared" si="11"/>
        <v>9.657868814795309E-2</v>
      </c>
      <c r="L163" s="465"/>
    </row>
    <row r="164" spans="1:12" x14ac:dyDescent="0.2">
      <c r="A164" s="721" t="s">
        <v>1432</v>
      </c>
      <c r="B164" s="655" t="s">
        <v>1332</v>
      </c>
      <c r="C164" s="104">
        <v>10944.25</v>
      </c>
      <c r="D164" s="104">
        <v>11197.960000000001</v>
      </c>
      <c r="E164" s="104">
        <v>10768.69</v>
      </c>
      <c r="F164" s="105">
        <f t="shared" si="9"/>
        <v>10970.300000000001</v>
      </c>
      <c r="G164" s="670">
        <v>1.0688500000000001</v>
      </c>
      <c r="H164" s="104">
        <v>6655.8152326666668</v>
      </c>
      <c r="I164" s="105">
        <f t="shared" si="10"/>
        <v>6501.7477598760197</v>
      </c>
      <c r="J164" s="105">
        <f t="shared" si="12"/>
        <v>11454.183204416791</v>
      </c>
      <c r="K164" s="43">
        <f t="shared" si="11"/>
        <v>6.2461704736242823E-2</v>
      </c>
      <c r="L164" s="465"/>
    </row>
    <row r="165" spans="1:12" ht="14.25" x14ac:dyDescent="0.2">
      <c r="A165" s="721" t="s">
        <v>1433</v>
      </c>
      <c r="B165" s="655" t="s">
        <v>1334</v>
      </c>
      <c r="C165" s="104">
        <v>12147.81</v>
      </c>
      <c r="D165" s="104">
        <v>11709.66</v>
      </c>
      <c r="E165" s="104">
        <v>11051.17</v>
      </c>
      <c r="F165" s="105">
        <f t="shared" si="9"/>
        <v>11636.213333333333</v>
      </c>
      <c r="G165" s="670">
        <v>1.0337000000000001</v>
      </c>
      <c r="H165" s="104">
        <v>8249.9042253333337</v>
      </c>
      <c r="I165" s="105">
        <f t="shared" si="10"/>
        <v>7958.5144782319139</v>
      </c>
      <c r="J165" s="105">
        <f t="shared" si="12"/>
        <v>11603.507705844859</v>
      </c>
      <c r="K165" s="43">
        <f t="shared" si="11"/>
        <v>6.3275997885883561E-2</v>
      </c>
      <c r="L165" s="465"/>
    </row>
    <row r="166" spans="1:12" x14ac:dyDescent="0.2">
      <c r="A166" s="721" t="s">
        <v>1434</v>
      </c>
      <c r="B166" s="655" t="s">
        <v>182</v>
      </c>
      <c r="C166" s="104">
        <v>865.74000000000012</v>
      </c>
      <c r="D166" s="104">
        <v>779.17000000000007</v>
      </c>
      <c r="E166" s="104">
        <v>662.66000000000008</v>
      </c>
      <c r="F166" s="105">
        <f t="shared" si="9"/>
        <v>769.19000000000017</v>
      </c>
      <c r="G166" s="670">
        <v>1.0973999999999999</v>
      </c>
      <c r="H166" s="104">
        <v>440.99938166666669</v>
      </c>
      <c r="I166" s="105">
        <f t="shared" si="10"/>
        <v>275.58157070794078</v>
      </c>
      <c r="J166" s="105">
        <f t="shared" si="12"/>
        <v>527.48580372428796</v>
      </c>
      <c r="K166" s="43">
        <f t="shared" si="11"/>
        <v>2.8764742048198971E-3</v>
      </c>
      <c r="L166" s="465"/>
    </row>
    <row r="167" spans="1:12" x14ac:dyDescent="0.2">
      <c r="A167" s="721" t="s">
        <v>1435</v>
      </c>
      <c r="B167" s="655" t="s">
        <v>183</v>
      </c>
      <c r="C167" s="104">
        <v>640.56000000000006</v>
      </c>
      <c r="D167" s="104">
        <v>569.32999999999993</v>
      </c>
      <c r="E167" s="104">
        <v>534.06000000000006</v>
      </c>
      <c r="F167" s="105">
        <f t="shared" si="9"/>
        <v>581.31666666666661</v>
      </c>
      <c r="G167" s="670">
        <v>1.0974999999999999</v>
      </c>
      <c r="H167" s="104">
        <v>355.78561233333329</v>
      </c>
      <c r="I167" s="105">
        <f t="shared" si="10"/>
        <v>287.53750133961745</v>
      </c>
      <c r="J167" s="105">
        <f t="shared" si="12"/>
        <v>515.61247500932564</v>
      </c>
      <c r="K167" s="43">
        <f t="shared" si="11"/>
        <v>2.8117268248282487E-3</v>
      </c>
      <c r="L167" s="465"/>
    </row>
    <row r="168" spans="1:12" x14ac:dyDescent="0.2">
      <c r="A168" s="721" t="s">
        <v>1436</v>
      </c>
      <c r="B168" s="655" t="s">
        <v>184</v>
      </c>
      <c r="C168" s="104">
        <v>1821.0900000000001</v>
      </c>
      <c r="D168" s="104">
        <v>2034.83</v>
      </c>
      <c r="E168" s="104">
        <v>2173.11</v>
      </c>
      <c r="F168" s="105">
        <f t="shared" si="9"/>
        <v>2009.676666666667</v>
      </c>
      <c r="G168" s="670">
        <v>1.097</v>
      </c>
      <c r="H168" s="104">
        <v>1603.7619416666666</v>
      </c>
      <c r="I168" s="105">
        <f t="shared" si="10"/>
        <v>2198.3599766296243</v>
      </c>
      <c r="J168" s="105">
        <f t="shared" si="12"/>
        <v>3021.9809566478079</v>
      </c>
      <c r="K168" s="43">
        <f t="shared" si="11"/>
        <v>1.6479401356169852E-2</v>
      </c>
      <c r="L168" s="465"/>
    </row>
    <row r="169" spans="1:12" x14ac:dyDescent="0.2">
      <c r="A169" s="721" t="s">
        <v>1437</v>
      </c>
      <c r="B169" s="655" t="s">
        <v>1339</v>
      </c>
      <c r="C169" s="104">
        <v>1417.6599999999999</v>
      </c>
      <c r="D169" s="104">
        <v>1231.1099999999999</v>
      </c>
      <c r="E169" s="104">
        <v>1080.3699999999999</v>
      </c>
      <c r="F169" s="105">
        <f t="shared" si="9"/>
        <v>1243.0466666666664</v>
      </c>
      <c r="G169" s="670">
        <v>1.0967</v>
      </c>
      <c r="H169" s="104">
        <v>901.80648233333341</v>
      </c>
      <c r="I169" s="105">
        <f t="shared" si="10"/>
        <v>175.26673544243664</v>
      </c>
      <c r="J169" s="105">
        <f t="shared" si="12"/>
        <v>264.94847338510425</v>
      </c>
      <c r="K169" s="43">
        <f t="shared" si="11"/>
        <v>1.444811299029794E-3</v>
      </c>
      <c r="L169" s="465"/>
    </row>
    <row r="170" spans="1:12" x14ac:dyDescent="0.2">
      <c r="A170" s="721" t="s">
        <v>1438</v>
      </c>
      <c r="B170" s="655" t="s">
        <v>1341</v>
      </c>
      <c r="C170" s="104">
        <v>669.67000000000007</v>
      </c>
      <c r="D170" s="104">
        <v>682</v>
      </c>
      <c r="E170" s="104">
        <v>790.25</v>
      </c>
      <c r="F170" s="671">
        <f t="shared" si="9"/>
        <v>713.97333333333336</v>
      </c>
      <c r="G170" s="670">
        <v>1.1011</v>
      </c>
      <c r="H170" s="104">
        <v>705.78131833333339</v>
      </c>
      <c r="I170" s="105">
        <f t="shared" si="10"/>
        <v>727.36533345949545</v>
      </c>
      <c r="J170" s="105">
        <f t="shared" si="12"/>
        <v>810.19805057533347</v>
      </c>
      <c r="K170" s="43">
        <f t="shared" si="11"/>
        <v>4.4181545300761337E-3</v>
      </c>
      <c r="L170" s="466"/>
    </row>
    <row r="171" spans="1:12" x14ac:dyDescent="0.2">
      <c r="A171" s="721" t="s">
        <v>1439</v>
      </c>
      <c r="B171" s="655" t="s">
        <v>1825</v>
      </c>
      <c r="C171" s="672" t="s">
        <v>88</v>
      </c>
      <c r="D171" s="672" t="s">
        <v>88</v>
      </c>
      <c r="E171" s="672" t="s">
        <v>88</v>
      </c>
      <c r="F171" s="458" t="s">
        <v>88</v>
      </c>
      <c r="G171" s="672" t="s">
        <v>88</v>
      </c>
      <c r="H171" s="723" t="s">
        <v>88</v>
      </c>
      <c r="I171" s="458" t="s">
        <v>88</v>
      </c>
      <c r="J171" s="458" t="s">
        <v>88</v>
      </c>
      <c r="K171" s="458" t="s">
        <v>88</v>
      </c>
      <c r="L171" s="650" t="s">
        <v>1354</v>
      </c>
    </row>
    <row r="172" spans="1:12" x14ac:dyDescent="0.2">
      <c r="A172" s="721" t="s">
        <v>1440</v>
      </c>
      <c r="B172" s="655" t="s">
        <v>1826</v>
      </c>
      <c r="C172" s="672" t="s">
        <v>88</v>
      </c>
      <c r="D172" s="672" t="s">
        <v>88</v>
      </c>
      <c r="E172" s="672" t="s">
        <v>88</v>
      </c>
      <c r="F172" s="458" t="s">
        <v>88</v>
      </c>
      <c r="G172" s="672" t="s">
        <v>88</v>
      </c>
      <c r="H172" s="723" t="s">
        <v>88</v>
      </c>
      <c r="I172" s="458" t="s">
        <v>88</v>
      </c>
      <c r="J172" s="458" t="s">
        <v>88</v>
      </c>
      <c r="K172" s="458" t="s">
        <v>88</v>
      </c>
      <c r="L172" s="650" t="s">
        <v>1354</v>
      </c>
    </row>
    <row r="173" spans="1:12" ht="14.25" x14ac:dyDescent="0.2">
      <c r="A173" s="721" t="s">
        <v>1441</v>
      </c>
      <c r="B173" s="655" t="s">
        <v>1827</v>
      </c>
      <c r="C173" s="672" t="s">
        <v>88</v>
      </c>
      <c r="D173" s="672" t="s">
        <v>88</v>
      </c>
      <c r="E173" s="672" t="s">
        <v>88</v>
      </c>
      <c r="F173" s="458" t="s">
        <v>88</v>
      </c>
      <c r="G173" s="672" t="s">
        <v>88</v>
      </c>
      <c r="H173" s="723" t="s">
        <v>88</v>
      </c>
      <c r="I173" s="458" t="s">
        <v>88</v>
      </c>
      <c r="J173" s="458" t="s">
        <v>88</v>
      </c>
      <c r="K173" s="458" t="s">
        <v>88</v>
      </c>
      <c r="L173" s="650" t="s">
        <v>1354</v>
      </c>
    </row>
    <row r="174" spans="1:12" x14ac:dyDescent="0.2">
      <c r="A174" s="721" t="s">
        <v>1442</v>
      </c>
      <c r="B174" s="655" t="s">
        <v>1347</v>
      </c>
      <c r="C174" s="672" t="s">
        <v>88</v>
      </c>
      <c r="D174" s="672" t="s">
        <v>88</v>
      </c>
      <c r="E174" s="672" t="s">
        <v>88</v>
      </c>
      <c r="F174" s="458" t="s">
        <v>88</v>
      </c>
      <c r="G174" s="672" t="s">
        <v>88</v>
      </c>
      <c r="H174" s="723" t="s">
        <v>88</v>
      </c>
      <c r="I174" s="458" t="s">
        <v>88</v>
      </c>
      <c r="J174" s="458" t="s">
        <v>88</v>
      </c>
      <c r="K174" s="458" t="s">
        <v>88</v>
      </c>
      <c r="L174" s="650" t="s">
        <v>1354</v>
      </c>
    </row>
    <row r="175" spans="1:12" x14ac:dyDescent="0.2">
      <c r="A175" s="721" t="s">
        <v>1443</v>
      </c>
      <c r="B175" s="655" t="s">
        <v>1349</v>
      </c>
      <c r="C175" s="672" t="s">
        <v>88</v>
      </c>
      <c r="D175" s="672" t="s">
        <v>88</v>
      </c>
      <c r="E175" s="672" t="s">
        <v>88</v>
      </c>
      <c r="F175" s="458" t="s">
        <v>88</v>
      </c>
      <c r="G175" s="672" t="s">
        <v>88</v>
      </c>
      <c r="H175" s="723" t="s">
        <v>88</v>
      </c>
      <c r="I175" s="458" t="s">
        <v>88</v>
      </c>
      <c r="J175" s="458" t="s">
        <v>88</v>
      </c>
      <c r="K175" s="458" t="s">
        <v>88</v>
      </c>
      <c r="L175" s="650" t="s">
        <v>1354</v>
      </c>
    </row>
    <row r="176" spans="1:12" x14ac:dyDescent="0.2">
      <c r="A176" s="721" t="s">
        <v>1444</v>
      </c>
      <c r="B176" s="806" t="s">
        <v>578</v>
      </c>
      <c r="C176" s="672" t="s">
        <v>88</v>
      </c>
      <c r="D176" s="672" t="s">
        <v>88</v>
      </c>
      <c r="E176" s="672" t="s">
        <v>88</v>
      </c>
      <c r="F176" s="458" t="s">
        <v>88</v>
      </c>
      <c r="G176" s="672" t="s">
        <v>88</v>
      </c>
      <c r="H176" s="723" t="s">
        <v>88</v>
      </c>
      <c r="I176" s="458" t="s">
        <v>88</v>
      </c>
      <c r="J176" s="458" t="s">
        <v>88</v>
      </c>
      <c r="K176" s="458" t="s">
        <v>88</v>
      </c>
      <c r="L176" s="466"/>
    </row>
    <row r="177" spans="1:12" x14ac:dyDescent="0.2">
      <c r="A177" s="721" t="s">
        <v>1445</v>
      </c>
      <c r="B177" s="806" t="s">
        <v>578</v>
      </c>
      <c r="C177" s="672" t="s">
        <v>88</v>
      </c>
      <c r="D177" s="672" t="s">
        <v>88</v>
      </c>
      <c r="E177" s="672" t="s">
        <v>88</v>
      </c>
      <c r="F177" s="458" t="s">
        <v>88</v>
      </c>
      <c r="G177" s="672" t="s">
        <v>88</v>
      </c>
      <c r="H177" s="723" t="s">
        <v>88</v>
      </c>
      <c r="I177" s="458" t="s">
        <v>88</v>
      </c>
      <c r="J177" s="458" t="s">
        <v>88</v>
      </c>
      <c r="K177" s="458" t="s">
        <v>88</v>
      </c>
      <c r="L177" s="658"/>
    </row>
    <row r="178" spans="1:12" x14ac:dyDescent="0.2">
      <c r="A178" s="721" t="s">
        <v>1446</v>
      </c>
      <c r="B178" s="806" t="s">
        <v>578</v>
      </c>
      <c r="C178" s="672" t="s">
        <v>88</v>
      </c>
      <c r="D178" s="672" t="s">
        <v>88</v>
      </c>
      <c r="E178" s="672" t="s">
        <v>88</v>
      </c>
      <c r="F178" s="458" t="s">
        <v>88</v>
      </c>
      <c r="G178" s="672" t="s">
        <v>88</v>
      </c>
      <c r="H178" s="723" t="s">
        <v>88</v>
      </c>
      <c r="I178" s="458" t="s">
        <v>88</v>
      </c>
      <c r="J178" s="458" t="s">
        <v>88</v>
      </c>
      <c r="K178" s="458" t="s">
        <v>88</v>
      </c>
      <c r="L178" s="658"/>
    </row>
    <row r="179" spans="1:12" x14ac:dyDescent="0.2">
      <c r="A179" s="721">
        <v>29</v>
      </c>
      <c r="B179" s="661" t="s">
        <v>227</v>
      </c>
      <c r="C179" s="447">
        <f>SUM(C158:C170)</f>
        <v>172259.92</v>
      </c>
      <c r="D179" s="447">
        <f>SUM(D158:D170)</f>
        <v>179075.21999999997</v>
      </c>
      <c r="E179" s="447">
        <f>SUM(E158:E170)</f>
        <v>170713.99</v>
      </c>
      <c r="F179" s="447">
        <f>SUM(F158:F170)</f>
        <v>174016.37666666662</v>
      </c>
      <c r="G179" s="445"/>
      <c r="H179" s="447">
        <f>SUM(H158:H170)</f>
        <v>88154.297738289999</v>
      </c>
      <c r="I179" s="447">
        <f>SUM(I158:I170)</f>
        <v>85140.6909682845</v>
      </c>
      <c r="J179" s="447">
        <f>SUM(J158:J170)</f>
        <v>183379.29220446985</v>
      </c>
      <c r="K179" s="467">
        <f>SUM(K158:K170)</f>
        <v>1.0000000000000002</v>
      </c>
    </row>
    <row r="182" spans="1:12" x14ac:dyDescent="0.2">
      <c r="B182" s="1" t="s">
        <v>1851</v>
      </c>
    </row>
    <row r="183" spans="1:12" x14ac:dyDescent="0.2">
      <c r="C183" s="88" t="s">
        <v>406</v>
      </c>
      <c r="D183" s="88" t="s">
        <v>390</v>
      </c>
      <c r="E183" s="88" t="s">
        <v>391</v>
      </c>
      <c r="F183" s="88" t="s">
        <v>392</v>
      </c>
      <c r="G183" s="88" t="s">
        <v>393</v>
      </c>
      <c r="H183" s="88" t="s">
        <v>394</v>
      </c>
    </row>
    <row r="184" spans="1:12" x14ac:dyDescent="0.2">
      <c r="C184" s="1299" t="s">
        <v>1849</v>
      </c>
      <c r="D184" s="1300"/>
      <c r="E184" s="88"/>
      <c r="F184" s="665" t="s">
        <v>1852</v>
      </c>
      <c r="G184" s="665" t="s">
        <v>1853</v>
      </c>
    </row>
    <row r="185" spans="1:12" x14ac:dyDescent="0.2">
      <c r="B185" s="1256" t="s">
        <v>1321</v>
      </c>
      <c r="C185" s="1257" t="s">
        <v>1854</v>
      </c>
      <c r="D185" s="1257" t="s">
        <v>1855</v>
      </c>
      <c r="E185" s="1259" t="s">
        <v>1429</v>
      </c>
      <c r="F185" s="1260" t="s">
        <v>1447</v>
      </c>
      <c r="G185" s="1260"/>
      <c r="H185" s="1301" t="s">
        <v>198</v>
      </c>
    </row>
    <row r="186" spans="1:12" x14ac:dyDescent="0.2">
      <c r="B186" s="1256"/>
      <c r="C186" s="1258"/>
      <c r="D186" s="1258"/>
      <c r="E186" s="1259"/>
      <c r="F186" s="1260" t="s">
        <v>1856</v>
      </c>
      <c r="G186" s="1261" t="s">
        <v>1857</v>
      </c>
      <c r="H186" s="1301"/>
    </row>
    <row r="187" spans="1:12" x14ac:dyDescent="0.2">
      <c r="A187" s="55" t="s">
        <v>362</v>
      </c>
      <c r="B187" s="1256"/>
      <c r="C187" s="1258"/>
      <c r="D187" s="1258"/>
      <c r="E187" s="1259"/>
      <c r="F187" s="1260"/>
      <c r="G187" s="1261"/>
      <c r="H187" s="1301"/>
    </row>
    <row r="188" spans="1:12" x14ac:dyDescent="0.2">
      <c r="A188" s="721" t="s">
        <v>1448</v>
      </c>
      <c r="B188" s="655" t="s">
        <v>1330</v>
      </c>
      <c r="C188" s="104">
        <v>17095.246666666666</v>
      </c>
      <c r="D188" s="104">
        <v>166.45000000000002</v>
      </c>
      <c r="E188" s="670">
        <v>1.0972999999999999</v>
      </c>
      <c r="F188" s="105">
        <f t="shared" ref="F188:G192" si="13">C188*$E188</f>
        <v>18758.614167333333</v>
      </c>
      <c r="G188" s="105">
        <f t="shared" si="13"/>
        <v>182.64558500000001</v>
      </c>
    </row>
    <row r="189" spans="1:12" x14ac:dyDescent="0.2">
      <c r="A189" s="721" t="s">
        <v>1449</v>
      </c>
      <c r="B189" s="655" t="s">
        <v>1332</v>
      </c>
      <c r="C189" s="104">
        <v>10970.383333333333</v>
      </c>
      <c r="D189" s="104">
        <v>459.8533333333333</v>
      </c>
      <c r="E189" s="670">
        <v>1.0688500000000001</v>
      </c>
      <c r="F189" s="105">
        <f t="shared" si="13"/>
        <v>11725.694225833335</v>
      </c>
      <c r="G189" s="105">
        <f t="shared" si="13"/>
        <v>491.51423533333332</v>
      </c>
    </row>
    <row r="190" spans="1:12" ht="14.25" x14ac:dyDescent="0.2">
      <c r="A190" s="721" t="s">
        <v>1450</v>
      </c>
      <c r="B190" s="655" t="s">
        <v>1334</v>
      </c>
      <c r="C190" s="673">
        <v>11636.206666666667</v>
      </c>
      <c r="D190" s="673">
        <v>1203.6400000000001</v>
      </c>
      <c r="E190" s="674">
        <v>1.0337000000000001</v>
      </c>
      <c r="F190" s="662">
        <f t="shared" si="13"/>
        <v>12028.346831333334</v>
      </c>
      <c r="G190" s="662">
        <f t="shared" si="13"/>
        <v>1244.2026680000001</v>
      </c>
    </row>
    <row r="191" spans="1:12" ht="15" x14ac:dyDescent="0.25">
      <c r="A191" s="721" t="s">
        <v>1451</v>
      </c>
      <c r="B191" s="655" t="s">
        <v>1360</v>
      </c>
      <c r="C191" s="104">
        <v>11338.83</v>
      </c>
      <c r="D191" s="104">
        <v>948.60333333333335</v>
      </c>
      <c r="E191" s="670">
        <v>1.0337000000000001</v>
      </c>
      <c r="F191" s="105">
        <f t="shared" si="13"/>
        <v>11720.948571000001</v>
      </c>
      <c r="G191" s="105">
        <f t="shared" si="13"/>
        <v>980.5712656666667</v>
      </c>
    </row>
    <row r="192" spans="1:12" ht="15" x14ac:dyDescent="0.25">
      <c r="A192" s="721" t="s">
        <v>1452</v>
      </c>
      <c r="B192" s="655" t="s">
        <v>1362</v>
      </c>
      <c r="C192" s="104">
        <v>297.37666666666661</v>
      </c>
      <c r="D192" s="104">
        <v>255.03666666666666</v>
      </c>
      <c r="E192" s="670">
        <v>1.0209999999999999</v>
      </c>
      <c r="F192" s="105">
        <f t="shared" si="13"/>
        <v>303.62157666666656</v>
      </c>
      <c r="G192" s="105">
        <f t="shared" si="13"/>
        <v>260.39243666666664</v>
      </c>
      <c r="H192" s="650" t="s">
        <v>1923</v>
      </c>
    </row>
    <row r="193" spans="1:12" x14ac:dyDescent="0.2">
      <c r="A193" s="721" t="s">
        <v>1453</v>
      </c>
      <c r="B193" s="655" t="s">
        <v>1825</v>
      </c>
      <c r="C193" s="672" t="s">
        <v>88</v>
      </c>
      <c r="D193" s="672" t="s">
        <v>88</v>
      </c>
      <c r="E193" s="672" t="s">
        <v>88</v>
      </c>
      <c r="F193" s="458" t="s">
        <v>88</v>
      </c>
      <c r="G193" s="458" t="s">
        <v>88</v>
      </c>
      <c r="H193" s="650" t="s">
        <v>1354</v>
      </c>
    </row>
    <row r="194" spans="1:12" x14ac:dyDescent="0.2">
      <c r="A194" s="721" t="s">
        <v>1454</v>
      </c>
      <c r="B194" s="655" t="s">
        <v>1826</v>
      </c>
      <c r="C194" s="672" t="s">
        <v>88</v>
      </c>
      <c r="D194" s="672" t="s">
        <v>88</v>
      </c>
      <c r="E194" s="672" t="s">
        <v>88</v>
      </c>
      <c r="F194" s="458" t="s">
        <v>88</v>
      </c>
      <c r="G194" s="458" t="s">
        <v>88</v>
      </c>
      <c r="H194" s="650" t="s">
        <v>1354</v>
      </c>
    </row>
    <row r="195" spans="1:12" ht="14.25" x14ac:dyDescent="0.2">
      <c r="A195" s="721" t="s">
        <v>1455</v>
      </c>
      <c r="B195" s="655" t="s">
        <v>1827</v>
      </c>
      <c r="C195" s="672" t="s">
        <v>88</v>
      </c>
      <c r="D195" s="672" t="s">
        <v>88</v>
      </c>
      <c r="E195" s="672" t="s">
        <v>88</v>
      </c>
      <c r="F195" s="458" t="s">
        <v>88</v>
      </c>
      <c r="G195" s="458" t="s">
        <v>88</v>
      </c>
      <c r="H195" s="650" t="s">
        <v>1354</v>
      </c>
    </row>
    <row r="196" spans="1:12" ht="15" x14ac:dyDescent="0.25">
      <c r="A196" s="721" t="s">
        <v>1456</v>
      </c>
      <c r="B196" s="655" t="s">
        <v>1836</v>
      </c>
      <c r="C196" s="672" t="s">
        <v>88</v>
      </c>
      <c r="D196" s="672" t="s">
        <v>88</v>
      </c>
      <c r="E196" s="672" t="s">
        <v>88</v>
      </c>
      <c r="F196" s="458" t="s">
        <v>88</v>
      </c>
      <c r="G196" s="458" t="s">
        <v>88</v>
      </c>
      <c r="H196" s="650" t="s">
        <v>1354</v>
      </c>
    </row>
    <row r="197" spans="1:12" ht="15" x14ac:dyDescent="0.25">
      <c r="A197" s="721" t="s">
        <v>1457</v>
      </c>
      <c r="B197" s="655" t="s">
        <v>1843</v>
      </c>
      <c r="C197" s="672" t="s">
        <v>88</v>
      </c>
      <c r="D197" s="672" t="s">
        <v>88</v>
      </c>
      <c r="E197" s="672" t="s">
        <v>88</v>
      </c>
      <c r="F197" s="458" t="s">
        <v>88</v>
      </c>
      <c r="G197" s="458" t="s">
        <v>88</v>
      </c>
      <c r="H197" s="650" t="s">
        <v>1354</v>
      </c>
    </row>
    <row r="201" spans="1:12" ht="23.25" x14ac:dyDescent="0.35">
      <c r="B201" s="677" t="s">
        <v>2378</v>
      </c>
      <c r="C201" s="676"/>
      <c r="D201" s="676"/>
      <c r="E201" s="676"/>
      <c r="F201" s="676"/>
      <c r="G201" s="676"/>
      <c r="H201" s="676"/>
      <c r="I201" s="676"/>
      <c r="J201" s="676"/>
      <c r="K201" s="676"/>
      <c r="L201" s="676"/>
    </row>
    <row r="202" spans="1:12" ht="25.5" x14ac:dyDescent="0.2">
      <c r="A202" s="55" t="s">
        <v>362</v>
      </c>
      <c r="B202" s="678" t="s">
        <v>1858</v>
      </c>
      <c r="C202" s="1197" t="s">
        <v>1859</v>
      </c>
      <c r="D202" s="1197" t="s">
        <v>1860</v>
      </c>
      <c r="E202" s="1197" t="s">
        <v>1861</v>
      </c>
      <c r="F202" s="1197" t="s">
        <v>1862</v>
      </c>
      <c r="G202" s="1197" t="s">
        <v>1863</v>
      </c>
      <c r="H202" s="1198" t="s">
        <v>2379</v>
      </c>
      <c r="I202" s="1198" t="s">
        <v>2380</v>
      </c>
      <c r="J202" s="1198" t="s">
        <v>2381</v>
      </c>
    </row>
    <row r="203" spans="1:12" x14ac:dyDescent="0.2">
      <c r="B203" s="679"/>
      <c r="C203" s="88" t="s">
        <v>406</v>
      </c>
      <c r="D203" s="88" t="s">
        <v>390</v>
      </c>
      <c r="E203" s="88" t="s">
        <v>391</v>
      </c>
      <c r="F203" s="88" t="s">
        <v>392</v>
      </c>
      <c r="G203" s="88" t="s">
        <v>393</v>
      </c>
      <c r="H203" s="88" t="s">
        <v>394</v>
      </c>
      <c r="I203" s="88" t="s">
        <v>395</v>
      </c>
      <c r="J203" s="88" t="s">
        <v>610</v>
      </c>
    </row>
    <row r="204" spans="1:12" x14ac:dyDescent="0.2">
      <c r="B204" s="680"/>
      <c r="C204" s="1255" t="s">
        <v>1864</v>
      </c>
      <c r="D204" s="1255" t="s">
        <v>1865</v>
      </c>
      <c r="E204" s="1255" t="s">
        <v>1866</v>
      </c>
      <c r="F204" s="1255" t="s">
        <v>1867</v>
      </c>
      <c r="G204" s="1255" t="s">
        <v>1868</v>
      </c>
      <c r="H204" s="1255" t="s">
        <v>1869</v>
      </c>
      <c r="I204" s="1255" t="s">
        <v>1870</v>
      </c>
      <c r="J204" s="1255" t="s">
        <v>1871</v>
      </c>
    </row>
    <row r="205" spans="1:12" x14ac:dyDescent="0.2">
      <c r="B205" s="680"/>
      <c r="C205" s="1255"/>
      <c r="D205" s="1255"/>
      <c r="E205" s="1255"/>
      <c r="F205" s="1255"/>
      <c r="G205" s="1255"/>
      <c r="H205" s="1255"/>
      <c r="I205" s="1255"/>
      <c r="J205" s="1255"/>
    </row>
    <row r="206" spans="1:12" x14ac:dyDescent="0.2">
      <c r="B206" s="680"/>
      <c r="C206" s="676"/>
      <c r="D206" s="676"/>
      <c r="E206" s="676"/>
      <c r="F206" s="676"/>
      <c r="G206" s="676"/>
      <c r="H206" s="676"/>
      <c r="I206" s="676"/>
      <c r="J206" s="676"/>
    </row>
    <row r="207" spans="1:12" x14ac:dyDescent="0.2">
      <c r="A207" s="721" t="s">
        <v>1872</v>
      </c>
      <c r="B207" s="655" t="s">
        <v>177</v>
      </c>
      <c r="C207" s="681">
        <f>C17</f>
        <v>0.387556440649865</v>
      </c>
      <c r="D207" s="682">
        <f>D17</f>
        <v>247358118.25753516</v>
      </c>
      <c r="E207" s="683">
        <f>E17</f>
        <v>28641.489631946144</v>
      </c>
      <c r="F207" s="683">
        <f>F17</f>
        <v>3.8128786907531319E-2</v>
      </c>
      <c r="G207" s="683">
        <f>G17</f>
        <v>1.2E-2</v>
      </c>
      <c r="H207" s="684">
        <f>G66</f>
        <v>8.6363566084089721E-3</v>
      </c>
      <c r="I207" s="676"/>
      <c r="J207" s="676"/>
      <c r="K207" s="684"/>
      <c r="L207" s="676"/>
    </row>
    <row r="208" spans="1:12" x14ac:dyDescent="0.2">
      <c r="D208" s="457"/>
      <c r="E208" s="685"/>
      <c r="F208" s="685"/>
      <c r="G208" s="685"/>
      <c r="H208" s="96"/>
      <c r="I208" s="675"/>
      <c r="J208" s="675"/>
      <c r="K208" s="96"/>
      <c r="L208" s="675"/>
    </row>
    <row r="209" spans="1:12" x14ac:dyDescent="0.2">
      <c r="A209" s="721" t="s">
        <v>1873</v>
      </c>
      <c r="B209" s="655" t="s">
        <v>178</v>
      </c>
      <c r="C209" s="681">
        <f t="shared" ref="C209:G212" si="14">C18</f>
        <v>6.8849261054534525E-2</v>
      </c>
      <c r="D209" s="682">
        <f t="shared" si="14"/>
        <v>43943079.953243434</v>
      </c>
      <c r="E209" s="683">
        <f t="shared" si="14"/>
        <v>5023.2339715085254</v>
      </c>
      <c r="F209" s="683">
        <f t="shared" si="14"/>
        <v>0.1108803563117981</v>
      </c>
      <c r="G209" s="683">
        <f t="shared" si="14"/>
        <v>9.6000000000000002E-2</v>
      </c>
      <c r="H209" s="684">
        <f>G67</f>
        <v>8.7479659921249706E-3</v>
      </c>
      <c r="I209" s="675"/>
      <c r="J209" s="675"/>
      <c r="K209" s="684"/>
      <c r="L209" s="675"/>
    </row>
    <row r="210" spans="1:12" x14ac:dyDescent="0.2">
      <c r="A210" s="721" t="s">
        <v>1874</v>
      </c>
      <c r="B210" s="655" t="s">
        <v>179</v>
      </c>
      <c r="C210" s="681">
        <f t="shared" si="14"/>
        <v>5.3790381361135348E-4</v>
      </c>
      <c r="D210" s="682">
        <f t="shared" si="14"/>
        <v>343317.41440123238</v>
      </c>
      <c r="E210" s="683">
        <f t="shared" si="14"/>
        <v>65.636748963418967</v>
      </c>
      <c r="F210" s="683">
        <f t="shared" si="14"/>
        <v>0</v>
      </c>
      <c r="G210" s="683">
        <f t="shared" si="14"/>
        <v>0</v>
      </c>
      <c r="H210" s="684">
        <f>G68</f>
        <v>5.2305670195909905E-3</v>
      </c>
      <c r="I210" s="676"/>
      <c r="J210" s="676"/>
      <c r="K210" s="684"/>
      <c r="L210" s="676"/>
    </row>
    <row r="211" spans="1:12" x14ac:dyDescent="0.2">
      <c r="A211" s="721" t="s">
        <v>1875</v>
      </c>
      <c r="B211" s="655" t="s">
        <v>180</v>
      </c>
      <c r="C211" s="681">
        <f t="shared" si="14"/>
        <v>0.19548208119027086</v>
      </c>
      <c r="D211" s="682">
        <f t="shared" si="14"/>
        <v>124766549.29333827</v>
      </c>
      <c r="E211" s="683">
        <f t="shared" si="14"/>
        <v>15702.447280046117</v>
      </c>
      <c r="F211" s="683">
        <f t="shared" si="14"/>
        <v>54570.130604294478</v>
      </c>
      <c r="G211" s="683">
        <f t="shared" si="14"/>
        <v>50.597999999999999</v>
      </c>
      <c r="H211" s="686"/>
      <c r="I211" s="687">
        <f>H69</f>
        <v>2.2851063002719503</v>
      </c>
      <c r="J211" s="687">
        <f>I69</f>
        <v>1.3439274833350492</v>
      </c>
      <c r="K211" s="686"/>
      <c r="L211" s="687"/>
    </row>
    <row r="212" spans="1:12" x14ac:dyDescent="0.2">
      <c r="A212" s="721" t="s">
        <v>1876</v>
      </c>
      <c r="B212" s="655" t="s">
        <v>181</v>
      </c>
      <c r="C212" s="681">
        <f t="shared" si="14"/>
        <v>9.7227354306715058E-2</v>
      </c>
      <c r="D212" s="682">
        <f t="shared" si="14"/>
        <v>62055414.081469148</v>
      </c>
      <c r="E212" s="683">
        <f t="shared" si="14"/>
        <v>8463.0971280422382</v>
      </c>
      <c r="F212" s="683">
        <f t="shared" si="14"/>
        <v>24404.800047235876</v>
      </c>
      <c r="G212" s="683">
        <f t="shared" si="14"/>
        <v>89.915999999999997</v>
      </c>
      <c r="H212" s="686"/>
      <c r="I212" s="687">
        <f>H70</f>
        <v>2.5378029476989057</v>
      </c>
      <c r="J212" s="687">
        <f>I70</f>
        <v>1.3439274833350492</v>
      </c>
      <c r="K212" s="686"/>
      <c r="L212" s="687"/>
    </row>
    <row r="213" spans="1:12" x14ac:dyDescent="0.2">
      <c r="D213" s="457"/>
      <c r="E213" s="685"/>
      <c r="F213" s="685"/>
      <c r="G213" s="685"/>
      <c r="H213" s="686"/>
      <c r="I213" s="688"/>
      <c r="J213" s="688"/>
      <c r="K213" s="686"/>
      <c r="L213" s="688"/>
    </row>
    <row r="214" spans="1:12" x14ac:dyDescent="0.2">
      <c r="A214" s="721" t="s">
        <v>1877</v>
      </c>
      <c r="B214" s="655" t="s">
        <v>1330</v>
      </c>
      <c r="C214" s="681">
        <f t="shared" ref="C214:G215" si="15">C22</f>
        <v>9.657868814795309E-2</v>
      </c>
      <c r="D214" s="682">
        <f t="shared" si="15"/>
        <v>61641402.537396617</v>
      </c>
      <c r="E214" s="683">
        <f t="shared" si="15"/>
        <v>9120.4128520910126</v>
      </c>
      <c r="F214" s="683">
        <f t="shared" si="15"/>
        <v>22814.844027793824</v>
      </c>
      <c r="G214" s="683">
        <f t="shared" si="15"/>
        <v>446.58600000000001</v>
      </c>
      <c r="H214" s="689"/>
      <c r="I214" s="687">
        <f>H71</f>
        <v>2.675504739982506</v>
      </c>
      <c r="J214" s="687">
        <f>I71</f>
        <v>1.3439274833350492</v>
      </c>
      <c r="K214" s="689"/>
      <c r="L214" s="687"/>
    </row>
    <row r="215" spans="1:12" x14ac:dyDescent="0.2">
      <c r="A215" s="721" t="s">
        <v>1878</v>
      </c>
      <c r="B215" s="655" t="s">
        <v>1332</v>
      </c>
      <c r="C215" s="1199">
        <f t="shared" si="15"/>
        <v>6.2461704736242823E-2</v>
      </c>
      <c r="D215" s="1200">
        <f t="shared" si="15"/>
        <v>39866218.506928012</v>
      </c>
      <c r="E215" s="1201">
        <f t="shared" si="15"/>
        <v>6501.7477598760197</v>
      </c>
      <c r="F215" s="1201">
        <f t="shared" si="15"/>
        <v>15207.293822000047</v>
      </c>
      <c r="G215" s="1201">
        <f t="shared" si="15"/>
        <v>1297.172</v>
      </c>
      <c r="H215" s="689"/>
      <c r="I215" s="687">
        <f>H72</f>
        <v>2.5116314853949566</v>
      </c>
      <c r="J215" s="687">
        <f>I72</f>
        <v>1.2882644213261483</v>
      </c>
      <c r="K215" s="689"/>
      <c r="L215" s="687"/>
    </row>
    <row r="216" spans="1:12" ht="14.25" x14ac:dyDescent="0.2">
      <c r="A216" s="721" t="s">
        <v>1879</v>
      </c>
      <c r="B216" s="655" t="s">
        <v>1360</v>
      </c>
      <c r="C216" s="1262">
        <f>C24</f>
        <v>6.3275997885883561E-2</v>
      </c>
      <c r="D216" s="1263">
        <f>D24</f>
        <v>40385941.571954064</v>
      </c>
      <c r="E216" s="1264">
        <f>E24</f>
        <v>7958.5144782319139</v>
      </c>
      <c r="F216" s="683">
        <f>F24-F217</f>
        <v>13612.765621743918</v>
      </c>
      <c r="G216" s="683">
        <f>G24-G217</f>
        <v>5483.85</v>
      </c>
      <c r="H216" s="689"/>
      <c r="I216" s="687">
        <f>H74</f>
        <v>2.6490944421252438</v>
      </c>
      <c r="J216" s="687">
        <f>I74</f>
        <v>0.600368456214043</v>
      </c>
      <c r="K216" s="689"/>
      <c r="L216" s="687"/>
    </row>
    <row r="217" spans="1:12" ht="14.25" x14ac:dyDescent="0.2">
      <c r="A217" s="721" t="s">
        <v>1880</v>
      </c>
      <c r="B217" s="655" t="s">
        <v>1362</v>
      </c>
      <c r="C217" s="1262"/>
      <c r="D217" s="1263"/>
      <c r="E217" s="1264"/>
      <c r="F217" s="683">
        <f>J24</f>
        <v>85.668000999999464</v>
      </c>
      <c r="G217" s="683">
        <f>K24</f>
        <v>2050.3319999999999</v>
      </c>
      <c r="H217" s="689"/>
      <c r="I217" s="687">
        <f>H75</f>
        <v>1.7153431289481937</v>
      </c>
      <c r="J217" s="687">
        <f>I75</f>
        <v>0.43171508123718766</v>
      </c>
      <c r="K217" s="689"/>
      <c r="L217" s="687"/>
    </row>
    <row r="218" spans="1:12" x14ac:dyDescent="0.2">
      <c r="C218" s="681"/>
      <c r="D218" s="690"/>
      <c r="E218" s="691"/>
      <c r="F218" s="691"/>
      <c r="G218" s="691"/>
      <c r="H218" s="692"/>
      <c r="I218" s="693"/>
      <c r="J218" s="693"/>
      <c r="K218" s="692"/>
      <c r="L218" s="693"/>
    </row>
    <row r="219" spans="1:12" x14ac:dyDescent="0.2">
      <c r="A219" s="721" t="s">
        <v>1881</v>
      </c>
      <c r="B219" s="655" t="s">
        <v>182</v>
      </c>
      <c r="C219" s="681">
        <f t="shared" ref="C219:G222" si="16">C25</f>
        <v>2.8764742048198971E-3</v>
      </c>
      <c r="D219" s="682">
        <f t="shared" si="16"/>
        <v>1835911.2941781979</v>
      </c>
      <c r="E219" s="683">
        <f t="shared" si="16"/>
        <v>275.58157070794078</v>
      </c>
      <c r="F219" s="683">
        <f t="shared" si="16"/>
        <v>4177.6291931514661</v>
      </c>
      <c r="G219" s="683">
        <f t="shared" si="16"/>
        <v>0.09</v>
      </c>
      <c r="H219" s="692"/>
      <c r="I219" s="687">
        <f t="shared" ref="I219:J222" si="17">H76</f>
        <v>0.43945301474254345</v>
      </c>
      <c r="J219" s="687">
        <f t="shared" si="17"/>
        <v>0.43945301474254345</v>
      </c>
      <c r="K219" s="692"/>
      <c r="L219" s="687"/>
    </row>
    <row r="220" spans="1:12" x14ac:dyDescent="0.2">
      <c r="A220" s="721" t="s">
        <v>1882</v>
      </c>
      <c r="B220" s="655" t="s">
        <v>183</v>
      </c>
      <c r="C220" s="681">
        <f t="shared" si="16"/>
        <v>2.8117268248282487E-3</v>
      </c>
      <c r="D220" s="682">
        <f t="shared" si="16"/>
        <v>1794586.2421419472</v>
      </c>
      <c r="E220" s="683">
        <f t="shared" si="16"/>
        <v>287.53750133961745</v>
      </c>
      <c r="F220" s="683">
        <f t="shared" si="16"/>
        <v>1313.7809474949279</v>
      </c>
      <c r="G220" s="683">
        <f t="shared" si="16"/>
        <v>0.93600000000000005</v>
      </c>
      <c r="H220" s="692"/>
      <c r="I220" s="687">
        <f t="shared" si="17"/>
        <v>1.3650131929809168</v>
      </c>
      <c r="J220" s="687">
        <f t="shared" si="17"/>
        <v>1.3439274833350492</v>
      </c>
      <c r="K220" s="692"/>
      <c r="L220" s="687"/>
    </row>
    <row r="221" spans="1:12" x14ac:dyDescent="0.2">
      <c r="A221" s="721" t="s">
        <v>1883</v>
      </c>
      <c r="B221" s="655" t="s">
        <v>184</v>
      </c>
      <c r="C221" s="681">
        <f t="shared" si="16"/>
        <v>1.6479401356169852E-2</v>
      </c>
      <c r="D221" s="682">
        <f t="shared" si="16"/>
        <v>10517987.270802611</v>
      </c>
      <c r="E221" s="683">
        <f t="shared" si="16"/>
        <v>2198.3599766296243</v>
      </c>
      <c r="F221" s="683">
        <f t="shared" si="16"/>
        <v>9010.043424878002</v>
      </c>
      <c r="G221" s="683">
        <f t="shared" si="16"/>
        <v>7.1159999999999997</v>
      </c>
      <c r="H221" s="692"/>
      <c r="I221" s="687">
        <f t="shared" si="17"/>
        <v>1.1664413120814836</v>
      </c>
      <c r="J221" s="687">
        <f t="shared" si="17"/>
        <v>1.1664413120814836</v>
      </c>
      <c r="K221" s="692"/>
      <c r="L221" s="687"/>
    </row>
    <row r="222" spans="1:12" x14ac:dyDescent="0.2">
      <c r="A222" s="721" t="s">
        <v>1884</v>
      </c>
      <c r="B222" s="655" t="s">
        <v>1339</v>
      </c>
      <c r="C222" s="681">
        <f t="shared" si="16"/>
        <v>1.444811299029794E-3</v>
      </c>
      <c r="D222" s="682">
        <f t="shared" si="16"/>
        <v>922151.63181383524</v>
      </c>
      <c r="E222" s="683">
        <f t="shared" si="16"/>
        <v>175.26673544243664</v>
      </c>
      <c r="F222" s="683">
        <f t="shared" si="16"/>
        <v>500.47319307714764</v>
      </c>
      <c r="G222" s="683">
        <f t="shared" si="16"/>
        <v>2.7</v>
      </c>
      <c r="H222" s="686"/>
      <c r="I222" s="687">
        <f t="shared" si="17"/>
        <v>1.8353091440548761</v>
      </c>
      <c r="J222" s="687">
        <f t="shared" si="17"/>
        <v>1.3439274833350492</v>
      </c>
      <c r="K222" s="686"/>
      <c r="L222" s="687"/>
    </row>
    <row r="223" spans="1:12" x14ac:dyDescent="0.2">
      <c r="D223" s="457"/>
      <c r="E223" s="685"/>
      <c r="F223" s="685"/>
      <c r="G223" s="685"/>
      <c r="H223" s="686"/>
      <c r="I223" s="676"/>
      <c r="J223" s="676"/>
      <c r="K223" s="686"/>
      <c r="L223" s="676"/>
    </row>
    <row r="224" spans="1:12" x14ac:dyDescent="0.2">
      <c r="A224" s="721" t="s">
        <v>1885</v>
      </c>
      <c r="B224" s="655" t="s">
        <v>1341</v>
      </c>
      <c r="C224" s="681">
        <f>C29</f>
        <v>4.4181545300761337E-3</v>
      </c>
      <c r="D224" s="682">
        <f>D29</f>
        <v>2819889.6369728483</v>
      </c>
      <c r="E224" s="683">
        <f>E29</f>
        <v>727.36533345949545</v>
      </c>
      <c r="F224" s="683">
        <f>F29</f>
        <v>0</v>
      </c>
      <c r="G224" s="683">
        <f>G29</f>
        <v>0</v>
      </c>
      <c r="H224" s="684">
        <f>G80</f>
        <v>3.8768545973464083E-3</v>
      </c>
      <c r="I224" s="676"/>
      <c r="J224" s="676"/>
      <c r="K224" s="684"/>
      <c r="L224" s="676"/>
    </row>
    <row r="225" spans="1:10" x14ac:dyDescent="0.2">
      <c r="B225" s="680"/>
      <c r="C225" s="694"/>
      <c r="D225" s="695"/>
      <c r="E225" s="696"/>
      <c r="F225" s="696"/>
      <c r="G225" s="696"/>
      <c r="I225" s="676"/>
      <c r="J225" s="676"/>
    </row>
    <row r="226" spans="1:10" x14ac:dyDescent="0.2">
      <c r="A226" s="721" t="s">
        <v>1886</v>
      </c>
      <c r="B226" s="680" t="s">
        <v>1887</v>
      </c>
      <c r="C226" s="697">
        <f>SUM(C207:C224)</f>
        <v>1.0000000000000002</v>
      </c>
      <c r="D226" s="698">
        <f>SUM(D207:D224)</f>
        <v>638250567.69217551</v>
      </c>
      <c r="E226" s="699">
        <f>SUM(E207:E224)</f>
        <v>85140.6909682845</v>
      </c>
      <c r="F226" s="699">
        <f>SUM(F207:F224)</f>
        <v>145697.57789181289</v>
      </c>
      <c r="G226" s="699">
        <f>SUM(G207:G224)</f>
        <v>9429.4040000000005</v>
      </c>
      <c r="I226" s="676"/>
      <c r="J226" s="700"/>
    </row>
    <row r="227" spans="1:10" x14ac:dyDescent="0.2">
      <c r="D227" s="74"/>
    </row>
    <row r="228" spans="1:10" x14ac:dyDescent="0.2">
      <c r="D228" s="701"/>
      <c r="E228" s="701"/>
      <c r="F228" s="702"/>
    </row>
    <row r="229" spans="1:10" ht="23.25" x14ac:dyDescent="0.35">
      <c r="B229" s="677" t="s">
        <v>2383</v>
      </c>
    </row>
    <row r="230" spans="1:10" ht="51" x14ac:dyDescent="0.2">
      <c r="A230" s="55" t="s">
        <v>362</v>
      </c>
      <c r="B230" s="678" t="s">
        <v>1858</v>
      </c>
      <c r="C230" s="1197" t="s">
        <v>1888</v>
      </c>
      <c r="D230" s="1197" t="s">
        <v>1889</v>
      </c>
      <c r="E230" s="1197" t="s">
        <v>1890</v>
      </c>
      <c r="F230" s="1197" t="s">
        <v>1891</v>
      </c>
    </row>
    <row r="231" spans="1:10" x14ac:dyDescent="0.2">
      <c r="B231" s="680"/>
      <c r="C231" s="88" t="s">
        <v>406</v>
      </c>
      <c r="D231" s="88" t="s">
        <v>390</v>
      </c>
      <c r="E231" s="88" t="s">
        <v>391</v>
      </c>
      <c r="F231" s="88" t="s">
        <v>392</v>
      </c>
    </row>
    <row r="232" spans="1:10" x14ac:dyDescent="0.2">
      <c r="B232" s="680"/>
      <c r="C232" s="1255" t="s">
        <v>1945</v>
      </c>
      <c r="D232" s="1255" t="s">
        <v>1946</v>
      </c>
      <c r="E232" s="1255" t="s">
        <v>1947</v>
      </c>
      <c r="F232" s="1255" t="s">
        <v>1948</v>
      </c>
    </row>
    <row r="233" spans="1:10" x14ac:dyDescent="0.2">
      <c r="B233" s="680"/>
      <c r="C233" s="1255"/>
      <c r="D233" s="1255"/>
      <c r="E233" s="1255"/>
      <c r="F233" s="1255"/>
    </row>
    <row r="234" spans="1:10" x14ac:dyDescent="0.2">
      <c r="B234" s="680"/>
      <c r="D234" s="676"/>
      <c r="E234" s="676"/>
      <c r="F234" s="676"/>
    </row>
    <row r="235" spans="1:10" x14ac:dyDescent="0.2">
      <c r="A235" s="721" t="s">
        <v>1892</v>
      </c>
      <c r="B235" s="655" t="s">
        <v>177</v>
      </c>
      <c r="C235" s="703">
        <f>E207*H207*10^6</f>
        <v>247358118.25753513</v>
      </c>
      <c r="E235" s="704"/>
      <c r="F235" s="703">
        <f>SUM(C235:E235)</f>
        <v>247358118.25753513</v>
      </c>
    </row>
    <row r="236" spans="1:10" x14ac:dyDescent="0.2">
      <c r="D236" s="703"/>
      <c r="E236" s="703"/>
      <c r="F236" s="703"/>
    </row>
    <row r="237" spans="1:10" x14ac:dyDescent="0.2">
      <c r="A237" s="721" t="s">
        <v>1893</v>
      </c>
      <c r="B237" s="655" t="s">
        <v>178</v>
      </c>
      <c r="C237" s="703">
        <f>E209*H209*10^6</f>
        <v>43943079.953243434</v>
      </c>
      <c r="E237" s="703"/>
      <c r="F237" s="703">
        <f>SUM(C237:E237)</f>
        <v>43943079.953243434</v>
      </c>
    </row>
    <row r="238" spans="1:10" x14ac:dyDescent="0.2">
      <c r="A238" s="721" t="s">
        <v>1894</v>
      </c>
      <c r="B238" s="655" t="s">
        <v>179</v>
      </c>
      <c r="C238" s="703">
        <f>E210*H210*10^6</f>
        <v>343317.41440123238</v>
      </c>
      <c r="E238" s="703"/>
      <c r="F238" s="703">
        <f>SUM(C238:E238)</f>
        <v>343317.41440123238</v>
      </c>
    </row>
    <row r="239" spans="1:10" x14ac:dyDescent="0.2">
      <c r="A239" s="721" t="s">
        <v>1895</v>
      </c>
      <c r="B239" s="655" t="s">
        <v>180</v>
      </c>
      <c r="D239" s="703">
        <f>F211*I211*1000</f>
        <v>124698549.25053649</v>
      </c>
      <c r="E239" s="703">
        <f>G211*J211*1000</f>
        <v>68000.042801786825</v>
      </c>
      <c r="F239" s="703">
        <f>SUM(D239:E239)</f>
        <v>124766549.29333827</v>
      </c>
    </row>
    <row r="240" spans="1:10" x14ac:dyDescent="0.2">
      <c r="A240" s="721" t="s">
        <v>1896</v>
      </c>
      <c r="B240" s="655" t="s">
        <v>181</v>
      </c>
      <c r="D240" s="703">
        <f>F212*I212*1000</f>
        <v>61934573.497877605</v>
      </c>
      <c r="E240" s="703">
        <f>G212*J212*1000</f>
        <v>120840.58359155428</v>
      </c>
      <c r="F240" s="703">
        <f>SUM(D240:E240)</f>
        <v>62055414.081469156</v>
      </c>
    </row>
    <row r="241" spans="1:6" x14ac:dyDescent="0.2">
      <c r="D241" s="704"/>
      <c r="E241" s="704"/>
      <c r="F241" s="704"/>
    </row>
    <row r="242" spans="1:6" x14ac:dyDescent="0.2">
      <c r="A242" s="721" t="s">
        <v>1897</v>
      </c>
      <c r="B242" s="655" t="s">
        <v>1330</v>
      </c>
      <c r="D242" s="703">
        <f t="shared" ref="D242:E245" si="18">F214*I214*1000</f>
        <v>61041223.338323943</v>
      </c>
      <c r="E242" s="703">
        <f t="shared" si="18"/>
        <v>600179.19907266623</v>
      </c>
      <c r="F242" s="703">
        <f>SUM(D242:E242)</f>
        <v>61641402.53739661</v>
      </c>
    </row>
    <row r="243" spans="1:6" x14ac:dyDescent="0.2">
      <c r="A243" s="721" t="s">
        <v>1898</v>
      </c>
      <c r="B243" s="655" t="s">
        <v>1332</v>
      </c>
      <c r="D243" s="703">
        <f t="shared" si="18"/>
        <v>38195117.970987521</v>
      </c>
      <c r="E243" s="703">
        <f t="shared" si="18"/>
        <v>1671100.5359404823</v>
      </c>
      <c r="F243" s="703">
        <f>SUM(D243:E243)</f>
        <v>39866218.506928004</v>
      </c>
    </row>
    <row r="244" spans="1:6" ht="14.25" x14ac:dyDescent="0.2">
      <c r="A244" s="721" t="s">
        <v>1899</v>
      </c>
      <c r="B244" s="655" t="s">
        <v>1360</v>
      </c>
      <c r="D244" s="703">
        <f t="shared" si="18"/>
        <v>36061501.750515401</v>
      </c>
      <c r="E244" s="703">
        <f t="shared" si="18"/>
        <v>3292330.5586093799</v>
      </c>
      <c r="F244" s="703">
        <f>SUM(D244:E244)</f>
        <v>39353832.309124783</v>
      </c>
    </row>
    <row r="245" spans="1:6" ht="14.25" x14ac:dyDescent="0.2">
      <c r="A245" s="721" t="s">
        <v>1900</v>
      </c>
      <c r="B245" s="655" t="s">
        <v>1362</v>
      </c>
      <c r="D245" s="703">
        <f t="shared" si="18"/>
        <v>146950.01688607608</v>
      </c>
      <c r="E245" s="703">
        <f t="shared" si="18"/>
        <v>885159.24594320543</v>
      </c>
      <c r="F245" s="703">
        <f>SUM(D245:E245)</f>
        <v>1032109.2628292815</v>
      </c>
    </row>
    <row r="246" spans="1:6" x14ac:dyDescent="0.2">
      <c r="D246" s="703"/>
      <c r="E246" s="703"/>
      <c r="F246" s="703"/>
    </row>
    <row r="247" spans="1:6" x14ac:dyDescent="0.2">
      <c r="A247" s="721" t="s">
        <v>1901</v>
      </c>
      <c r="B247" s="655" t="s">
        <v>182</v>
      </c>
      <c r="D247" s="703">
        <f t="shared" ref="D247:E250" si="19">F219*I219*1000</f>
        <v>1835871.7434068711</v>
      </c>
      <c r="E247" s="703">
        <f t="shared" si="19"/>
        <v>39.550771326828908</v>
      </c>
      <c r="F247" s="703">
        <f>SUM(D247:E247)</f>
        <v>1835911.2941781979</v>
      </c>
    </row>
    <row r="248" spans="1:6" x14ac:dyDescent="0.2">
      <c r="A248" s="721" t="s">
        <v>1902</v>
      </c>
      <c r="B248" s="655" t="s">
        <v>183</v>
      </c>
      <c r="D248" s="703">
        <f t="shared" si="19"/>
        <v>1793328.3260175458</v>
      </c>
      <c r="E248" s="703">
        <f t="shared" si="19"/>
        <v>1257.9161244016061</v>
      </c>
      <c r="F248" s="703">
        <f>SUM(D248:E248)</f>
        <v>1794586.2421419474</v>
      </c>
    </row>
    <row r="249" spans="1:6" x14ac:dyDescent="0.2">
      <c r="A249" s="721" t="s">
        <v>1903</v>
      </c>
      <c r="B249" s="655" t="s">
        <v>184</v>
      </c>
      <c r="D249" s="703">
        <f t="shared" si="19"/>
        <v>10509686.874425841</v>
      </c>
      <c r="E249" s="703">
        <f t="shared" si="19"/>
        <v>8300.396376771836</v>
      </c>
      <c r="F249" s="703">
        <f>SUM(D249:E249)</f>
        <v>10517987.270802613</v>
      </c>
    </row>
    <row r="250" spans="1:6" x14ac:dyDescent="0.2">
      <c r="A250" s="721" t="s">
        <v>1904</v>
      </c>
      <c r="B250" s="655" t="s">
        <v>1339</v>
      </c>
      <c r="D250" s="703">
        <f t="shared" si="19"/>
        <v>918523.0276088306</v>
      </c>
      <c r="E250" s="703">
        <f t="shared" si="19"/>
        <v>3628.6042050046331</v>
      </c>
      <c r="F250" s="703">
        <f>SUM(D250:E250)</f>
        <v>922151.63181383524</v>
      </c>
    </row>
    <row r="251" spans="1:6" x14ac:dyDescent="0.2">
      <c r="D251" s="704"/>
      <c r="E251" s="704"/>
      <c r="F251" s="704"/>
    </row>
    <row r="252" spans="1:6" x14ac:dyDescent="0.2">
      <c r="A252" s="721" t="s">
        <v>1905</v>
      </c>
      <c r="B252" s="655" t="s">
        <v>1341</v>
      </c>
      <c r="C252" s="703">
        <f>E224*H224*10^6</f>
        <v>2819889.6369728483</v>
      </c>
      <c r="E252" s="704"/>
      <c r="F252" s="703">
        <f>SUM(C252:E252)</f>
        <v>2819889.6369728483</v>
      </c>
    </row>
    <row r="253" spans="1:6" x14ac:dyDescent="0.2">
      <c r="B253" s="680"/>
      <c r="D253" s="676"/>
      <c r="E253" s="676"/>
      <c r="F253" s="705"/>
    </row>
    <row r="254" spans="1:6" x14ac:dyDescent="0.2">
      <c r="A254" s="721" t="s">
        <v>1906</v>
      </c>
      <c r="B254" s="680" t="s">
        <v>1887</v>
      </c>
      <c r="C254" s="706">
        <f>SUM(C235:C252)</f>
        <v>294464405.26215267</v>
      </c>
      <c r="D254" s="706">
        <f>SUM(D235:D252)</f>
        <v>337135325.7965861</v>
      </c>
      <c r="E254" s="706">
        <f>SUM(E235:E252)</f>
        <v>6650836.6334365802</v>
      </c>
      <c r="F254" s="706">
        <f>SUM(F235:F252)</f>
        <v>638250567.69217551</v>
      </c>
    </row>
  </sheetData>
  <mergeCells count="80">
    <mergeCell ref="C184:D184"/>
    <mergeCell ref="H185:H187"/>
    <mergeCell ref="C204:C205"/>
    <mergeCell ref="D204:D205"/>
    <mergeCell ref="E204:E205"/>
    <mergeCell ref="F204:F205"/>
    <mergeCell ref="G204:G205"/>
    <mergeCell ref="H204:H205"/>
    <mergeCell ref="J12:K12"/>
    <mergeCell ref="G13:G16"/>
    <mergeCell ref="H13:H16"/>
    <mergeCell ref="I13:I16"/>
    <mergeCell ref="J13:J16"/>
    <mergeCell ref="K13:K16"/>
    <mergeCell ref="E12:G12"/>
    <mergeCell ref="B62:B65"/>
    <mergeCell ref="C62:C65"/>
    <mergeCell ref="D62:D65"/>
    <mergeCell ref="G44:G46"/>
    <mergeCell ref="H44:H46"/>
    <mergeCell ref="G61:K61"/>
    <mergeCell ref="J62:J65"/>
    <mergeCell ref="E62:E65"/>
    <mergeCell ref="G62:G65"/>
    <mergeCell ref="H62:H65"/>
    <mergeCell ref="I62:I65"/>
    <mergeCell ref="B44:B46"/>
    <mergeCell ref="C44:C46"/>
    <mergeCell ref="D44:D46"/>
    <mergeCell ref="E44:E46"/>
    <mergeCell ref="K62:K65"/>
    <mergeCell ref="L13:L16"/>
    <mergeCell ref="F44:F46"/>
    <mergeCell ref="J44:J46"/>
    <mergeCell ref="L62:L65"/>
    <mergeCell ref="J153:J154"/>
    <mergeCell ref="K153:K154"/>
    <mergeCell ref="D13:D16"/>
    <mergeCell ref="E13:E16"/>
    <mergeCell ref="F13:F16"/>
    <mergeCell ref="H153:H154"/>
    <mergeCell ref="I153:I154"/>
    <mergeCell ref="I44:I46"/>
    <mergeCell ref="F153:F154"/>
    <mergeCell ref="K9:K11"/>
    <mergeCell ref="C155:F155"/>
    <mergeCell ref="B156:B157"/>
    <mergeCell ref="C156:C157"/>
    <mergeCell ref="D156:D157"/>
    <mergeCell ref="E156:E157"/>
    <mergeCell ref="F156:F157"/>
    <mergeCell ref="G156:G157"/>
    <mergeCell ref="J156:J157"/>
    <mergeCell ref="D9:D12"/>
    <mergeCell ref="E9:E11"/>
    <mergeCell ref="F9:F11"/>
    <mergeCell ref="G9:G11"/>
    <mergeCell ref="J9:J11"/>
    <mergeCell ref="B13:B16"/>
    <mergeCell ref="C13:C16"/>
    <mergeCell ref="F232:F233"/>
    <mergeCell ref="I204:I205"/>
    <mergeCell ref="B185:B187"/>
    <mergeCell ref="C185:C187"/>
    <mergeCell ref="D185:D187"/>
    <mergeCell ref="E185:E187"/>
    <mergeCell ref="F185:G185"/>
    <mergeCell ref="F186:F187"/>
    <mergeCell ref="G186:G187"/>
    <mergeCell ref="C216:C217"/>
    <mergeCell ref="D216:D217"/>
    <mergeCell ref="E216:E217"/>
    <mergeCell ref="C232:C233"/>
    <mergeCell ref="D232:D233"/>
    <mergeCell ref="E232:E233"/>
    <mergeCell ref="H155:H157"/>
    <mergeCell ref="I155:I157"/>
    <mergeCell ref="K156:K157"/>
    <mergeCell ref="L156:L157"/>
    <mergeCell ref="J204:J205"/>
  </mergeCells>
  <pageMargins left="0.7" right="0.7" top="0.75" bottom="0.75" header="0.3" footer="0.3"/>
  <pageSetup scale="58" orientation="landscape" cellComments="asDisplayed" r:id="rId1"/>
  <headerFooter>
    <oddHeader>&amp;CSchedule 33
Retail Transmission Rates
&amp;"Arial,Bold"Exhibit G-1</oddHeader>
    <oddFooter>&amp;R33-RetailRates</oddFooter>
  </headerFooter>
  <rowBreaks count="4" manualBreakCount="4">
    <brk id="55" max="16383" man="1"/>
    <brk id="119" max="16383" man="1"/>
    <brk id="181" max="16383" man="1"/>
    <brk id="228"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topLeftCell="A20" zoomScale="90" zoomScaleNormal="90" workbookViewId="0">
      <selection activeCell="K33" sqref="K33"/>
    </sheetView>
  </sheetViews>
  <sheetFormatPr defaultRowHeight="12.75" x14ac:dyDescent="0.2"/>
  <cols>
    <col min="1" max="1" width="4.85546875" customWidth="1"/>
    <col min="2" max="2" width="1.7109375" customWidth="1"/>
    <col min="3" max="3" width="46" customWidth="1"/>
    <col min="4" max="4" width="1.7109375" customWidth="1"/>
    <col min="5" max="5" width="34" customWidth="1"/>
    <col min="6" max="6" width="1.7109375" customWidth="1"/>
    <col min="7" max="7" width="16.7109375" customWidth="1"/>
    <col min="8" max="8" width="1.7109375" customWidth="1"/>
    <col min="9" max="9" width="16.7109375" customWidth="1"/>
    <col min="10" max="10" width="1.7109375" customWidth="1"/>
    <col min="11" max="11" width="16.7109375" customWidth="1"/>
    <col min="12" max="12" width="2.85546875" customWidth="1"/>
    <col min="13" max="13" width="35.42578125" bestFit="1" customWidth="1"/>
    <col min="14" max="14" width="20.140625" customWidth="1"/>
    <col min="257" max="257" width="4.85546875" customWidth="1"/>
    <col min="258" max="258" width="1.7109375" customWidth="1"/>
    <col min="259" max="259" width="46" customWidth="1"/>
    <col min="260" max="260" width="1.7109375" customWidth="1"/>
    <col min="261" max="261" width="34" customWidth="1"/>
    <col min="262" max="262" width="1.7109375" customWidth="1"/>
    <col min="263" max="263" width="16" customWidth="1"/>
    <col min="264" max="264" width="1.7109375" customWidth="1"/>
    <col min="265" max="265" width="14" customWidth="1"/>
    <col min="266" max="266" width="1.7109375" customWidth="1"/>
    <col min="267" max="267" width="11.5703125" customWidth="1"/>
    <col min="268" max="268" width="2.85546875" customWidth="1"/>
    <col min="269" max="269" width="35.42578125" bestFit="1" customWidth="1"/>
    <col min="270" max="270" width="20.140625" customWidth="1"/>
    <col min="513" max="513" width="4.85546875" customWidth="1"/>
    <col min="514" max="514" width="1.7109375" customWidth="1"/>
    <col min="515" max="515" width="46" customWidth="1"/>
    <col min="516" max="516" width="1.7109375" customWidth="1"/>
    <col min="517" max="517" width="34" customWidth="1"/>
    <col min="518" max="518" width="1.7109375" customWidth="1"/>
    <col min="519" max="519" width="16" customWidth="1"/>
    <col min="520" max="520" width="1.7109375" customWidth="1"/>
    <col min="521" max="521" width="14" customWidth="1"/>
    <col min="522" max="522" width="1.7109375" customWidth="1"/>
    <col min="523" max="523" width="11.5703125" customWidth="1"/>
    <col min="524" max="524" width="2.85546875" customWidth="1"/>
    <col min="525" max="525" width="35.42578125" bestFit="1" customWidth="1"/>
    <col min="526" max="526" width="20.140625" customWidth="1"/>
    <col min="769" max="769" width="4.85546875" customWidth="1"/>
    <col min="770" max="770" width="1.7109375" customWidth="1"/>
    <col min="771" max="771" width="46" customWidth="1"/>
    <col min="772" max="772" width="1.7109375" customWidth="1"/>
    <col min="773" max="773" width="34" customWidth="1"/>
    <col min="774" max="774" width="1.7109375" customWidth="1"/>
    <col min="775" max="775" width="16" customWidth="1"/>
    <col min="776" max="776" width="1.7109375" customWidth="1"/>
    <col min="777" max="777" width="14" customWidth="1"/>
    <col min="778" max="778" width="1.7109375" customWidth="1"/>
    <col min="779" max="779" width="11.5703125" customWidth="1"/>
    <col min="780" max="780" width="2.85546875" customWidth="1"/>
    <col min="781" max="781" width="35.42578125" bestFit="1" customWidth="1"/>
    <col min="782" max="782" width="20.140625" customWidth="1"/>
    <col min="1025" max="1025" width="4.85546875" customWidth="1"/>
    <col min="1026" max="1026" width="1.7109375" customWidth="1"/>
    <col min="1027" max="1027" width="46" customWidth="1"/>
    <col min="1028" max="1028" width="1.7109375" customWidth="1"/>
    <col min="1029" max="1029" width="34" customWidth="1"/>
    <col min="1030" max="1030" width="1.7109375" customWidth="1"/>
    <col min="1031" max="1031" width="16" customWidth="1"/>
    <col min="1032" max="1032" width="1.7109375" customWidth="1"/>
    <col min="1033" max="1033" width="14" customWidth="1"/>
    <col min="1034" max="1034" width="1.7109375" customWidth="1"/>
    <col min="1035" max="1035" width="11.5703125" customWidth="1"/>
    <col min="1036" max="1036" width="2.85546875" customWidth="1"/>
    <col min="1037" max="1037" width="35.42578125" bestFit="1" customWidth="1"/>
    <col min="1038" max="1038" width="20.140625" customWidth="1"/>
    <col min="1281" max="1281" width="4.85546875" customWidth="1"/>
    <col min="1282" max="1282" width="1.7109375" customWidth="1"/>
    <col min="1283" max="1283" width="46" customWidth="1"/>
    <col min="1284" max="1284" width="1.7109375" customWidth="1"/>
    <col min="1285" max="1285" width="34" customWidth="1"/>
    <col min="1286" max="1286" width="1.7109375" customWidth="1"/>
    <col min="1287" max="1287" width="16" customWidth="1"/>
    <col min="1288" max="1288" width="1.7109375" customWidth="1"/>
    <col min="1289" max="1289" width="14" customWidth="1"/>
    <col min="1290" max="1290" width="1.7109375" customWidth="1"/>
    <col min="1291" max="1291" width="11.5703125" customWidth="1"/>
    <col min="1292" max="1292" width="2.85546875" customWidth="1"/>
    <col min="1293" max="1293" width="35.42578125" bestFit="1" customWidth="1"/>
    <col min="1294" max="1294" width="20.140625" customWidth="1"/>
    <col min="1537" max="1537" width="4.85546875" customWidth="1"/>
    <col min="1538" max="1538" width="1.7109375" customWidth="1"/>
    <col min="1539" max="1539" width="46" customWidth="1"/>
    <col min="1540" max="1540" width="1.7109375" customWidth="1"/>
    <col min="1541" max="1541" width="34" customWidth="1"/>
    <col min="1542" max="1542" width="1.7109375" customWidth="1"/>
    <col min="1543" max="1543" width="16" customWidth="1"/>
    <col min="1544" max="1544" width="1.7109375" customWidth="1"/>
    <col min="1545" max="1545" width="14" customWidth="1"/>
    <col min="1546" max="1546" width="1.7109375" customWidth="1"/>
    <col min="1547" max="1547" width="11.5703125" customWidth="1"/>
    <col min="1548" max="1548" width="2.85546875" customWidth="1"/>
    <col min="1549" max="1549" width="35.42578125" bestFit="1" customWidth="1"/>
    <col min="1550" max="1550" width="20.140625" customWidth="1"/>
    <col min="1793" max="1793" width="4.85546875" customWidth="1"/>
    <col min="1794" max="1794" width="1.7109375" customWidth="1"/>
    <col min="1795" max="1795" width="46" customWidth="1"/>
    <col min="1796" max="1796" width="1.7109375" customWidth="1"/>
    <col min="1797" max="1797" width="34" customWidth="1"/>
    <col min="1798" max="1798" width="1.7109375" customWidth="1"/>
    <col min="1799" max="1799" width="16" customWidth="1"/>
    <col min="1800" max="1800" width="1.7109375" customWidth="1"/>
    <col min="1801" max="1801" width="14" customWidth="1"/>
    <col min="1802" max="1802" width="1.7109375" customWidth="1"/>
    <col min="1803" max="1803" width="11.5703125" customWidth="1"/>
    <col min="1804" max="1804" width="2.85546875" customWidth="1"/>
    <col min="1805" max="1805" width="35.42578125" bestFit="1" customWidth="1"/>
    <col min="1806" max="1806" width="20.140625" customWidth="1"/>
    <col min="2049" max="2049" width="4.85546875" customWidth="1"/>
    <col min="2050" max="2050" width="1.7109375" customWidth="1"/>
    <col min="2051" max="2051" width="46" customWidth="1"/>
    <col min="2052" max="2052" width="1.7109375" customWidth="1"/>
    <col min="2053" max="2053" width="34" customWidth="1"/>
    <col min="2054" max="2054" width="1.7109375" customWidth="1"/>
    <col min="2055" max="2055" width="16" customWidth="1"/>
    <col min="2056" max="2056" width="1.7109375" customWidth="1"/>
    <col min="2057" max="2057" width="14" customWidth="1"/>
    <col min="2058" max="2058" width="1.7109375" customWidth="1"/>
    <col min="2059" max="2059" width="11.5703125" customWidth="1"/>
    <col min="2060" max="2060" width="2.85546875" customWidth="1"/>
    <col min="2061" max="2061" width="35.42578125" bestFit="1" customWidth="1"/>
    <col min="2062" max="2062" width="20.140625" customWidth="1"/>
    <col min="2305" max="2305" width="4.85546875" customWidth="1"/>
    <col min="2306" max="2306" width="1.7109375" customWidth="1"/>
    <col min="2307" max="2307" width="46" customWidth="1"/>
    <col min="2308" max="2308" width="1.7109375" customWidth="1"/>
    <col min="2309" max="2309" width="34" customWidth="1"/>
    <col min="2310" max="2310" width="1.7109375" customWidth="1"/>
    <col min="2311" max="2311" width="16" customWidth="1"/>
    <col min="2312" max="2312" width="1.7109375" customWidth="1"/>
    <col min="2313" max="2313" width="14" customWidth="1"/>
    <col min="2314" max="2314" width="1.7109375" customWidth="1"/>
    <col min="2315" max="2315" width="11.5703125" customWidth="1"/>
    <col min="2316" max="2316" width="2.85546875" customWidth="1"/>
    <col min="2317" max="2317" width="35.42578125" bestFit="1" customWidth="1"/>
    <col min="2318" max="2318" width="20.140625" customWidth="1"/>
    <col min="2561" max="2561" width="4.85546875" customWidth="1"/>
    <col min="2562" max="2562" width="1.7109375" customWidth="1"/>
    <col min="2563" max="2563" width="46" customWidth="1"/>
    <col min="2564" max="2564" width="1.7109375" customWidth="1"/>
    <col min="2565" max="2565" width="34" customWidth="1"/>
    <col min="2566" max="2566" width="1.7109375" customWidth="1"/>
    <col min="2567" max="2567" width="16" customWidth="1"/>
    <col min="2568" max="2568" width="1.7109375" customWidth="1"/>
    <col min="2569" max="2569" width="14" customWidth="1"/>
    <col min="2570" max="2570" width="1.7109375" customWidth="1"/>
    <col min="2571" max="2571" width="11.5703125" customWidth="1"/>
    <col min="2572" max="2572" width="2.85546875" customWidth="1"/>
    <col min="2573" max="2573" width="35.42578125" bestFit="1" customWidth="1"/>
    <col min="2574" max="2574" width="20.140625" customWidth="1"/>
    <col min="2817" max="2817" width="4.85546875" customWidth="1"/>
    <col min="2818" max="2818" width="1.7109375" customWidth="1"/>
    <col min="2819" max="2819" width="46" customWidth="1"/>
    <col min="2820" max="2820" width="1.7109375" customWidth="1"/>
    <col min="2821" max="2821" width="34" customWidth="1"/>
    <col min="2822" max="2822" width="1.7109375" customWidth="1"/>
    <col min="2823" max="2823" width="16" customWidth="1"/>
    <col min="2824" max="2824" width="1.7109375" customWidth="1"/>
    <col min="2825" max="2825" width="14" customWidth="1"/>
    <col min="2826" max="2826" width="1.7109375" customWidth="1"/>
    <col min="2827" max="2827" width="11.5703125" customWidth="1"/>
    <col min="2828" max="2828" width="2.85546875" customWidth="1"/>
    <col min="2829" max="2829" width="35.42578125" bestFit="1" customWidth="1"/>
    <col min="2830" max="2830" width="20.140625" customWidth="1"/>
    <col min="3073" max="3073" width="4.85546875" customWidth="1"/>
    <col min="3074" max="3074" width="1.7109375" customWidth="1"/>
    <col min="3075" max="3075" width="46" customWidth="1"/>
    <col min="3076" max="3076" width="1.7109375" customWidth="1"/>
    <col min="3077" max="3077" width="34" customWidth="1"/>
    <col min="3078" max="3078" width="1.7109375" customWidth="1"/>
    <col min="3079" max="3079" width="16" customWidth="1"/>
    <col min="3080" max="3080" width="1.7109375" customWidth="1"/>
    <col min="3081" max="3081" width="14" customWidth="1"/>
    <col min="3082" max="3082" width="1.7109375" customWidth="1"/>
    <col min="3083" max="3083" width="11.5703125" customWidth="1"/>
    <col min="3084" max="3084" width="2.85546875" customWidth="1"/>
    <col min="3085" max="3085" width="35.42578125" bestFit="1" customWidth="1"/>
    <col min="3086" max="3086" width="20.140625" customWidth="1"/>
    <col min="3329" max="3329" width="4.85546875" customWidth="1"/>
    <col min="3330" max="3330" width="1.7109375" customWidth="1"/>
    <col min="3331" max="3331" width="46" customWidth="1"/>
    <col min="3332" max="3332" width="1.7109375" customWidth="1"/>
    <col min="3333" max="3333" width="34" customWidth="1"/>
    <col min="3334" max="3334" width="1.7109375" customWidth="1"/>
    <col min="3335" max="3335" width="16" customWidth="1"/>
    <col min="3336" max="3336" width="1.7109375" customWidth="1"/>
    <col min="3337" max="3337" width="14" customWidth="1"/>
    <col min="3338" max="3338" width="1.7109375" customWidth="1"/>
    <col min="3339" max="3339" width="11.5703125" customWidth="1"/>
    <col min="3340" max="3340" width="2.85546875" customWidth="1"/>
    <col min="3341" max="3341" width="35.42578125" bestFit="1" customWidth="1"/>
    <col min="3342" max="3342" width="20.140625" customWidth="1"/>
    <col min="3585" max="3585" width="4.85546875" customWidth="1"/>
    <col min="3586" max="3586" width="1.7109375" customWidth="1"/>
    <col min="3587" max="3587" width="46" customWidth="1"/>
    <col min="3588" max="3588" width="1.7109375" customWidth="1"/>
    <col min="3589" max="3589" width="34" customWidth="1"/>
    <col min="3590" max="3590" width="1.7109375" customWidth="1"/>
    <col min="3591" max="3591" width="16" customWidth="1"/>
    <col min="3592" max="3592" width="1.7109375" customWidth="1"/>
    <col min="3593" max="3593" width="14" customWidth="1"/>
    <col min="3594" max="3594" width="1.7109375" customWidth="1"/>
    <col min="3595" max="3595" width="11.5703125" customWidth="1"/>
    <col min="3596" max="3596" width="2.85546875" customWidth="1"/>
    <col min="3597" max="3597" width="35.42578125" bestFit="1" customWidth="1"/>
    <col min="3598" max="3598" width="20.140625" customWidth="1"/>
    <col min="3841" max="3841" width="4.85546875" customWidth="1"/>
    <col min="3842" max="3842" width="1.7109375" customWidth="1"/>
    <col min="3843" max="3843" width="46" customWidth="1"/>
    <col min="3844" max="3844" width="1.7109375" customWidth="1"/>
    <col min="3845" max="3845" width="34" customWidth="1"/>
    <col min="3846" max="3846" width="1.7109375" customWidth="1"/>
    <col min="3847" max="3847" width="16" customWidth="1"/>
    <col min="3848" max="3848" width="1.7109375" customWidth="1"/>
    <col min="3849" max="3849" width="14" customWidth="1"/>
    <col min="3850" max="3850" width="1.7109375" customWidth="1"/>
    <col min="3851" max="3851" width="11.5703125" customWidth="1"/>
    <col min="3852" max="3852" width="2.85546875" customWidth="1"/>
    <col min="3853" max="3853" width="35.42578125" bestFit="1" customWidth="1"/>
    <col min="3854" max="3854" width="20.140625" customWidth="1"/>
    <col min="4097" max="4097" width="4.85546875" customWidth="1"/>
    <col min="4098" max="4098" width="1.7109375" customWidth="1"/>
    <col min="4099" max="4099" width="46" customWidth="1"/>
    <col min="4100" max="4100" width="1.7109375" customWidth="1"/>
    <col min="4101" max="4101" width="34" customWidth="1"/>
    <col min="4102" max="4102" width="1.7109375" customWidth="1"/>
    <col min="4103" max="4103" width="16" customWidth="1"/>
    <col min="4104" max="4104" width="1.7109375" customWidth="1"/>
    <col min="4105" max="4105" width="14" customWidth="1"/>
    <col min="4106" max="4106" width="1.7109375" customWidth="1"/>
    <col min="4107" max="4107" width="11.5703125" customWidth="1"/>
    <col min="4108" max="4108" width="2.85546875" customWidth="1"/>
    <col min="4109" max="4109" width="35.42578125" bestFit="1" customWidth="1"/>
    <col min="4110" max="4110" width="20.140625" customWidth="1"/>
    <col min="4353" max="4353" width="4.85546875" customWidth="1"/>
    <col min="4354" max="4354" width="1.7109375" customWidth="1"/>
    <col min="4355" max="4355" width="46" customWidth="1"/>
    <col min="4356" max="4356" width="1.7109375" customWidth="1"/>
    <col min="4357" max="4357" width="34" customWidth="1"/>
    <col min="4358" max="4358" width="1.7109375" customWidth="1"/>
    <col min="4359" max="4359" width="16" customWidth="1"/>
    <col min="4360" max="4360" width="1.7109375" customWidth="1"/>
    <col min="4361" max="4361" width="14" customWidth="1"/>
    <col min="4362" max="4362" width="1.7109375" customWidth="1"/>
    <col min="4363" max="4363" width="11.5703125" customWidth="1"/>
    <col min="4364" max="4364" width="2.85546875" customWidth="1"/>
    <col min="4365" max="4365" width="35.42578125" bestFit="1" customWidth="1"/>
    <col min="4366" max="4366" width="20.140625" customWidth="1"/>
    <col min="4609" max="4609" width="4.85546875" customWidth="1"/>
    <col min="4610" max="4610" width="1.7109375" customWidth="1"/>
    <col min="4611" max="4611" width="46" customWidth="1"/>
    <col min="4612" max="4612" width="1.7109375" customWidth="1"/>
    <col min="4613" max="4613" width="34" customWidth="1"/>
    <col min="4614" max="4614" width="1.7109375" customWidth="1"/>
    <col min="4615" max="4615" width="16" customWidth="1"/>
    <col min="4616" max="4616" width="1.7109375" customWidth="1"/>
    <col min="4617" max="4617" width="14" customWidth="1"/>
    <col min="4618" max="4618" width="1.7109375" customWidth="1"/>
    <col min="4619" max="4619" width="11.5703125" customWidth="1"/>
    <col min="4620" max="4620" width="2.85546875" customWidth="1"/>
    <col min="4621" max="4621" width="35.42578125" bestFit="1" customWidth="1"/>
    <col min="4622" max="4622" width="20.140625" customWidth="1"/>
    <col min="4865" max="4865" width="4.85546875" customWidth="1"/>
    <col min="4866" max="4866" width="1.7109375" customWidth="1"/>
    <col min="4867" max="4867" width="46" customWidth="1"/>
    <col min="4868" max="4868" width="1.7109375" customWidth="1"/>
    <col min="4869" max="4869" width="34" customWidth="1"/>
    <col min="4870" max="4870" width="1.7109375" customWidth="1"/>
    <col min="4871" max="4871" width="16" customWidth="1"/>
    <col min="4872" max="4872" width="1.7109375" customWidth="1"/>
    <col min="4873" max="4873" width="14" customWidth="1"/>
    <col min="4874" max="4874" width="1.7109375" customWidth="1"/>
    <col min="4875" max="4875" width="11.5703125" customWidth="1"/>
    <col min="4876" max="4876" width="2.85546875" customWidth="1"/>
    <col min="4877" max="4877" width="35.42578125" bestFit="1" customWidth="1"/>
    <col min="4878" max="4878" width="20.140625" customWidth="1"/>
    <col min="5121" max="5121" width="4.85546875" customWidth="1"/>
    <col min="5122" max="5122" width="1.7109375" customWidth="1"/>
    <col min="5123" max="5123" width="46" customWidth="1"/>
    <col min="5124" max="5124" width="1.7109375" customWidth="1"/>
    <col min="5125" max="5125" width="34" customWidth="1"/>
    <col min="5126" max="5126" width="1.7109375" customWidth="1"/>
    <col min="5127" max="5127" width="16" customWidth="1"/>
    <col min="5128" max="5128" width="1.7109375" customWidth="1"/>
    <col min="5129" max="5129" width="14" customWidth="1"/>
    <col min="5130" max="5130" width="1.7109375" customWidth="1"/>
    <col min="5131" max="5131" width="11.5703125" customWidth="1"/>
    <col min="5132" max="5132" width="2.85546875" customWidth="1"/>
    <col min="5133" max="5133" width="35.42578125" bestFit="1" customWidth="1"/>
    <col min="5134" max="5134" width="20.140625" customWidth="1"/>
    <col min="5377" max="5377" width="4.85546875" customWidth="1"/>
    <col min="5378" max="5378" width="1.7109375" customWidth="1"/>
    <col min="5379" max="5379" width="46" customWidth="1"/>
    <col min="5380" max="5380" width="1.7109375" customWidth="1"/>
    <col min="5381" max="5381" width="34" customWidth="1"/>
    <col min="5382" max="5382" width="1.7109375" customWidth="1"/>
    <col min="5383" max="5383" width="16" customWidth="1"/>
    <col min="5384" max="5384" width="1.7109375" customWidth="1"/>
    <col min="5385" max="5385" width="14" customWidth="1"/>
    <col min="5386" max="5386" width="1.7109375" customWidth="1"/>
    <col min="5387" max="5387" width="11.5703125" customWidth="1"/>
    <col min="5388" max="5388" width="2.85546875" customWidth="1"/>
    <col min="5389" max="5389" width="35.42578125" bestFit="1" customWidth="1"/>
    <col min="5390" max="5390" width="20.140625" customWidth="1"/>
    <col min="5633" max="5633" width="4.85546875" customWidth="1"/>
    <col min="5634" max="5634" width="1.7109375" customWidth="1"/>
    <col min="5635" max="5635" width="46" customWidth="1"/>
    <col min="5636" max="5636" width="1.7109375" customWidth="1"/>
    <col min="5637" max="5637" width="34" customWidth="1"/>
    <col min="5638" max="5638" width="1.7109375" customWidth="1"/>
    <col min="5639" max="5639" width="16" customWidth="1"/>
    <col min="5640" max="5640" width="1.7109375" customWidth="1"/>
    <col min="5641" max="5641" width="14" customWidth="1"/>
    <col min="5642" max="5642" width="1.7109375" customWidth="1"/>
    <col min="5643" max="5643" width="11.5703125" customWidth="1"/>
    <col min="5644" max="5644" width="2.85546875" customWidth="1"/>
    <col min="5645" max="5645" width="35.42578125" bestFit="1" customWidth="1"/>
    <col min="5646" max="5646" width="20.140625" customWidth="1"/>
    <col min="5889" max="5889" width="4.85546875" customWidth="1"/>
    <col min="5890" max="5890" width="1.7109375" customWidth="1"/>
    <col min="5891" max="5891" width="46" customWidth="1"/>
    <col min="5892" max="5892" width="1.7109375" customWidth="1"/>
    <col min="5893" max="5893" width="34" customWidth="1"/>
    <col min="5894" max="5894" width="1.7109375" customWidth="1"/>
    <col min="5895" max="5895" width="16" customWidth="1"/>
    <col min="5896" max="5896" width="1.7109375" customWidth="1"/>
    <col min="5897" max="5897" width="14" customWidth="1"/>
    <col min="5898" max="5898" width="1.7109375" customWidth="1"/>
    <col min="5899" max="5899" width="11.5703125" customWidth="1"/>
    <col min="5900" max="5900" width="2.85546875" customWidth="1"/>
    <col min="5901" max="5901" width="35.42578125" bestFit="1" customWidth="1"/>
    <col min="5902" max="5902" width="20.140625" customWidth="1"/>
    <col min="6145" max="6145" width="4.85546875" customWidth="1"/>
    <col min="6146" max="6146" width="1.7109375" customWidth="1"/>
    <col min="6147" max="6147" width="46" customWidth="1"/>
    <col min="6148" max="6148" width="1.7109375" customWidth="1"/>
    <col min="6149" max="6149" width="34" customWidth="1"/>
    <col min="6150" max="6150" width="1.7109375" customWidth="1"/>
    <col min="6151" max="6151" width="16" customWidth="1"/>
    <col min="6152" max="6152" width="1.7109375" customWidth="1"/>
    <col min="6153" max="6153" width="14" customWidth="1"/>
    <col min="6154" max="6154" width="1.7109375" customWidth="1"/>
    <col min="6155" max="6155" width="11.5703125" customWidth="1"/>
    <col min="6156" max="6156" width="2.85546875" customWidth="1"/>
    <col min="6157" max="6157" width="35.42578125" bestFit="1" customWidth="1"/>
    <col min="6158" max="6158" width="20.140625" customWidth="1"/>
    <col min="6401" max="6401" width="4.85546875" customWidth="1"/>
    <col min="6402" max="6402" width="1.7109375" customWidth="1"/>
    <col min="6403" max="6403" width="46" customWidth="1"/>
    <col min="6404" max="6404" width="1.7109375" customWidth="1"/>
    <col min="6405" max="6405" width="34" customWidth="1"/>
    <col min="6406" max="6406" width="1.7109375" customWidth="1"/>
    <col min="6407" max="6407" width="16" customWidth="1"/>
    <col min="6408" max="6408" width="1.7109375" customWidth="1"/>
    <col min="6409" max="6409" width="14" customWidth="1"/>
    <col min="6410" max="6410" width="1.7109375" customWidth="1"/>
    <col min="6411" max="6411" width="11.5703125" customWidth="1"/>
    <col min="6412" max="6412" width="2.85546875" customWidth="1"/>
    <col min="6413" max="6413" width="35.42578125" bestFit="1" customWidth="1"/>
    <col min="6414" max="6414" width="20.140625" customWidth="1"/>
    <col min="6657" max="6657" width="4.85546875" customWidth="1"/>
    <col min="6658" max="6658" width="1.7109375" customWidth="1"/>
    <col min="6659" max="6659" width="46" customWidth="1"/>
    <col min="6660" max="6660" width="1.7109375" customWidth="1"/>
    <col min="6661" max="6661" width="34" customWidth="1"/>
    <col min="6662" max="6662" width="1.7109375" customWidth="1"/>
    <col min="6663" max="6663" width="16" customWidth="1"/>
    <col min="6664" max="6664" width="1.7109375" customWidth="1"/>
    <col min="6665" max="6665" width="14" customWidth="1"/>
    <col min="6666" max="6666" width="1.7109375" customWidth="1"/>
    <col min="6667" max="6667" width="11.5703125" customWidth="1"/>
    <col min="6668" max="6668" width="2.85546875" customWidth="1"/>
    <col min="6669" max="6669" width="35.42578125" bestFit="1" customWidth="1"/>
    <col min="6670" max="6670" width="20.140625" customWidth="1"/>
    <col min="6913" max="6913" width="4.85546875" customWidth="1"/>
    <col min="6914" max="6914" width="1.7109375" customWidth="1"/>
    <col min="6915" max="6915" width="46" customWidth="1"/>
    <col min="6916" max="6916" width="1.7109375" customWidth="1"/>
    <col min="6917" max="6917" width="34" customWidth="1"/>
    <col min="6918" max="6918" width="1.7109375" customWidth="1"/>
    <col min="6919" max="6919" width="16" customWidth="1"/>
    <col min="6920" max="6920" width="1.7109375" customWidth="1"/>
    <col min="6921" max="6921" width="14" customWidth="1"/>
    <col min="6922" max="6922" width="1.7109375" customWidth="1"/>
    <col min="6923" max="6923" width="11.5703125" customWidth="1"/>
    <col min="6924" max="6924" width="2.85546875" customWidth="1"/>
    <col min="6925" max="6925" width="35.42578125" bestFit="1" customWidth="1"/>
    <col min="6926" max="6926" width="20.140625" customWidth="1"/>
    <col min="7169" max="7169" width="4.85546875" customWidth="1"/>
    <col min="7170" max="7170" width="1.7109375" customWidth="1"/>
    <col min="7171" max="7171" width="46" customWidth="1"/>
    <col min="7172" max="7172" width="1.7109375" customWidth="1"/>
    <col min="7173" max="7173" width="34" customWidth="1"/>
    <col min="7174" max="7174" width="1.7109375" customWidth="1"/>
    <col min="7175" max="7175" width="16" customWidth="1"/>
    <col min="7176" max="7176" width="1.7109375" customWidth="1"/>
    <col min="7177" max="7177" width="14" customWidth="1"/>
    <col min="7178" max="7178" width="1.7109375" customWidth="1"/>
    <col min="7179" max="7179" width="11.5703125" customWidth="1"/>
    <col min="7180" max="7180" width="2.85546875" customWidth="1"/>
    <col min="7181" max="7181" width="35.42578125" bestFit="1" customWidth="1"/>
    <col min="7182" max="7182" width="20.140625" customWidth="1"/>
    <col min="7425" max="7425" width="4.85546875" customWidth="1"/>
    <col min="7426" max="7426" width="1.7109375" customWidth="1"/>
    <col min="7427" max="7427" width="46" customWidth="1"/>
    <col min="7428" max="7428" width="1.7109375" customWidth="1"/>
    <col min="7429" max="7429" width="34" customWidth="1"/>
    <col min="7430" max="7430" width="1.7109375" customWidth="1"/>
    <col min="7431" max="7431" width="16" customWidth="1"/>
    <col min="7432" max="7432" width="1.7109375" customWidth="1"/>
    <col min="7433" max="7433" width="14" customWidth="1"/>
    <col min="7434" max="7434" width="1.7109375" customWidth="1"/>
    <col min="7435" max="7435" width="11.5703125" customWidth="1"/>
    <col min="7436" max="7436" width="2.85546875" customWidth="1"/>
    <col min="7437" max="7437" width="35.42578125" bestFit="1" customWidth="1"/>
    <col min="7438" max="7438" width="20.140625" customWidth="1"/>
    <col min="7681" max="7681" width="4.85546875" customWidth="1"/>
    <col min="7682" max="7682" width="1.7109375" customWidth="1"/>
    <col min="7683" max="7683" width="46" customWidth="1"/>
    <col min="7684" max="7684" width="1.7109375" customWidth="1"/>
    <col min="7685" max="7685" width="34" customWidth="1"/>
    <col min="7686" max="7686" width="1.7109375" customWidth="1"/>
    <col min="7687" max="7687" width="16" customWidth="1"/>
    <col min="7688" max="7688" width="1.7109375" customWidth="1"/>
    <col min="7689" max="7689" width="14" customWidth="1"/>
    <col min="7690" max="7690" width="1.7109375" customWidth="1"/>
    <col min="7691" max="7691" width="11.5703125" customWidth="1"/>
    <col min="7692" max="7692" width="2.85546875" customWidth="1"/>
    <col min="7693" max="7693" width="35.42578125" bestFit="1" customWidth="1"/>
    <col min="7694" max="7694" width="20.140625" customWidth="1"/>
    <col min="7937" max="7937" width="4.85546875" customWidth="1"/>
    <col min="7938" max="7938" width="1.7109375" customWidth="1"/>
    <col min="7939" max="7939" width="46" customWidth="1"/>
    <col min="7940" max="7940" width="1.7109375" customWidth="1"/>
    <col min="7941" max="7941" width="34" customWidth="1"/>
    <col min="7942" max="7942" width="1.7109375" customWidth="1"/>
    <col min="7943" max="7943" width="16" customWidth="1"/>
    <col min="7944" max="7944" width="1.7109375" customWidth="1"/>
    <col min="7945" max="7945" width="14" customWidth="1"/>
    <col min="7946" max="7946" width="1.7109375" customWidth="1"/>
    <col min="7947" max="7947" width="11.5703125" customWidth="1"/>
    <col min="7948" max="7948" width="2.85546875" customWidth="1"/>
    <col min="7949" max="7949" width="35.42578125" bestFit="1" customWidth="1"/>
    <col min="7950" max="7950" width="20.140625" customWidth="1"/>
    <col min="8193" max="8193" width="4.85546875" customWidth="1"/>
    <col min="8194" max="8194" width="1.7109375" customWidth="1"/>
    <col min="8195" max="8195" width="46" customWidth="1"/>
    <col min="8196" max="8196" width="1.7109375" customWidth="1"/>
    <col min="8197" max="8197" width="34" customWidth="1"/>
    <col min="8198" max="8198" width="1.7109375" customWidth="1"/>
    <col min="8199" max="8199" width="16" customWidth="1"/>
    <col min="8200" max="8200" width="1.7109375" customWidth="1"/>
    <col min="8201" max="8201" width="14" customWidth="1"/>
    <col min="8202" max="8202" width="1.7109375" customWidth="1"/>
    <col min="8203" max="8203" width="11.5703125" customWidth="1"/>
    <col min="8204" max="8204" width="2.85546875" customWidth="1"/>
    <col min="8205" max="8205" width="35.42578125" bestFit="1" customWidth="1"/>
    <col min="8206" max="8206" width="20.140625" customWidth="1"/>
    <col min="8449" max="8449" width="4.85546875" customWidth="1"/>
    <col min="8450" max="8450" width="1.7109375" customWidth="1"/>
    <col min="8451" max="8451" width="46" customWidth="1"/>
    <col min="8452" max="8452" width="1.7109375" customWidth="1"/>
    <col min="8453" max="8453" width="34" customWidth="1"/>
    <col min="8454" max="8454" width="1.7109375" customWidth="1"/>
    <col min="8455" max="8455" width="16" customWidth="1"/>
    <col min="8456" max="8456" width="1.7109375" customWidth="1"/>
    <col min="8457" max="8457" width="14" customWidth="1"/>
    <col min="8458" max="8458" width="1.7109375" customWidth="1"/>
    <col min="8459" max="8459" width="11.5703125" customWidth="1"/>
    <col min="8460" max="8460" width="2.85546875" customWidth="1"/>
    <col min="8461" max="8461" width="35.42578125" bestFit="1" customWidth="1"/>
    <col min="8462" max="8462" width="20.140625" customWidth="1"/>
    <col min="8705" max="8705" width="4.85546875" customWidth="1"/>
    <col min="8706" max="8706" width="1.7109375" customWidth="1"/>
    <col min="8707" max="8707" width="46" customWidth="1"/>
    <col min="8708" max="8708" width="1.7109375" customWidth="1"/>
    <col min="8709" max="8709" width="34" customWidth="1"/>
    <col min="8710" max="8710" width="1.7109375" customWidth="1"/>
    <col min="8711" max="8711" width="16" customWidth="1"/>
    <col min="8712" max="8712" width="1.7109375" customWidth="1"/>
    <col min="8713" max="8713" width="14" customWidth="1"/>
    <col min="8714" max="8714" width="1.7109375" customWidth="1"/>
    <col min="8715" max="8715" width="11.5703125" customWidth="1"/>
    <col min="8716" max="8716" width="2.85546875" customWidth="1"/>
    <col min="8717" max="8717" width="35.42578125" bestFit="1" customWidth="1"/>
    <col min="8718" max="8718" width="20.140625" customWidth="1"/>
    <col min="8961" max="8961" width="4.85546875" customWidth="1"/>
    <col min="8962" max="8962" width="1.7109375" customWidth="1"/>
    <col min="8963" max="8963" width="46" customWidth="1"/>
    <col min="8964" max="8964" width="1.7109375" customWidth="1"/>
    <col min="8965" max="8965" width="34" customWidth="1"/>
    <col min="8966" max="8966" width="1.7109375" customWidth="1"/>
    <col min="8967" max="8967" width="16" customWidth="1"/>
    <col min="8968" max="8968" width="1.7109375" customWidth="1"/>
    <col min="8969" max="8969" width="14" customWidth="1"/>
    <col min="8970" max="8970" width="1.7109375" customWidth="1"/>
    <col min="8971" max="8971" width="11.5703125" customWidth="1"/>
    <col min="8972" max="8972" width="2.85546875" customWidth="1"/>
    <col min="8973" max="8973" width="35.42578125" bestFit="1" customWidth="1"/>
    <col min="8974" max="8974" width="20.140625" customWidth="1"/>
    <col min="9217" max="9217" width="4.85546875" customWidth="1"/>
    <col min="9218" max="9218" width="1.7109375" customWidth="1"/>
    <col min="9219" max="9219" width="46" customWidth="1"/>
    <col min="9220" max="9220" width="1.7109375" customWidth="1"/>
    <col min="9221" max="9221" width="34" customWidth="1"/>
    <col min="9222" max="9222" width="1.7109375" customWidth="1"/>
    <col min="9223" max="9223" width="16" customWidth="1"/>
    <col min="9224" max="9224" width="1.7109375" customWidth="1"/>
    <col min="9225" max="9225" width="14" customWidth="1"/>
    <col min="9226" max="9226" width="1.7109375" customWidth="1"/>
    <col min="9227" max="9227" width="11.5703125" customWidth="1"/>
    <col min="9228" max="9228" width="2.85546875" customWidth="1"/>
    <col min="9229" max="9229" width="35.42578125" bestFit="1" customWidth="1"/>
    <col min="9230" max="9230" width="20.140625" customWidth="1"/>
    <col min="9473" max="9473" width="4.85546875" customWidth="1"/>
    <col min="9474" max="9474" width="1.7109375" customWidth="1"/>
    <col min="9475" max="9475" width="46" customWidth="1"/>
    <col min="9476" max="9476" width="1.7109375" customWidth="1"/>
    <col min="9477" max="9477" width="34" customWidth="1"/>
    <col min="9478" max="9478" width="1.7109375" customWidth="1"/>
    <col min="9479" max="9479" width="16" customWidth="1"/>
    <col min="9480" max="9480" width="1.7109375" customWidth="1"/>
    <col min="9481" max="9481" width="14" customWidth="1"/>
    <col min="9482" max="9482" width="1.7109375" customWidth="1"/>
    <col min="9483" max="9483" width="11.5703125" customWidth="1"/>
    <col min="9484" max="9484" width="2.85546875" customWidth="1"/>
    <col min="9485" max="9485" width="35.42578125" bestFit="1" customWidth="1"/>
    <col min="9486" max="9486" width="20.140625" customWidth="1"/>
    <col min="9729" max="9729" width="4.85546875" customWidth="1"/>
    <col min="9730" max="9730" width="1.7109375" customWidth="1"/>
    <col min="9731" max="9731" width="46" customWidth="1"/>
    <col min="9732" max="9732" width="1.7109375" customWidth="1"/>
    <col min="9733" max="9733" width="34" customWidth="1"/>
    <col min="9734" max="9734" width="1.7109375" customWidth="1"/>
    <col min="9735" max="9735" width="16" customWidth="1"/>
    <col min="9736" max="9736" width="1.7109375" customWidth="1"/>
    <col min="9737" max="9737" width="14" customWidth="1"/>
    <col min="9738" max="9738" width="1.7109375" customWidth="1"/>
    <col min="9739" max="9739" width="11.5703125" customWidth="1"/>
    <col min="9740" max="9740" width="2.85546875" customWidth="1"/>
    <col min="9741" max="9741" width="35.42578125" bestFit="1" customWidth="1"/>
    <col min="9742" max="9742" width="20.140625" customWidth="1"/>
    <col min="9985" max="9985" width="4.85546875" customWidth="1"/>
    <col min="9986" max="9986" width="1.7109375" customWidth="1"/>
    <col min="9987" max="9987" width="46" customWidth="1"/>
    <col min="9988" max="9988" width="1.7109375" customWidth="1"/>
    <col min="9989" max="9989" width="34" customWidth="1"/>
    <col min="9990" max="9990" width="1.7109375" customWidth="1"/>
    <col min="9991" max="9991" width="16" customWidth="1"/>
    <col min="9992" max="9992" width="1.7109375" customWidth="1"/>
    <col min="9993" max="9993" width="14" customWidth="1"/>
    <col min="9994" max="9994" width="1.7109375" customWidth="1"/>
    <col min="9995" max="9995" width="11.5703125" customWidth="1"/>
    <col min="9996" max="9996" width="2.85546875" customWidth="1"/>
    <col min="9997" max="9997" width="35.42578125" bestFit="1" customWidth="1"/>
    <col min="9998" max="9998" width="20.140625" customWidth="1"/>
    <col min="10241" max="10241" width="4.85546875" customWidth="1"/>
    <col min="10242" max="10242" width="1.7109375" customWidth="1"/>
    <col min="10243" max="10243" width="46" customWidth="1"/>
    <col min="10244" max="10244" width="1.7109375" customWidth="1"/>
    <col min="10245" max="10245" width="34" customWidth="1"/>
    <col min="10246" max="10246" width="1.7109375" customWidth="1"/>
    <col min="10247" max="10247" width="16" customWidth="1"/>
    <col min="10248" max="10248" width="1.7109375" customWidth="1"/>
    <col min="10249" max="10249" width="14" customWidth="1"/>
    <col min="10250" max="10250" width="1.7109375" customWidth="1"/>
    <col min="10251" max="10251" width="11.5703125" customWidth="1"/>
    <col min="10252" max="10252" width="2.85546875" customWidth="1"/>
    <col min="10253" max="10253" width="35.42578125" bestFit="1" customWidth="1"/>
    <col min="10254" max="10254" width="20.140625" customWidth="1"/>
    <col min="10497" max="10497" width="4.85546875" customWidth="1"/>
    <col min="10498" max="10498" width="1.7109375" customWidth="1"/>
    <col min="10499" max="10499" width="46" customWidth="1"/>
    <col min="10500" max="10500" width="1.7109375" customWidth="1"/>
    <col min="10501" max="10501" width="34" customWidth="1"/>
    <col min="10502" max="10502" width="1.7109375" customWidth="1"/>
    <col min="10503" max="10503" width="16" customWidth="1"/>
    <col min="10504" max="10504" width="1.7109375" customWidth="1"/>
    <col min="10505" max="10505" width="14" customWidth="1"/>
    <col min="10506" max="10506" width="1.7109375" customWidth="1"/>
    <col min="10507" max="10507" width="11.5703125" customWidth="1"/>
    <col min="10508" max="10508" width="2.85546875" customWidth="1"/>
    <col min="10509" max="10509" width="35.42578125" bestFit="1" customWidth="1"/>
    <col min="10510" max="10510" width="20.140625" customWidth="1"/>
    <col min="10753" max="10753" width="4.85546875" customWidth="1"/>
    <col min="10754" max="10754" width="1.7109375" customWidth="1"/>
    <col min="10755" max="10755" width="46" customWidth="1"/>
    <col min="10756" max="10756" width="1.7109375" customWidth="1"/>
    <col min="10757" max="10757" width="34" customWidth="1"/>
    <col min="10758" max="10758" width="1.7109375" customWidth="1"/>
    <col min="10759" max="10759" width="16" customWidth="1"/>
    <col min="10760" max="10760" width="1.7109375" customWidth="1"/>
    <col min="10761" max="10761" width="14" customWidth="1"/>
    <col min="10762" max="10762" width="1.7109375" customWidth="1"/>
    <col min="10763" max="10763" width="11.5703125" customWidth="1"/>
    <col min="10764" max="10764" width="2.85546875" customWidth="1"/>
    <col min="10765" max="10765" width="35.42578125" bestFit="1" customWidth="1"/>
    <col min="10766" max="10766" width="20.140625" customWidth="1"/>
    <col min="11009" max="11009" width="4.85546875" customWidth="1"/>
    <col min="11010" max="11010" width="1.7109375" customWidth="1"/>
    <col min="11011" max="11011" width="46" customWidth="1"/>
    <col min="11012" max="11012" width="1.7109375" customWidth="1"/>
    <col min="11013" max="11013" width="34" customWidth="1"/>
    <col min="11014" max="11014" width="1.7109375" customWidth="1"/>
    <col min="11015" max="11015" width="16" customWidth="1"/>
    <col min="11016" max="11016" width="1.7109375" customWidth="1"/>
    <col min="11017" max="11017" width="14" customWidth="1"/>
    <col min="11018" max="11018" width="1.7109375" customWidth="1"/>
    <col min="11019" max="11019" width="11.5703125" customWidth="1"/>
    <col min="11020" max="11020" width="2.85546875" customWidth="1"/>
    <col min="11021" max="11021" width="35.42578125" bestFit="1" customWidth="1"/>
    <col min="11022" max="11022" width="20.140625" customWidth="1"/>
    <col min="11265" max="11265" width="4.85546875" customWidth="1"/>
    <col min="11266" max="11266" width="1.7109375" customWidth="1"/>
    <col min="11267" max="11267" width="46" customWidth="1"/>
    <col min="11268" max="11268" width="1.7109375" customWidth="1"/>
    <col min="11269" max="11269" width="34" customWidth="1"/>
    <col min="11270" max="11270" width="1.7109375" customWidth="1"/>
    <col min="11271" max="11271" width="16" customWidth="1"/>
    <col min="11272" max="11272" width="1.7109375" customWidth="1"/>
    <col min="11273" max="11273" width="14" customWidth="1"/>
    <col min="11274" max="11274" width="1.7109375" customWidth="1"/>
    <col min="11275" max="11275" width="11.5703125" customWidth="1"/>
    <col min="11276" max="11276" width="2.85546875" customWidth="1"/>
    <col min="11277" max="11277" width="35.42578125" bestFit="1" customWidth="1"/>
    <col min="11278" max="11278" width="20.140625" customWidth="1"/>
    <col min="11521" max="11521" width="4.85546875" customWidth="1"/>
    <col min="11522" max="11522" width="1.7109375" customWidth="1"/>
    <col min="11523" max="11523" width="46" customWidth="1"/>
    <col min="11524" max="11524" width="1.7109375" customWidth="1"/>
    <col min="11525" max="11525" width="34" customWidth="1"/>
    <col min="11526" max="11526" width="1.7109375" customWidth="1"/>
    <col min="11527" max="11527" width="16" customWidth="1"/>
    <col min="11528" max="11528" width="1.7109375" customWidth="1"/>
    <col min="11529" max="11529" width="14" customWidth="1"/>
    <col min="11530" max="11530" width="1.7109375" customWidth="1"/>
    <col min="11531" max="11531" width="11.5703125" customWidth="1"/>
    <col min="11532" max="11532" width="2.85546875" customWidth="1"/>
    <col min="11533" max="11533" width="35.42578125" bestFit="1" customWidth="1"/>
    <col min="11534" max="11534" width="20.140625" customWidth="1"/>
    <col min="11777" max="11777" width="4.85546875" customWidth="1"/>
    <col min="11778" max="11778" width="1.7109375" customWidth="1"/>
    <col min="11779" max="11779" width="46" customWidth="1"/>
    <col min="11780" max="11780" width="1.7109375" customWidth="1"/>
    <col min="11781" max="11781" width="34" customWidth="1"/>
    <col min="11782" max="11782" width="1.7109375" customWidth="1"/>
    <col min="11783" max="11783" width="16" customWidth="1"/>
    <col min="11784" max="11784" width="1.7109375" customWidth="1"/>
    <col min="11785" max="11785" width="14" customWidth="1"/>
    <col min="11786" max="11786" width="1.7109375" customWidth="1"/>
    <col min="11787" max="11787" width="11.5703125" customWidth="1"/>
    <col min="11788" max="11788" width="2.85546875" customWidth="1"/>
    <col min="11789" max="11789" width="35.42578125" bestFit="1" customWidth="1"/>
    <col min="11790" max="11790" width="20.140625" customWidth="1"/>
    <col min="12033" max="12033" width="4.85546875" customWidth="1"/>
    <col min="12034" max="12034" width="1.7109375" customWidth="1"/>
    <col min="12035" max="12035" width="46" customWidth="1"/>
    <col min="12036" max="12036" width="1.7109375" customWidth="1"/>
    <col min="12037" max="12037" width="34" customWidth="1"/>
    <col min="12038" max="12038" width="1.7109375" customWidth="1"/>
    <col min="12039" max="12039" width="16" customWidth="1"/>
    <col min="12040" max="12040" width="1.7109375" customWidth="1"/>
    <col min="12041" max="12041" width="14" customWidth="1"/>
    <col min="12042" max="12042" width="1.7109375" customWidth="1"/>
    <col min="12043" max="12043" width="11.5703125" customWidth="1"/>
    <col min="12044" max="12044" width="2.85546875" customWidth="1"/>
    <col min="12045" max="12045" width="35.42578125" bestFit="1" customWidth="1"/>
    <col min="12046" max="12046" width="20.140625" customWidth="1"/>
    <col min="12289" max="12289" width="4.85546875" customWidth="1"/>
    <col min="12290" max="12290" width="1.7109375" customWidth="1"/>
    <col min="12291" max="12291" width="46" customWidth="1"/>
    <col min="12292" max="12292" width="1.7109375" customWidth="1"/>
    <col min="12293" max="12293" width="34" customWidth="1"/>
    <col min="12294" max="12294" width="1.7109375" customWidth="1"/>
    <col min="12295" max="12295" width="16" customWidth="1"/>
    <col min="12296" max="12296" width="1.7109375" customWidth="1"/>
    <col min="12297" max="12297" width="14" customWidth="1"/>
    <col min="12298" max="12298" width="1.7109375" customWidth="1"/>
    <col min="12299" max="12299" width="11.5703125" customWidth="1"/>
    <col min="12300" max="12300" width="2.85546875" customWidth="1"/>
    <col min="12301" max="12301" width="35.42578125" bestFit="1" customWidth="1"/>
    <col min="12302" max="12302" width="20.140625" customWidth="1"/>
    <col min="12545" max="12545" width="4.85546875" customWidth="1"/>
    <col min="12546" max="12546" width="1.7109375" customWidth="1"/>
    <col min="12547" max="12547" width="46" customWidth="1"/>
    <col min="12548" max="12548" width="1.7109375" customWidth="1"/>
    <col min="12549" max="12549" width="34" customWidth="1"/>
    <col min="12550" max="12550" width="1.7109375" customWidth="1"/>
    <col min="12551" max="12551" width="16" customWidth="1"/>
    <col min="12552" max="12552" width="1.7109375" customWidth="1"/>
    <col min="12553" max="12553" width="14" customWidth="1"/>
    <col min="12554" max="12554" width="1.7109375" customWidth="1"/>
    <col min="12555" max="12555" width="11.5703125" customWidth="1"/>
    <col min="12556" max="12556" width="2.85546875" customWidth="1"/>
    <col min="12557" max="12557" width="35.42578125" bestFit="1" customWidth="1"/>
    <col min="12558" max="12558" width="20.140625" customWidth="1"/>
    <col min="12801" max="12801" width="4.85546875" customWidth="1"/>
    <col min="12802" max="12802" width="1.7109375" customWidth="1"/>
    <col min="12803" max="12803" width="46" customWidth="1"/>
    <col min="12804" max="12804" width="1.7109375" customWidth="1"/>
    <col min="12805" max="12805" width="34" customWidth="1"/>
    <col min="12806" max="12806" width="1.7109375" customWidth="1"/>
    <col min="12807" max="12807" width="16" customWidth="1"/>
    <col min="12808" max="12808" width="1.7109375" customWidth="1"/>
    <col min="12809" max="12809" width="14" customWidth="1"/>
    <col min="12810" max="12810" width="1.7109375" customWidth="1"/>
    <col min="12811" max="12811" width="11.5703125" customWidth="1"/>
    <col min="12812" max="12812" width="2.85546875" customWidth="1"/>
    <col min="12813" max="12813" width="35.42578125" bestFit="1" customWidth="1"/>
    <col min="12814" max="12814" width="20.140625" customWidth="1"/>
    <col min="13057" max="13057" width="4.85546875" customWidth="1"/>
    <col min="13058" max="13058" width="1.7109375" customWidth="1"/>
    <col min="13059" max="13059" width="46" customWidth="1"/>
    <col min="13060" max="13060" width="1.7109375" customWidth="1"/>
    <col min="13061" max="13061" width="34" customWidth="1"/>
    <col min="13062" max="13062" width="1.7109375" customWidth="1"/>
    <col min="13063" max="13063" width="16" customWidth="1"/>
    <col min="13064" max="13064" width="1.7109375" customWidth="1"/>
    <col min="13065" max="13065" width="14" customWidth="1"/>
    <col min="13066" max="13066" width="1.7109375" customWidth="1"/>
    <col min="13067" max="13067" width="11.5703125" customWidth="1"/>
    <col min="13068" max="13068" width="2.85546875" customWidth="1"/>
    <col min="13069" max="13069" width="35.42578125" bestFit="1" customWidth="1"/>
    <col min="13070" max="13070" width="20.140625" customWidth="1"/>
    <col min="13313" max="13313" width="4.85546875" customWidth="1"/>
    <col min="13314" max="13314" width="1.7109375" customWidth="1"/>
    <col min="13315" max="13315" width="46" customWidth="1"/>
    <col min="13316" max="13316" width="1.7109375" customWidth="1"/>
    <col min="13317" max="13317" width="34" customWidth="1"/>
    <col min="13318" max="13318" width="1.7109375" customWidth="1"/>
    <col min="13319" max="13319" width="16" customWidth="1"/>
    <col min="13320" max="13320" width="1.7109375" customWidth="1"/>
    <col min="13321" max="13321" width="14" customWidth="1"/>
    <col min="13322" max="13322" width="1.7109375" customWidth="1"/>
    <col min="13323" max="13323" width="11.5703125" customWidth="1"/>
    <col min="13324" max="13324" width="2.85546875" customWidth="1"/>
    <col min="13325" max="13325" width="35.42578125" bestFit="1" customWidth="1"/>
    <col min="13326" max="13326" width="20.140625" customWidth="1"/>
    <col min="13569" max="13569" width="4.85546875" customWidth="1"/>
    <col min="13570" max="13570" width="1.7109375" customWidth="1"/>
    <col min="13571" max="13571" width="46" customWidth="1"/>
    <col min="13572" max="13572" width="1.7109375" customWidth="1"/>
    <col min="13573" max="13573" width="34" customWidth="1"/>
    <col min="13574" max="13574" width="1.7109375" customWidth="1"/>
    <col min="13575" max="13575" width="16" customWidth="1"/>
    <col min="13576" max="13576" width="1.7109375" customWidth="1"/>
    <col min="13577" max="13577" width="14" customWidth="1"/>
    <col min="13578" max="13578" width="1.7109375" customWidth="1"/>
    <col min="13579" max="13579" width="11.5703125" customWidth="1"/>
    <col min="13580" max="13580" width="2.85546875" customWidth="1"/>
    <col min="13581" max="13581" width="35.42578125" bestFit="1" customWidth="1"/>
    <col min="13582" max="13582" width="20.140625" customWidth="1"/>
    <col min="13825" max="13825" width="4.85546875" customWidth="1"/>
    <col min="13826" max="13826" width="1.7109375" customWidth="1"/>
    <col min="13827" max="13827" width="46" customWidth="1"/>
    <col min="13828" max="13828" width="1.7109375" customWidth="1"/>
    <col min="13829" max="13829" width="34" customWidth="1"/>
    <col min="13830" max="13830" width="1.7109375" customWidth="1"/>
    <col min="13831" max="13831" width="16" customWidth="1"/>
    <col min="13832" max="13832" width="1.7109375" customWidth="1"/>
    <col min="13833" max="13833" width="14" customWidth="1"/>
    <col min="13834" max="13834" width="1.7109375" customWidth="1"/>
    <col min="13835" max="13835" width="11.5703125" customWidth="1"/>
    <col min="13836" max="13836" width="2.85546875" customWidth="1"/>
    <col min="13837" max="13837" width="35.42578125" bestFit="1" customWidth="1"/>
    <col min="13838" max="13838" width="20.140625" customWidth="1"/>
    <col min="14081" max="14081" width="4.85546875" customWidth="1"/>
    <col min="14082" max="14082" width="1.7109375" customWidth="1"/>
    <col min="14083" max="14083" width="46" customWidth="1"/>
    <col min="14084" max="14084" width="1.7109375" customWidth="1"/>
    <col min="14085" max="14085" width="34" customWidth="1"/>
    <col min="14086" max="14086" width="1.7109375" customWidth="1"/>
    <col min="14087" max="14087" width="16" customWidth="1"/>
    <col min="14088" max="14088" width="1.7109375" customWidth="1"/>
    <col min="14089" max="14089" width="14" customWidth="1"/>
    <col min="14090" max="14090" width="1.7109375" customWidth="1"/>
    <col min="14091" max="14091" width="11.5703125" customWidth="1"/>
    <col min="14092" max="14092" width="2.85546875" customWidth="1"/>
    <col min="14093" max="14093" width="35.42578125" bestFit="1" customWidth="1"/>
    <col min="14094" max="14094" width="20.140625" customWidth="1"/>
    <col min="14337" max="14337" width="4.85546875" customWidth="1"/>
    <col min="14338" max="14338" width="1.7109375" customWidth="1"/>
    <col min="14339" max="14339" width="46" customWidth="1"/>
    <col min="14340" max="14340" width="1.7109375" customWidth="1"/>
    <col min="14341" max="14341" width="34" customWidth="1"/>
    <col min="14342" max="14342" width="1.7109375" customWidth="1"/>
    <col min="14343" max="14343" width="16" customWidth="1"/>
    <col min="14344" max="14344" width="1.7109375" customWidth="1"/>
    <col min="14345" max="14345" width="14" customWidth="1"/>
    <col min="14346" max="14346" width="1.7109375" customWidth="1"/>
    <col min="14347" max="14347" width="11.5703125" customWidth="1"/>
    <col min="14348" max="14348" width="2.85546875" customWidth="1"/>
    <col min="14349" max="14349" width="35.42578125" bestFit="1" customWidth="1"/>
    <col min="14350" max="14350" width="20.140625" customWidth="1"/>
    <col min="14593" max="14593" width="4.85546875" customWidth="1"/>
    <col min="14594" max="14594" width="1.7109375" customWidth="1"/>
    <col min="14595" max="14595" width="46" customWidth="1"/>
    <col min="14596" max="14596" width="1.7109375" customWidth="1"/>
    <col min="14597" max="14597" width="34" customWidth="1"/>
    <col min="14598" max="14598" width="1.7109375" customWidth="1"/>
    <col min="14599" max="14599" width="16" customWidth="1"/>
    <col min="14600" max="14600" width="1.7109375" customWidth="1"/>
    <col min="14601" max="14601" width="14" customWidth="1"/>
    <col min="14602" max="14602" width="1.7109375" customWidth="1"/>
    <col min="14603" max="14603" width="11.5703125" customWidth="1"/>
    <col min="14604" max="14604" width="2.85546875" customWidth="1"/>
    <col min="14605" max="14605" width="35.42578125" bestFit="1" customWidth="1"/>
    <col min="14606" max="14606" width="20.140625" customWidth="1"/>
    <col min="14849" max="14849" width="4.85546875" customWidth="1"/>
    <col min="14850" max="14850" width="1.7109375" customWidth="1"/>
    <col min="14851" max="14851" width="46" customWidth="1"/>
    <col min="14852" max="14852" width="1.7109375" customWidth="1"/>
    <col min="14853" max="14853" width="34" customWidth="1"/>
    <col min="14854" max="14854" width="1.7109375" customWidth="1"/>
    <col min="14855" max="14855" width="16" customWidth="1"/>
    <col min="14856" max="14856" width="1.7109375" customWidth="1"/>
    <col min="14857" max="14857" width="14" customWidth="1"/>
    <col min="14858" max="14858" width="1.7109375" customWidth="1"/>
    <col min="14859" max="14859" width="11.5703125" customWidth="1"/>
    <col min="14860" max="14860" width="2.85546875" customWidth="1"/>
    <col min="14861" max="14861" width="35.42578125" bestFit="1" customWidth="1"/>
    <col min="14862" max="14862" width="20.140625" customWidth="1"/>
    <col min="15105" max="15105" width="4.85546875" customWidth="1"/>
    <col min="15106" max="15106" width="1.7109375" customWidth="1"/>
    <col min="15107" max="15107" width="46" customWidth="1"/>
    <col min="15108" max="15108" width="1.7109375" customWidth="1"/>
    <col min="15109" max="15109" width="34" customWidth="1"/>
    <col min="15110" max="15110" width="1.7109375" customWidth="1"/>
    <col min="15111" max="15111" width="16" customWidth="1"/>
    <col min="15112" max="15112" width="1.7109375" customWidth="1"/>
    <col min="15113" max="15113" width="14" customWidth="1"/>
    <col min="15114" max="15114" width="1.7109375" customWidth="1"/>
    <col min="15115" max="15115" width="11.5703125" customWidth="1"/>
    <col min="15116" max="15116" width="2.85546875" customWidth="1"/>
    <col min="15117" max="15117" width="35.42578125" bestFit="1" customWidth="1"/>
    <col min="15118" max="15118" width="20.140625" customWidth="1"/>
    <col min="15361" max="15361" width="4.85546875" customWidth="1"/>
    <col min="15362" max="15362" width="1.7109375" customWidth="1"/>
    <col min="15363" max="15363" width="46" customWidth="1"/>
    <col min="15364" max="15364" width="1.7109375" customWidth="1"/>
    <col min="15365" max="15365" width="34" customWidth="1"/>
    <col min="15366" max="15366" width="1.7109375" customWidth="1"/>
    <col min="15367" max="15367" width="16" customWidth="1"/>
    <col min="15368" max="15368" width="1.7109375" customWidth="1"/>
    <col min="15369" max="15369" width="14" customWidth="1"/>
    <col min="15370" max="15370" width="1.7109375" customWidth="1"/>
    <col min="15371" max="15371" width="11.5703125" customWidth="1"/>
    <col min="15372" max="15372" width="2.85546875" customWidth="1"/>
    <col min="15373" max="15373" width="35.42578125" bestFit="1" customWidth="1"/>
    <col min="15374" max="15374" width="20.140625" customWidth="1"/>
    <col min="15617" max="15617" width="4.85546875" customWidth="1"/>
    <col min="15618" max="15618" width="1.7109375" customWidth="1"/>
    <col min="15619" max="15619" width="46" customWidth="1"/>
    <col min="15620" max="15620" width="1.7109375" customWidth="1"/>
    <col min="15621" max="15621" width="34" customWidth="1"/>
    <col min="15622" max="15622" width="1.7109375" customWidth="1"/>
    <col min="15623" max="15623" width="16" customWidth="1"/>
    <col min="15624" max="15624" width="1.7109375" customWidth="1"/>
    <col min="15625" max="15625" width="14" customWidth="1"/>
    <col min="15626" max="15626" width="1.7109375" customWidth="1"/>
    <col min="15627" max="15627" width="11.5703125" customWidth="1"/>
    <col min="15628" max="15628" width="2.85546875" customWidth="1"/>
    <col min="15629" max="15629" width="35.42578125" bestFit="1" customWidth="1"/>
    <col min="15630" max="15630" width="20.140625" customWidth="1"/>
    <col min="15873" max="15873" width="4.85546875" customWidth="1"/>
    <col min="15874" max="15874" width="1.7109375" customWidth="1"/>
    <col min="15875" max="15875" width="46" customWidth="1"/>
    <col min="15876" max="15876" width="1.7109375" customWidth="1"/>
    <col min="15877" max="15877" width="34" customWidth="1"/>
    <col min="15878" max="15878" width="1.7109375" customWidth="1"/>
    <col min="15879" max="15879" width="16" customWidth="1"/>
    <col min="15880" max="15880" width="1.7109375" customWidth="1"/>
    <col min="15881" max="15881" width="14" customWidth="1"/>
    <col min="15882" max="15882" width="1.7109375" customWidth="1"/>
    <col min="15883" max="15883" width="11.5703125" customWidth="1"/>
    <col min="15884" max="15884" width="2.85546875" customWidth="1"/>
    <col min="15885" max="15885" width="35.42578125" bestFit="1" customWidth="1"/>
    <col min="15886" max="15886" width="20.140625" customWidth="1"/>
    <col min="16129" max="16129" width="4.85546875" customWidth="1"/>
    <col min="16130" max="16130" width="1.7109375" customWidth="1"/>
    <col min="16131" max="16131" width="46" customWidth="1"/>
    <col min="16132" max="16132" width="1.7109375" customWidth="1"/>
    <col min="16133" max="16133" width="34" customWidth="1"/>
    <col min="16134" max="16134" width="1.7109375" customWidth="1"/>
    <col min="16135" max="16135" width="16" customWidth="1"/>
    <col min="16136" max="16136" width="1.7109375" customWidth="1"/>
    <col min="16137" max="16137" width="14" customWidth="1"/>
    <col min="16138" max="16138" width="1.7109375" customWidth="1"/>
    <col min="16139" max="16139" width="11.5703125" customWidth="1"/>
    <col min="16140" max="16140" width="2.85546875" customWidth="1"/>
    <col min="16141" max="16141" width="35.42578125" bestFit="1" customWidth="1"/>
    <col min="16142" max="16142" width="20.140625" customWidth="1"/>
  </cols>
  <sheetData>
    <row r="1" spans="1:20" x14ac:dyDescent="0.2">
      <c r="A1" s="1000" t="s">
        <v>3016</v>
      </c>
      <c r="B1" s="1000"/>
      <c r="C1" s="1001"/>
      <c r="D1" s="1001"/>
      <c r="G1" s="1001"/>
      <c r="H1" s="1001"/>
      <c r="I1" s="1001"/>
      <c r="J1" s="1001"/>
      <c r="K1" s="1001"/>
      <c r="L1" s="1001"/>
      <c r="M1" s="1001"/>
      <c r="N1" s="14"/>
      <c r="O1" s="14"/>
      <c r="P1" s="14"/>
      <c r="Q1" s="14"/>
      <c r="R1" s="14"/>
      <c r="S1" s="14"/>
      <c r="T1" s="14"/>
    </row>
    <row r="2" spans="1:20" x14ac:dyDescent="0.2">
      <c r="A2" s="14"/>
      <c r="B2" s="14"/>
      <c r="C2" s="651"/>
      <c r="D2" s="14"/>
      <c r="E2" s="14"/>
      <c r="F2" s="14"/>
      <c r="G2" s="14"/>
      <c r="H2" s="14"/>
      <c r="I2" s="14"/>
      <c r="J2" s="14"/>
      <c r="K2" s="14"/>
      <c r="L2" s="14"/>
      <c r="M2" s="14"/>
      <c r="N2" s="14"/>
      <c r="O2" s="14"/>
      <c r="P2" s="14"/>
      <c r="Q2" s="14"/>
      <c r="R2" s="14"/>
      <c r="S2" s="14"/>
      <c r="T2" s="14"/>
    </row>
    <row r="3" spans="1:20" x14ac:dyDescent="0.2">
      <c r="A3" s="1002" t="s">
        <v>372</v>
      </c>
      <c r="B3" s="1002"/>
      <c r="C3" s="1001"/>
      <c r="D3" s="1001"/>
      <c r="E3" s="1001"/>
      <c r="F3" s="1001"/>
      <c r="G3" s="1001"/>
      <c r="H3" s="1001"/>
      <c r="I3" s="1001"/>
      <c r="J3" s="1001"/>
      <c r="K3" s="1001"/>
      <c r="L3" s="1001"/>
      <c r="M3" s="1001"/>
      <c r="N3" s="14"/>
      <c r="O3" s="14"/>
      <c r="P3" s="14"/>
      <c r="Q3" s="14"/>
      <c r="R3" s="14"/>
      <c r="S3" s="14"/>
      <c r="T3" s="14"/>
    </row>
    <row r="4" spans="1:20" x14ac:dyDescent="0.2">
      <c r="A4" s="1003">
        <v>1</v>
      </c>
      <c r="B4" s="1003"/>
      <c r="C4" s="855"/>
      <c r="D4" s="855"/>
      <c r="E4" s="855"/>
      <c r="F4" s="855"/>
      <c r="G4" s="1001"/>
      <c r="H4" s="1001"/>
      <c r="I4" s="1001"/>
      <c r="J4" s="1001"/>
      <c r="K4" s="1001"/>
      <c r="L4" s="1001"/>
      <c r="M4" s="1001"/>
      <c r="N4" s="14"/>
      <c r="O4" s="14"/>
      <c r="P4" s="14"/>
      <c r="Q4" s="14"/>
      <c r="R4" s="14"/>
      <c r="S4" s="14"/>
      <c r="T4" s="14"/>
    </row>
    <row r="5" spans="1:20" x14ac:dyDescent="0.2">
      <c r="A5" s="846">
        <v>2</v>
      </c>
      <c r="B5" s="846"/>
      <c r="C5" s="855"/>
      <c r="D5" s="855"/>
      <c r="E5" s="855"/>
      <c r="F5" s="855"/>
      <c r="G5" s="1001"/>
      <c r="H5" s="1001"/>
      <c r="I5" s="1001"/>
      <c r="J5" s="1001"/>
      <c r="K5" s="1001"/>
      <c r="L5" s="1001"/>
      <c r="M5" s="1001"/>
      <c r="N5" s="14"/>
      <c r="O5" s="14"/>
    </row>
    <row r="6" spans="1:20" x14ac:dyDescent="0.2">
      <c r="A6" s="846">
        <v>3</v>
      </c>
      <c r="B6" s="846"/>
      <c r="C6" s="847"/>
      <c r="D6" s="847"/>
      <c r="E6" s="847"/>
      <c r="F6" s="847"/>
      <c r="G6" s="844"/>
      <c r="H6" s="844"/>
      <c r="I6" s="844"/>
      <c r="J6" s="844"/>
      <c r="K6" s="846" t="s">
        <v>75</v>
      </c>
      <c r="L6" s="844"/>
      <c r="M6" s="844"/>
    </row>
    <row r="7" spans="1:20" x14ac:dyDescent="0.2">
      <c r="A7" s="846">
        <v>4</v>
      </c>
      <c r="B7" s="846"/>
      <c r="C7" s="844"/>
      <c r="D7" s="844"/>
      <c r="E7" s="1004" t="s">
        <v>235</v>
      </c>
      <c r="F7" s="1005"/>
      <c r="G7" s="844"/>
      <c r="H7" s="844"/>
      <c r="I7" s="844"/>
      <c r="J7" s="844"/>
      <c r="K7" s="1006" t="s">
        <v>205</v>
      </c>
      <c r="L7" s="844"/>
      <c r="M7" s="849"/>
    </row>
    <row r="8" spans="1:20" x14ac:dyDescent="0.2">
      <c r="A8" s="846">
        <v>5</v>
      </c>
      <c r="B8" s="846"/>
      <c r="C8" s="847"/>
      <c r="D8" s="847"/>
      <c r="E8" s="847"/>
      <c r="F8" s="847"/>
      <c r="G8" s="844"/>
      <c r="H8" s="844"/>
      <c r="I8" s="844"/>
      <c r="J8" s="844"/>
      <c r="K8" s="850"/>
      <c r="L8" s="844"/>
      <c r="M8" s="847"/>
    </row>
    <row r="9" spans="1:20" x14ac:dyDescent="0.2">
      <c r="A9" s="846">
        <v>6</v>
      </c>
      <c r="B9" s="846"/>
      <c r="C9" s="1000" t="s">
        <v>3050</v>
      </c>
      <c r="D9" s="855"/>
      <c r="E9" s="855" t="s">
        <v>3051</v>
      </c>
      <c r="F9" s="855"/>
      <c r="G9" s="1001"/>
      <c r="H9" s="1001"/>
      <c r="I9" s="1001"/>
      <c r="J9" s="1001"/>
      <c r="K9" s="850">
        <f>I20</f>
        <v>-8561882.2812394612</v>
      </c>
      <c r="L9" s="844"/>
      <c r="M9" s="847"/>
      <c r="N9" s="1007"/>
    </row>
    <row r="10" spans="1:20" ht="13.5" thickBot="1" x14ac:dyDescent="0.25">
      <c r="A10" s="846">
        <v>7</v>
      </c>
      <c r="B10" s="846"/>
      <c r="C10" s="1000" t="s">
        <v>3049</v>
      </c>
      <c r="D10" s="1002"/>
      <c r="E10" s="855" t="s">
        <v>3017</v>
      </c>
      <c r="F10" s="855"/>
      <c r="G10" s="1001"/>
      <c r="H10" s="1001"/>
      <c r="I10" s="1001"/>
      <c r="J10" s="1001"/>
      <c r="K10" s="1008">
        <f>+K20</f>
        <v>-8519161.0837768912</v>
      </c>
      <c r="L10" s="844"/>
      <c r="M10" s="847"/>
    </row>
    <row r="11" spans="1:20" ht="13.5" thickTop="1" x14ac:dyDescent="0.2">
      <c r="A11" s="846">
        <v>8</v>
      </c>
      <c r="B11" s="846"/>
      <c r="C11" s="855"/>
      <c r="D11" s="855"/>
      <c r="E11" s="855"/>
      <c r="F11" s="855"/>
      <c r="G11" s="1001"/>
      <c r="H11" s="1001"/>
      <c r="I11" s="1001"/>
      <c r="J11" s="1001"/>
      <c r="K11" s="850"/>
      <c r="L11" s="844"/>
      <c r="M11" s="844"/>
    </row>
    <row r="12" spans="1:20" x14ac:dyDescent="0.2">
      <c r="A12" s="846">
        <v>9</v>
      </c>
      <c r="B12" s="846"/>
      <c r="C12" s="1001"/>
      <c r="D12" s="1001"/>
      <c r="E12" s="1001"/>
      <c r="F12" s="1001"/>
      <c r="G12" s="1009" t="s">
        <v>406</v>
      </c>
      <c r="H12" s="1009"/>
      <c r="I12" s="1009" t="s">
        <v>390</v>
      </c>
      <c r="J12" s="1009"/>
      <c r="K12" s="1009" t="s">
        <v>391</v>
      </c>
      <c r="L12" s="844"/>
      <c r="M12" s="844"/>
    </row>
    <row r="13" spans="1:20" x14ac:dyDescent="0.2">
      <c r="A13" s="846">
        <v>10</v>
      </c>
      <c r="B13" s="846"/>
      <c r="C13" s="1001"/>
      <c r="D13" s="1001"/>
      <c r="E13" s="1001"/>
      <c r="F13" s="1001"/>
      <c r="G13" s="1003" t="s">
        <v>75</v>
      </c>
      <c r="H13" s="1003"/>
      <c r="I13" s="1003" t="s">
        <v>75</v>
      </c>
      <c r="J13" s="1005"/>
      <c r="K13" s="1003" t="s">
        <v>75</v>
      </c>
      <c r="L13" s="844"/>
      <c r="M13" s="844"/>
    </row>
    <row r="14" spans="1:20" ht="15" x14ac:dyDescent="0.25">
      <c r="A14" s="846">
        <v>11</v>
      </c>
      <c r="B14" s="846"/>
      <c r="C14" s="1003"/>
      <c r="D14" s="1003"/>
      <c r="E14" s="1003"/>
      <c r="F14" s="1003"/>
      <c r="G14" s="1003" t="s">
        <v>436</v>
      </c>
      <c r="H14" s="1003"/>
      <c r="I14" s="1003" t="s">
        <v>342</v>
      </c>
      <c r="J14" s="1005"/>
      <c r="K14" s="1010" t="s">
        <v>266</v>
      </c>
      <c r="L14" s="844"/>
      <c r="M14" s="844"/>
    </row>
    <row r="15" spans="1:20" x14ac:dyDescent="0.2">
      <c r="A15" s="846">
        <v>12</v>
      </c>
      <c r="B15" s="846"/>
      <c r="C15" s="846" t="s">
        <v>471</v>
      </c>
      <c r="D15" s="846"/>
      <c r="E15" s="846"/>
      <c r="F15" s="846"/>
      <c r="G15" s="846" t="s">
        <v>3018</v>
      </c>
      <c r="H15" s="1005"/>
      <c r="I15" s="846" t="s">
        <v>3018</v>
      </c>
      <c r="J15" s="1005"/>
      <c r="K15" s="846" t="s">
        <v>3018</v>
      </c>
      <c r="L15" s="844"/>
      <c r="M15" s="844"/>
    </row>
    <row r="16" spans="1:20" x14ac:dyDescent="0.2">
      <c r="A16" s="846">
        <v>13</v>
      </c>
      <c r="B16" s="846"/>
      <c r="C16" s="848" t="s">
        <v>3015</v>
      </c>
      <c r="D16" s="848"/>
      <c r="E16" s="848"/>
      <c r="F16" s="848"/>
      <c r="G16" s="1006" t="s">
        <v>3019</v>
      </c>
      <c r="H16" s="1005"/>
      <c r="I16" s="1006" t="s">
        <v>3019</v>
      </c>
      <c r="J16" s="1005"/>
      <c r="K16" s="1006" t="s">
        <v>3019</v>
      </c>
      <c r="L16" s="844"/>
      <c r="M16" s="844"/>
    </row>
    <row r="17" spans="1:14" x14ac:dyDescent="0.2">
      <c r="A17" s="846">
        <v>14</v>
      </c>
      <c r="B17" s="846"/>
      <c r="C17" s="855" t="s">
        <v>3020</v>
      </c>
      <c r="D17" s="855"/>
      <c r="E17" s="649" t="s">
        <v>3021</v>
      </c>
      <c r="F17" s="649"/>
      <c r="G17" s="850">
        <f>+G29</f>
        <v>-5504934.0262045553</v>
      </c>
      <c r="H17" s="1011"/>
      <c r="I17" s="850">
        <f>+I29</f>
        <v>-5413551.9479691703</v>
      </c>
      <c r="J17" s="1011"/>
      <c r="K17" s="850">
        <f>(+G17+I17)/2</f>
        <v>-5459242.9870868623</v>
      </c>
      <c r="L17" s="844"/>
      <c r="M17" s="844"/>
      <c r="N17" s="844"/>
    </row>
    <row r="18" spans="1:14" x14ac:dyDescent="0.2">
      <c r="A18" s="846">
        <v>15</v>
      </c>
      <c r="B18" s="846"/>
      <c r="C18" s="855" t="s">
        <v>3022</v>
      </c>
      <c r="D18" s="855"/>
      <c r="E18" s="855" t="s">
        <v>3023</v>
      </c>
      <c r="F18" s="855"/>
      <c r="G18" s="850">
        <f>+G36</f>
        <v>-1854788.079693079</v>
      </c>
      <c r="H18" s="1011"/>
      <c r="I18" s="850">
        <f>+I36</f>
        <v>-1900607.24811058</v>
      </c>
      <c r="J18" s="1011"/>
      <c r="K18" s="850">
        <f>(+G18+I18)/2</f>
        <v>-1877697.6639018296</v>
      </c>
      <c r="L18" s="844"/>
      <c r="M18" s="844"/>
      <c r="N18" s="844"/>
    </row>
    <row r="19" spans="1:14" x14ac:dyDescent="0.2">
      <c r="A19" s="846">
        <v>16</v>
      </c>
      <c r="B19" s="846"/>
      <c r="C19" s="855" t="s">
        <v>3024</v>
      </c>
      <c r="D19" s="855"/>
      <c r="E19" s="855" t="s">
        <v>3025</v>
      </c>
      <c r="F19" s="855"/>
      <c r="G19" s="1012">
        <f>+G45</f>
        <v>-1116717.7804166891</v>
      </c>
      <c r="H19" s="1013"/>
      <c r="I19" s="1012">
        <f>+I45</f>
        <v>-1247723.0851597106</v>
      </c>
      <c r="J19" s="1013"/>
      <c r="K19" s="850">
        <f>(+G19+I19)/2</f>
        <v>-1182220.4327881997</v>
      </c>
      <c r="L19" s="844"/>
      <c r="M19" s="844"/>
    </row>
    <row r="20" spans="1:14" ht="13.5" thickBot="1" x14ac:dyDescent="0.25">
      <c r="A20" s="846">
        <v>17</v>
      </c>
      <c r="B20" s="846"/>
      <c r="C20" s="847" t="s">
        <v>227</v>
      </c>
      <c r="D20" s="847"/>
      <c r="E20" s="847" t="s">
        <v>3026</v>
      </c>
      <c r="F20" s="847"/>
      <c r="G20" s="1014">
        <f>+G17+G18+G19</f>
        <v>-8476439.8863143232</v>
      </c>
      <c r="H20" s="1011"/>
      <c r="I20" s="1014">
        <f>+I17+I18+I19</f>
        <v>-8561882.2812394612</v>
      </c>
      <c r="J20" s="1011"/>
      <c r="K20" s="1014">
        <f>+K17+K18+K19</f>
        <v>-8519161.0837768912</v>
      </c>
      <c r="L20" s="844"/>
      <c r="M20" s="847"/>
      <c r="N20" s="649" t="s">
        <v>371</v>
      </c>
    </row>
    <row r="21" spans="1:14" ht="13.5" thickTop="1" x14ac:dyDescent="0.2">
      <c r="A21" s="846">
        <v>18</v>
      </c>
      <c r="B21" s="846"/>
      <c r="C21" s="844"/>
      <c r="D21" s="844"/>
      <c r="E21" s="844"/>
      <c r="F21" s="844"/>
      <c r="G21" s="844"/>
      <c r="H21" s="1015"/>
      <c r="I21" s="844"/>
      <c r="J21" s="1015"/>
      <c r="K21" s="844"/>
      <c r="L21" s="844"/>
      <c r="M21" s="844"/>
    </row>
    <row r="22" spans="1:14" x14ac:dyDescent="0.2">
      <c r="A22" s="846">
        <v>19</v>
      </c>
      <c r="B22" s="846"/>
      <c r="C22" s="845" t="s">
        <v>3027</v>
      </c>
      <c r="D22" s="845"/>
      <c r="E22" s="845"/>
      <c r="F22" s="845"/>
      <c r="G22" s="844"/>
      <c r="H22" s="1015"/>
      <c r="I22" s="844"/>
      <c r="J22" s="1015"/>
      <c r="K22" s="844"/>
      <c r="L22" s="844"/>
      <c r="M22" s="844"/>
    </row>
    <row r="23" spans="1:14" x14ac:dyDescent="0.2">
      <c r="A23" s="846">
        <v>20</v>
      </c>
      <c r="B23" s="846"/>
      <c r="H23" s="773"/>
      <c r="J23" s="773"/>
      <c r="K23" s="650" t="s">
        <v>266</v>
      </c>
    </row>
    <row r="24" spans="1:14" x14ac:dyDescent="0.2">
      <c r="A24" s="846">
        <v>21</v>
      </c>
      <c r="B24" s="846"/>
      <c r="C24" s="845" t="s">
        <v>121</v>
      </c>
      <c r="D24" s="845"/>
      <c r="E24" s="845"/>
      <c r="F24" s="845"/>
      <c r="G24" s="454" t="s">
        <v>436</v>
      </c>
      <c r="H24" s="1016"/>
      <c r="I24" s="454" t="s">
        <v>342</v>
      </c>
      <c r="J24" s="1016"/>
      <c r="K24" s="1017" t="s">
        <v>3028</v>
      </c>
      <c r="M24" s="716" t="s">
        <v>371</v>
      </c>
    </row>
    <row r="25" spans="1:14" x14ac:dyDescent="0.2">
      <c r="A25" s="846">
        <v>22</v>
      </c>
      <c r="B25" s="846"/>
      <c r="C25" t="s">
        <v>3029</v>
      </c>
      <c r="E25" s="855" t="s">
        <v>3030</v>
      </c>
      <c r="F25" s="855"/>
      <c r="G25" s="1018">
        <v>-231716755.49000001</v>
      </c>
      <c r="H25" s="1019"/>
      <c r="I25" s="1018">
        <v>-227870250.05000001</v>
      </c>
      <c r="J25" s="1020"/>
      <c r="M25" s="1007"/>
      <c r="N25" s="895"/>
    </row>
    <row r="26" spans="1:14" x14ac:dyDescent="0.2">
      <c r="A26" s="846">
        <v>23</v>
      </c>
      <c r="B26" s="846"/>
      <c r="C26" t="s">
        <v>1679</v>
      </c>
      <c r="E26" s="1192" t="s">
        <v>3080</v>
      </c>
      <c r="F26" s="1021"/>
      <c r="G26" s="1193">
        <f>-G25*('1-BaseTRR'!K102)</f>
        <v>94404409.83736594</v>
      </c>
      <c r="H26" s="1022"/>
      <c r="I26" s="1193">
        <f>-I25*('1-BaseTRR'!K102)</f>
        <v>92837293.660413042</v>
      </c>
      <c r="J26" s="1022"/>
      <c r="M26" s="1007"/>
    </row>
    <row r="27" spans="1:14" x14ac:dyDescent="0.2">
      <c r="A27" s="846">
        <v>24</v>
      </c>
      <c r="B27" s="846"/>
      <c r="C27" t="s">
        <v>3031</v>
      </c>
      <c r="E27" t="s">
        <v>3032</v>
      </c>
      <c r="G27" s="105">
        <f>+G25+G26</f>
        <v>-137312345.65263408</v>
      </c>
      <c r="H27" s="1023"/>
      <c r="I27" s="105">
        <f>+I25+I26</f>
        <v>-135032956.38958699</v>
      </c>
      <c r="J27" s="1024"/>
      <c r="M27" s="1007"/>
    </row>
    <row r="28" spans="1:14" x14ac:dyDescent="0.2">
      <c r="A28" s="846">
        <v>25</v>
      </c>
      <c r="B28" s="846"/>
      <c r="C28" t="s">
        <v>230</v>
      </c>
      <c r="E28" s="1025" t="s">
        <v>3033</v>
      </c>
      <c r="F28" s="1025"/>
      <c r="G28" s="1026">
        <f>'27-Allocators'!G15</f>
        <v>4.0090597826729017E-2</v>
      </c>
      <c r="H28" s="1027"/>
      <c r="I28" s="1026">
        <f>'27-Allocators'!G15</f>
        <v>4.0090597826729017E-2</v>
      </c>
      <c r="J28" s="1027"/>
      <c r="M28" s="1007"/>
    </row>
    <row r="29" spans="1:14" ht="13.5" thickBot="1" x14ac:dyDescent="0.25">
      <c r="A29" s="846">
        <v>26</v>
      </c>
      <c r="B29" s="846"/>
      <c r="C29" t="s">
        <v>3034</v>
      </c>
      <c r="E29" s="54" t="s">
        <v>3035</v>
      </c>
      <c r="F29" s="54"/>
      <c r="G29" s="1028">
        <f>+G27*G28</f>
        <v>-5504934.0262045553</v>
      </c>
      <c r="H29" s="1029"/>
      <c r="I29" s="1028">
        <f>+I27*I28</f>
        <v>-5413551.9479691703</v>
      </c>
      <c r="J29" s="1029"/>
      <c r="K29" s="1030">
        <f>(G29+I29)/2</f>
        <v>-5459242.9870868623</v>
      </c>
      <c r="M29" s="1007"/>
    </row>
    <row r="30" spans="1:14" ht="13.5" thickTop="1" x14ac:dyDescent="0.2">
      <c r="A30" s="846">
        <v>27</v>
      </c>
      <c r="B30" s="846"/>
      <c r="H30" s="773"/>
      <c r="J30" s="773"/>
      <c r="M30" s="1007"/>
    </row>
    <row r="31" spans="1:14" x14ac:dyDescent="0.2">
      <c r="A31" s="846">
        <v>28</v>
      </c>
      <c r="B31" s="846"/>
      <c r="C31" s="53" t="s">
        <v>3036</v>
      </c>
      <c r="D31" s="53"/>
      <c r="E31" s="53"/>
      <c r="F31" s="53"/>
      <c r="H31" s="773"/>
      <c r="J31" s="773"/>
      <c r="M31" s="1031" t="s">
        <v>371</v>
      </c>
    </row>
    <row r="32" spans="1:14" x14ac:dyDescent="0.2">
      <c r="A32" s="846">
        <v>29</v>
      </c>
      <c r="B32" s="846"/>
      <c r="C32" s="649" t="s">
        <v>3037</v>
      </c>
      <c r="D32" s="649"/>
      <c r="E32" s="855" t="s">
        <v>3030</v>
      </c>
      <c r="F32" s="855"/>
      <c r="G32" s="1018">
        <v>-78072775.059999898</v>
      </c>
      <c r="H32" s="1019"/>
      <c r="I32" s="1018">
        <v>-80001421.070000008</v>
      </c>
      <c r="J32" s="1020"/>
      <c r="M32" s="1007"/>
    </row>
    <row r="33" spans="1:13" x14ac:dyDescent="0.2">
      <c r="A33" s="846">
        <v>30</v>
      </c>
      <c r="B33" s="846"/>
      <c r="C33" t="s">
        <v>1679</v>
      </c>
      <c r="E33" s="1192" t="s">
        <v>3081</v>
      </c>
      <c r="F33" s="1021"/>
      <c r="G33" s="1193">
        <f>-G32*('1-BaseTRR'!K102)</f>
        <v>31807860.58530321</v>
      </c>
      <c r="H33" s="1022"/>
      <c r="I33" s="1193">
        <f>-I32*('1-BaseTRR'!K102)</f>
        <v>32593615.970036741</v>
      </c>
      <c r="J33" s="1022"/>
      <c r="M33" s="1007"/>
    </row>
    <row r="34" spans="1:13" x14ac:dyDescent="0.2">
      <c r="A34" s="846">
        <v>31</v>
      </c>
      <c r="B34" s="846"/>
      <c r="C34" s="649" t="s">
        <v>3038</v>
      </c>
      <c r="D34" s="649"/>
      <c r="E34" t="s">
        <v>3039</v>
      </c>
      <c r="G34" s="105">
        <f>+G32+G33</f>
        <v>-46264914.474696688</v>
      </c>
      <c r="H34" s="1023"/>
      <c r="I34" s="105">
        <f>+I32+I33</f>
        <v>-47407805.099963263</v>
      </c>
      <c r="J34" s="1024"/>
      <c r="M34" s="1007"/>
    </row>
    <row r="35" spans="1:13" x14ac:dyDescent="0.2">
      <c r="A35" s="846">
        <v>32</v>
      </c>
      <c r="B35" s="846"/>
      <c r="C35" t="s">
        <v>230</v>
      </c>
      <c r="E35" s="1025" t="s">
        <v>3033</v>
      </c>
      <c r="F35" s="1025"/>
      <c r="G35" s="1026">
        <f>'27-Allocators'!G15</f>
        <v>4.0090597826729017E-2</v>
      </c>
      <c r="H35" s="1027"/>
      <c r="I35" s="1026">
        <f>'27-Allocators'!G15</f>
        <v>4.0090597826729017E-2</v>
      </c>
      <c r="J35" s="1027"/>
      <c r="M35" s="1007"/>
    </row>
    <row r="36" spans="1:13" ht="13.5" thickBot="1" x14ac:dyDescent="0.25">
      <c r="A36" s="846">
        <v>33</v>
      </c>
      <c r="B36" s="846"/>
      <c r="C36" t="s">
        <v>3034</v>
      </c>
      <c r="E36" s="54" t="s">
        <v>3040</v>
      </c>
      <c r="F36" s="54"/>
      <c r="G36" s="1028">
        <f>+G34*G35</f>
        <v>-1854788.079693079</v>
      </c>
      <c r="H36" s="1029"/>
      <c r="I36" s="1028">
        <f>+I34*I35</f>
        <v>-1900607.24811058</v>
      </c>
      <c r="J36" s="1029"/>
      <c r="K36" s="1030">
        <f>(G36+I36)/2</f>
        <v>-1877697.6639018296</v>
      </c>
      <c r="M36" s="1007"/>
    </row>
    <row r="37" spans="1:13" ht="13.5" thickTop="1" x14ac:dyDescent="0.2">
      <c r="A37" s="846">
        <f t="shared" ref="A37:A45" si="0">1+A36</f>
        <v>34</v>
      </c>
      <c r="H37" s="773"/>
      <c r="J37" s="773"/>
    </row>
    <row r="38" spans="1:13" x14ac:dyDescent="0.2">
      <c r="A38" s="846">
        <f t="shared" si="0"/>
        <v>35</v>
      </c>
      <c r="C38" s="53" t="s">
        <v>3041</v>
      </c>
      <c r="H38" s="773"/>
      <c r="J38" s="773"/>
    </row>
    <row r="39" spans="1:13" x14ac:dyDescent="0.2">
      <c r="A39" s="846">
        <f t="shared" si="0"/>
        <v>36</v>
      </c>
      <c r="C39" s="649" t="s">
        <v>3041</v>
      </c>
      <c r="E39" s="855" t="s">
        <v>3030</v>
      </c>
      <c r="F39" s="855"/>
      <c r="G39" s="113">
        <v>-94011016.169999868</v>
      </c>
      <c r="H39" s="1032"/>
      <c r="I39" s="113">
        <v>-105039712.97999999</v>
      </c>
      <c r="J39" s="1020"/>
    </row>
    <row r="40" spans="1:13" x14ac:dyDescent="0.2">
      <c r="A40" s="846">
        <f t="shared" si="0"/>
        <v>37</v>
      </c>
      <c r="C40" s="649" t="s">
        <v>3042</v>
      </c>
      <c r="E40" s="1033" t="s">
        <v>3043</v>
      </c>
      <c r="G40" s="1034">
        <v>0.5</v>
      </c>
      <c r="H40" s="773"/>
      <c r="I40" s="1034">
        <v>0.5</v>
      </c>
      <c r="J40" s="773"/>
    </row>
    <row r="41" spans="1:13" x14ac:dyDescent="0.2">
      <c r="A41" s="846">
        <f t="shared" si="0"/>
        <v>38</v>
      </c>
      <c r="C41" s="649" t="s">
        <v>3044</v>
      </c>
      <c r="E41" t="s">
        <v>3045</v>
      </c>
      <c r="G41" s="7">
        <f>+G39*G40</f>
        <v>-47005508.084999934</v>
      </c>
      <c r="H41" s="1035"/>
      <c r="I41" s="7">
        <f>+I39*I40</f>
        <v>-52519856.489999995</v>
      </c>
      <c r="J41" s="773"/>
    </row>
    <row r="42" spans="1:13" x14ac:dyDescent="0.2">
      <c r="A42" s="846">
        <f t="shared" si="0"/>
        <v>39</v>
      </c>
      <c r="C42" t="s">
        <v>1679</v>
      </c>
      <c r="E42" s="1192" t="s">
        <v>3082</v>
      </c>
      <c r="F42" s="1021"/>
      <c r="G42" s="1193">
        <f>-G41*('1-BaseTRR'!K102)</f>
        <v>19150653.307250619</v>
      </c>
      <c r="H42" s="1022"/>
      <c r="I42" s="1193">
        <f>-I41*('1-BaseTRR'!K102)</f>
        <v>21397270.327719461</v>
      </c>
      <c r="J42" s="773"/>
    </row>
    <row r="43" spans="1:13" x14ac:dyDescent="0.2">
      <c r="A43" s="846">
        <f t="shared" si="0"/>
        <v>40</v>
      </c>
      <c r="C43" s="649" t="s">
        <v>3046</v>
      </c>
      <c r="E43" s="14" t="s">
        <v>3047</v>
      </c>
      <c r="F43" s="14"/>
      <c r="G43" s="119">
        <f>+G41+G42</f>
        <v>-27854854.777749315</v>
      </c>
      <c r="H43" s="1023"/>
      <c r="I43" s="119">
        <f>+I41+I42</f>
        <v>-31122586.162280533</v>
      </c>
      <c r="J43" s="1024"/>
    </row>
    <row r="44" spans="1:13" x14ac:dyDescent="0.2">
      <c r="A44" s="846">
        <f t="shared" si="0"/>
        <v>41</v>
      </c>
      <c r="C44" t="s">
        <v>230</v>
      </c>
      <c r="E44" s="1025" t="s">
        <v>3033</v>
      </c>
      <c r="F44" s="1025"/>
      <c r="G44" s="1026">
        <f>'27-Allocators'!G15</f>
        <v>4.0090597826729017E-2</v>
      </c>
      <c r="H44" s="1027"/>
      <c r="I44" s="1026">
        <f>'27-Allocators'!G15</f>
        <v>4.0090597826729017E-2</v>
      </c>
      <c r="J44" s="1027"/>
    </row>
    <row r="45" spans="1:13" ht="13.5" thickBot="1" x14ac:dyDescent="0.25">
      <c r="A45" s="846">
        <f t="shared" si="0"/>
        <v>42</v>
      </c>
      <c r="C45" t="s">
        <v>3034</v>
      </c>
      <c r="E45" s="54" t="s">
        <v>3048</v>
      </c>
      <c r="F45" s="54"/>
      <c r="G45" s="1028">
        <f>+G43*G44</f>
        <v>-1116717.7804166891</v>
      </c>
      <c r="H45" s="1029"/>
      <c r="I45" s="1028">
        <f>+I43*I44</f>
        <v>-1247723.0851597106</v>
      </c>
      <c r="J45" s="1029"/>
      <c r="K45" s="1030">
        <f>(G45+I45)/2</f>
        <v>-1182220.4327881997</v>
      </c>
    </row>
    <row r="46" spans="1:13" ht="13.5" thickTop="1" x14ac:dyDescent="0.2">
      <c r="H46" s="773"/>
      <c r="J46" s="773"/>
    </row>
    <row r="47" spans="1:13" x14ac:dyDescent="0.2">
      <c r="H47" s="62"/>
      <c r="J47" s="62"/>
    </row>
    <row r="48" spans="1:13" x14ac:dyDescent="0.2">
      <c r="H48" s="62"/>
      <c r="J48" s="62"/>
    </row>
    <row r="49" spans="8:10" x14ac:dyDescent="0.2">
      <c r="H49" s="62"/>
      <c r="J49" s="62"/>
    </row>
    <row r="50" spans="8:10" x14ac:dyDescent="0.2">
      <c r="H50" s="62"/>
      <c r="J50" s="62"/>
    </row>
    <row r="51" spans="8:10" x14ac:dyDescent="0.2">
      <c r="H51" s="62"/>
      <c r="J51" s="62"/>
    </row>
    <row r="52" spans="8:10" x14ac:dyDescent="0.2">
      <c r="H52" s="62"/>
      <c r="J52" s="62"/>
    </row>
    <row r="53" spans="8:10" x14ac:dyDescent="0.2">
      <c r="H53" s="62"/>
      <c r="J53" s="62"/>
    </row>
    <row r="54" spans="8:10" x14ac:dyDescent="0.2">
      <c r="H54" s="62"/>
      <c r="J54" s="62"/>
    </row>
    <row r="55" spans="8:10" x14ac:dyDescent="0.2">
      <c r="H55" s="62"/>
      <c r="J55" s="62"/>
    </row>
    <row r="56" spans="8:10" x14ac:dyDescent="0.2">
      <c r="H56" s="62"/>
      <c r="J56" s="62"/>
    </row>
    <row r="57" spans="8:10" x14ac:dyDescent="0.2">
      <c r="H57" s="62"/>
      <c r="J57" s="62"/>
    </row>
    <row r="58" spans="8:10" x14ac:dyDescent="0.2">
      <c r="H58" s="62"/>
      <c r="J58" s="62"/>
    </row>
    <row r="59" spans="8:10" x14ac:dyDescent="0.2">
      <c r="H59" s="62"/>
      <c r="J59" s="62"/>
    </row>
    <row r="60" spans="8:10" x14ac:dyDescent="0.2">
      <c r="H60" s="62"/>
      <c r="J60" s="62"/>
    </row>
    <row r="61" spans="8:10" x14ac:dyDescent="0.2">
      <c r="H61" s="62"/>
    </row>
    <row r="62" spans="8:10" x14ac:dyDescent="0.2">
      <c r="H62" s="62"/>
    </row>
  </sheetData>
  <pageMargins left="0.7" right="0.7" top="0.75" bottom="0.75" header="0.3" footer="0.3"/>
  <pageSetup scale="85" orientation="landscape" cellComments="asDisplayed" verticalDpi="0" r:id="rId1"/>
  <headerFooter>
    <oddHeader>&amp;CSchedule 34
Unfunded Reserves
&amp;"Arial,Bold"Exhibit G-1</oddHeader>
    <oddFooter>&amp;R34-UnfundedReserves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2.75" x14ac:dyDescent="0.2"/>
  <cols>
    <col min="1" max="1" width="3.7109375" customWidth="1"/>
    <col min="2" max="2" width="45.7109375" customWidth="1"/>
    <col min="3" max="3" width="12.7109375" customWidth="1"/>
  </cols>
  <sheetData>
    <row r="1" spans="1:6" x14ac:dyDescent="0.2">
      <c r="A1" s="1" t="s">
        <v>1776</v>
      </c>
    </row>
    <row r="3" spans="1:6" x14ac:dyDescent="0.2">
      <c r="A3" s="649" t="s">
        <v>2404</v>
      </c>
    </row>
    <row r="5" spans="1:6" x14ac:dyDescent="0.2">
      <c r="B5" s="3" t="s">
        <v>204</v>
      </c>
      <c r="C5" s="3" t="s">
        <v>205</v>
      </c>
    </row>
    <row r="6" spans="1:6" x14ac:dyDescent="0.2">
      <c r="B6" t="s">
        <v>109</v>
      </c>
      <c r="C6" s="7">
        <f>'1-BaseTRR'!K141</f>
        <v>507719976.98028541</v>
      </c>
    </row>
    <row r="7" spans="1:6" x14ac:dyDescent="0.2">
      <c r="B7" t="s">
        <v>361</v>
      </c>
      <c r="C7" s="7">
        <f>'1-BaseTRR'!K147</f>
        <v>130530590.71188985</v>
      </c>
    </row>
    <row r="8" spans="1:6" x14ac:dyDescent="0.2">
      <c r="B8" t="s">
        <v>110</v>
      </c>
      <c r="C8" s="107">
        <f>'1-BaseTRR'!K148</f>
        <v>0</v>
      </c>
      <c r="E8" s="1"/>
    </row>
    <row r="9" spans="1:6" x14ac:dyDescent="0.2">
      <c r="B9" s="651" t="s">
        <v>2852</v>
      </c>
      <c r="C9" s="48">
        <f>'1-BaseTRR'!K150</f>
        <v>0</v>
      </c>
      <c r="D9" s="14"/>
      <c r="E9" s="45"/>
      <c r="F9" s="14"/>
    </row>
    <row r="10" spans="1:6" x14ac:dyDescent="0.2">
      <c r="B10" s="14" t="s">
        <v>2405</v>
      </c>
      <c r="C10" s="65">
        <f>SUM(C6:C9)</f>
        <v>638250567.69217527</v>
      </c>
      <c r="D10" s="14"/>
      <c r="E10" s="14"/>
      <c r="F10" s="14"/>
    </row>
    <row r="11" spans="1:6" x14ac:dyDescent="0.2">
      <c r="B11" s="14"/>
      <c r="C11" s="14"/>
      <c r="D11" s="14"/>
      <c r="E11" s="14"/>
      <c r="F11" s="14"/>
    </row>
    <row r="12" spans="1:6" x14ac:dyDescent="0.2">
      <c r="A12" t="s">
        <v>621</v>
      </c>
      <c r="B12" s="14"/>
      <c r="C12" s="14"/>
      <c r="D12" s="14"/>
      <c r="E12" s="14"/>
      <c r="F12" s="14"/>
    </row>
    <row r="13" spans="1:6" x14ac:dyDescent="0.2">
      <c r="B13" s="14"/>
      <c r="C13" s="14"/>
      <c r="D13" s="14"/>
      <c r="E13" s="14"/>
      <c r="F13" s="14"/>
    </row>
    <row r="14" spans="1:6" x14ac:dyDescent="0.2">
      <c r="B14" s="14" t="s">
        <v>233</v>
      </c>
      <c r="C14" s="14"/>
      <c r="D14" s="14"/>
      <c r="E14" s="14"/>
      <c r="F14" s="14"/>
    </row>
    <row r="15" spans="1:6" x14ac:dyDescent="0.2">
      <c r="B15" s="648" t="s">
        <v>2627</v>
      </c>
      <c r="C15" s="14"/>
      <c r="D15" s="14"/>
      <c r="E15" s="14"/>
      <c r="F15" s="14"/>
    </row>
    <row r="16" spans="1:6" x14ac:dyDescent="0.2">
      <c r="B16" s="120"/>
      <c r="C16" s="14"/>
      <c r="D16" s="14"/>
      <c r="E16" s="14"/>
      <c r="F16" s="14"/>
    </row>
    <row r="17" spans="2:6" x14ac:dyDescent="0.2">
      <c r="B17" s="14" t="s">
        <v>620</v>
      </c>
      <c r="C17" s="14"/>
      <c r="D17" s="14"/>
      <c r="E17" s="14"/>
      <c r="F17" s="14"/>
    </row>
    <row r="18" spans="2:6" x14ac:dyDescent="0.2">
      <c r="B18" s="651" t="s">
        <v>2628</v>
      </c>
      <c r="C18" s="14"/>
      <c r="D18" s="14"/>
      <c r="E18" s="14"/>
      <c r="F18" s="14"/>
    </row>
    <row r="19" spans="2:6" x14ac:dyDescent="0.2">
      <c r="B19" s="120"/>
      <c r="C19" s="14"/>
      <c r="D19" s="14"/>
      <c r="E19" s="14"/>
      <c r="F19" s="14"/>
    </row>
    <row r="20" spans="2:6" x14ac:dyDescent="0.2">
      <c r="B20" s="1048" t="s">
        <v>1483</v>
      </c>
      <c r="C20" s="14"/>
      <c r="D20" s="14"/>
      <c r="E20" s="14"/>
      <c r="F20" s="14"/>
    </row>
    <row r="21" spans="2:6" x14ac:dyDescent="0.2">
      <c r="B21" s="648" t="s">
        <v>2629</v>
      </c>
      <c r="C21" s="14"/>
      <c r="D21" s="14"/>
      <c r="E21" s="14"/>
      <c r="F21" s="14"/>
    </row>
    <row r="22" spans="2:6" x14ac:dyDescent="0.2">
      <c r="B22" s="14"/>
      <c r="C22" s="14"/>
      <c r="D22" s="14"/>
      <c r="E22" s="14"/>
      <c r="F22" s="14"/>
    </row>
    <row r="23" spans="2:6" x14ac:dyDescent="0.2">
      <c r="B23" s="651" t="s">
        <v>2853</v>
      </c>
      <c r="C23" s="14"/>
      <c r="D23" s="14"/>
      <c r="E23" s="14"/>
      <c r="F23" s="14"/>
    </row>
  </sheetData>
  <phoneticPr fontId="10" type="noConversion"/>
  <pageMargins left="0.75" right="0.75" top="1" bottom="1" header="0.5" footer="0.5"/>
  <pageSetup orientation="landscape" r:id="rId1"/>
  <headerFooter alignWithMargins="0">
    <oddHeader>&amp;COverview
&amp;"Arial,Bold"Exhibit G-1</oddHeader>
    <oddFooter>&amp;ROverview</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defaultRowHeight="12.75" x14ac:dyDescent="0.2"/>
  <cols>
    <col min="1" max="1" width="4.7109375" customWidth="1"/>
    <col min="2" max="5" width="8.7109375" customWidth="1"/>
    <col min="7" max="10" width="12.7109375" customWidth="1"/>
  </cols>
  <sheetData>
    <row r="1" spans="1:14" x14ac:dyDescent="0.2">
      <c r="A1" s="1076" t="s">
        <v>3006</v>
      </c>
      <c r="B1" s="651"/>
      <c r="C1" s="651"/>
      <c r="D1" s="651"/>
      <c r="E1" s="651"/>
      <c r="F1" s="651"/>
      <c r="G1" s="651"/>
      <c r="H1" s="651"/>
      <c r="I1" s="649"/>
      <c r="J1" s="649"/>
      <c r="K1" s="649"/>
      <c r="L1" s="649"/>
    </row>
    <row r="2" spans="1:14" x14ac:dyDescent="0.2">
      <c r="A2" s="1076"/>
      <c r="B2" s="651"/>
      <c r="C2" s="651"/>
      <c r="D2" s="651"/>
      <c r="E2" s="651"/>
      <c r="F2" s="651"/>
      <c r="G2" s="651"/>
      <c r="H2" s="651"/>
      <c r="I2" s="649"/>
      <c r="J2" s="649"/>
      <c r="K2" s="649"/>
      <c r="L2" s="649"/>
    </row>
    <row r="3" spans="1:14" x14ac:dyDescent="0.2">
      <c r="A3" s="651" t="s">
        <v>2958</v>
      </c>
      <c r="B3" s="651"/>
      <c r="C3" s="651"/>
      <c r="D3" s="651"/>
      <c r="E3" s="651"/>
      <c r="F3" s="651"/>
      <c r="G3" s="651"/>
      <c r="H3" s="651"/>
      <c r="I3" s="649"/>
      <c r="J3" s="649"/>
      <c r="K3" s="649"/>
      <c r="L3" s="649"/>
    </row>
    <row r="4" spans="1:14" x14ac:dyDescent="0.2">
      <c r="A4" s="651"/>
      <c r="B4" s="651"/>
      <c r="C4" s="651"/>
      <c r="D4" s="651"/>
      <c r="E4" s="651"/>
      <c r="F4" s="651"/>
      <c r="G4" s="651"/>
      <c r="H4" s="651"/>
      <c r="I4" s="649"/>
      <c r="J4" s="649"/>
      <c r="K4" s="649"/>
      <c r="L4" s="649"/>
    </row>
    <row r="5" spans="1:14" x14ac:dyDescent="0.2">
      <c r="A5" s="651"/>
      <c r="B5" s="651" t="s">
        <v>3009</v>
      </c>
      <c r="C5" s="651"/>
      <c r="D5" s="651"/>
      <c r="E5" s="651"/>
      <c r="F5" s="651"/>
      <c r="G5" s="651"/>
      <c r="H5" s="651"/>
      <c r="I5" s="649"/>
      <c r="J5" s="649"/>
      <c r="K5" s="649"/>
      <c r="L5" s="649"/>
      <c r="M5" s="14"/>
    </row>
    <row r="6" spans="1:14" x14ac:dyDescent="0.2">
      <c r="A6" s="649"/>
      <c r="B6" s="649" t="s">
        <v>2959</v>
      </c>
      <c r="C6" s="649"/>
      <c r="D6" s="649"/>
      <c r="E6" s="649"/>
      <c r="F6" s="649"/>
      <c r="G6" s="649"/>
      <c r="H6" s="649"/>
      <c r="I6" s="649"/>
      <c r="J6" s="649"/>
      <c r="K6" s="649"/>
      <c r="L6" s="649"/>
      <c r="M6" s="14"/>
    </row>
    <row r="7" spans="1:14" x14ac:dyDescent="0.2">
      <c r="A7" s="649"/>
      <c r="B7" s="649" t="s">
        <v>2960</v>
      </c>
      <c r="C7" s="649"/>
      <c r="D7" s="649"/>
      <c r="E7" s="649"/>
      <c r="F7" s="649"/>
      <c r="G7" s="649"/>
      <c r="H7" s="649"/>
      <c r="I7" s="649"/>
      <c r="J7" s="649"/>
      <c r="K7" s="649"/>
      <c r="L7" s="649"/>
      <c r="M7" s="14"/>
    </row>
    <row r="8" spans="1:14" x14ac:dyDescent="0.2">
      <c r="A8" s="649"/>
      <c r="B8" s="649"/>
      <c r="C8" s="649"/>
      <c r="D8" s="649"/>
      <c r="E8" s="649"/>
      <c r="F8" s="649"/>
      <c r="G8" s="649"/>
      <c r="H8" s="649"/>
      <c r="I8" s="649"/>
      <c r="J8" s="649"/>
      <c r="K8" s="649"/>
      <c r="L8" s="649"/>
      <c r="M8" s="14"/>
    </row>
    <row r="9" spans="1:14" x14ac:dyDescent="0.2">
      <c r="A9" s="649"/>
      <c r="B9" s="649" t="s">
        <v>2961</v>
      </c>
      <c r="C9" s="651"/>
      <c r="D9" s="651"/>
      <c r="E9" s="651"/>
      <c r="F9" s="651"/>
      <c r="G9" s="997"/>
      <c r="H9" s="709"/>
      <c r="I9" s="651"/>
      <c r="J9" s="651"/>
      <c r="K9" s="649"/>
      <c r="L9" s="649"/>
      <c r="M9" s="14"/>
    </row>
    <row r="10" spans="1:14" x14ac:dyDescent="0.2">
      <c r="A10" s="55" t="s">
        <v>362</v>
      </c>
      <c r="B10" s="649"/>
      <c r="C10" s="649"/>
      <c r="D10" s="649"/>
      <c r="E10" s="649"/>
      <c r="F10" s="649"/>
      <c r="G10" s="395" t="s">
        <v>2962</v>
      </c>
      <c r="H10" s="395" t="s">
        <v>205</v>
      </c>
      <c r="I10" s="649"/>
      <c r="J10" s="474" t="s">
        <v>209</v>
      </c>
      <c r="K10" s="649"/>
      <c r="L10" s="649"/>
      <c r="M10" s="14"/>
    </row>
    <row r="11" spans="1:14" x14ac:dyDescent="0.2">
      <c r="A11" s="247">
        <v>1</v>
      </c>
      <c r="B11" s="799" t="s">
        <v>2963</v>
      </c>
      <c r="C11" s="649"/>
      <c r="D11" s="649"/>
      <c r="E11" s="649"/>
      <c r="F11" s="649"/>
      <c r="G11" s="998"/>
      <c r="H11" s="659">
        <f>I45</f>
        <v>0</v>
      </c>
      <c r="I11" s="649"/>
      <c r="J11" s="649" t="s">
        <v>407</v>
      </c>
      <c r="K11" s="649"/>
      <c r="L11" s="649"/>
      <c r="M11" s="14"/>
    </row>
    <row r="12" spans="1:14" x14ac:dyDescent="0.2">
      <c r="A12" s="247">
        <v>2</v>
      </c>
      <c r="B12" s="649" t="s">
        <v>2964</v>
      </c>
      <c r="C12" s="649"/>
      <c r="D12" s="649"/>
      <c r="E12" s="649"/>
      <c r="F12" s="649"/>
      <c r="G12" s="998"/>
      <c r="H12" s="659">
        <f>G55</f>
        <v>-105414000</v>
      </c>
      <c r="I12" s="649"/>
      <c r="J12" s="649" t="s">
        <v>408</v>
      </c>
      <c r="K12" s="649"/>
      <c r="L12" s="649"/>
      <c r="M12" s="14"/>
    </row>
    <row r="13" spans="1:14" x14ac:dyDescent="0.2">
      <c r="A13" s="247">
        <v>3</v>
      </c>
      <c r="B13" s="799" t="s">
        <v>2965</v>
      </c>
      <c r="C13" s="649"/>
      <c r="D13" s="649"/>
      <c r="E13" s="649"/>
      <c r="F13" s="649"/>
      <c r="G13" s="649"/>
      <c r="H13" s="659">
        <f>ABS(H11+H12)</f>
        <v>105414000</v>
      </c>
      <c r="I13" s="649"/>
      <c r="J13" s="649" t="s">
        <v>3073</v>
      </c>
      <c r="K13" s="649"/>
      <c r="L13" s="649"/>
      <c r="M13" s="14"/>
    </row>
    <row r="14" spans="1:14" x14ac:dyDescent="0.2">
      <c r="A14" s="247">
        <v>4</v>
      </c>
      <c r="B14" s="799" t="s">
        <v>2966</v>
      </c>
      <c r="C14" s="649"/>
      <c r="D14" s="649"/>
      <c r="E14" s="649"/>
      <c r="F14" s="649"/>
      <c r="G14" s="649"/>
      <c r="H14" s="659">
        <f>G67</f>
        <v>0</v>
      </c>
      <c r="I14" s="649"/>
      <c r="J14" s="649" t="s">
        <v>3011</v>
      </c>
      <c r="K14" s="649"/>
      <c r="L14" s="649"/>
      <c r="M14" s="14"/>
    </row>
    <row r="15" spans="1:14" x14ac:dyDescent="0.2">
      <c r="A15" s="247"/>
      <c r="B15" s="653"/>
      <c r="C15" s="649"/>
      <c r="D15" s="649"/>
      <c r="E15" s="649" t="s">
        <v>371</v>
      </c>
      <c r="F15" s="649"/>
      <c r="G15" s="649"/>
      <c r="H15" s="659"/>
      <c r="I15" s="649"/>
      <c r="J15" s="649"/>
      <c r="K15" s="649"/>
      <c r="L15" s="649"/>
      <c r="M15" s="14"/>
      <c r="N15" s="14"/>
    </row>
    <row r="16" spans="1:14" x14ac:dyDescent="0.2">
      <c r="A16" s="247"/>
      <c r="B16" s="799" t="s">
        <v>3007</v>
      </c>
      <c r="C16" s="649"/>
      <c r="D16" s="649"/>
      <c r="E16" s="649"/>
      <c r="F16" s="649"/>
      <c r="G16" s="649"/>
      <c r="H16" s="659"/>
      <c r="I16" s="649"/>
      <c r="J16" s="474" t="s">
        <v>174</v>
      </c>
      <c r="K16" s="649"/>
      <c r="L16" s="649"/>
      <c r="M16" s="14"/>
      <c r="N16" s="14"/>
    </row>
    <row r="17" spans="1:14" x14ac:dyDescent="0.2">
      <c r="A17" s="247"/>
      <c r="B17" s="799" t="s">
        <v>2967</v>
      </c>
      <c r="C17" s="649"/>
      <c r="D17" s="650" t="str">
        <f>IF(H13&gt;H14, "Yes", "No")</f>
        <v>Yes</v>
      </c>
      <c r="E17" s="649"/>
      <c r="F17" s="649"/>
      <c r="G17" s="649"/>
      <c r="H17" s="659"/>
      <c r="I17" s="649"/>
      <c r="J17" s="649" t="s">
        <v>3008</v>
      </c>
      <c r="K17" s="649"/>
      <c r="L17" s="649"/>
      <c r="M17" s="14"/>
      <c r="N17" s="14"/>
    </row>
    <row r="18" spans="1:14" x14ac:dyDescent="0.2">
      <c r="A18" s="247"/>
      <c r="B18" s="799"/>
      <c r="C18" s="649"/>
      <c r="D18" s="649"/>
      <c r="E18" s="649"/>
      <c r="F18" s="649"/>
      <c r="G18" s="649"/>
      <c r="H18" s="659"/>
      <c r="I18" s="649"/>
      <c r="J18" s="649"/>
      <c r="K18" s="649"/>
      <c r="L18" s="649"/>
      <c r="M18" s="14"/>
      <c r="N18" s="14"/>
    </row>
    <row r="19" spans="1:14" x14ac:dyDescent="0.2">
      <c r="A19" s="247"/>
      <c r="B19" s="799" t="s">
        <v>2968</v>
      </c>
      <c r="C19" s="649"/>
      <c r="D19" s="649"/>
      <c r="E19" s="649"/>
      <c r="F19" s="649"/>
      <c r="G19" s="615" t="s">
        <v>2969</v>
      </c>
      <c r="H19" s="615" t="s">
        <v>2970</v>
      </c>
      <c r="I19" s="615" t="s">
        <v>2971</v>
      </c>
      <c r="J19" s="649"/>
      <c r="K19" s="649"/>
      <c r="L19" s="649"/>
      <c r="M19" s="14"/>
      <c r="N19" s="14"/>
    </row>
    <row r="20" spans="1:14" x14ac:dyDescent="0.2">
      <c r="A20" s="247"/>
      <c r="B20" s="799" t="s">
        <v>2972</v>
      </c>
      <c r="C20" s="649"/>
      <c r="D20" s="649"/>
      <c r="E20" s="649"/>
      <c r="F20" s="649"/>
      <c r="G20" s="650" t="s">
        <v>3069</v>
      </c>
      <c r="H20" s="256" t="s">
        <v>2973</v>
      </c>
      <c r="I20" s="649"/>
      <c r="J20" s="649"/>
      <c r="K20" s="649"/>
      <c r="L20" s="649"/>
      <c r="M20" s="14"/>
      <c r="N20" s="14"/>
    </row>
    <row r="21" spans="1:14" x14ac:dyDescent="0.2">
      <c r="A21" s="247"/>
      <c r="B21" s="649"/>
      <c r="C21" s="649"/>
      <c r="D21" s="649"/>
      <c r="E21" s="649"/>
      <c r="F21" s="649"/>
      <c r="G21" s="649"/>
      <c r="H21" s="839" t="s">
        <v>234</v>
      </c>
      <c r="I21" s="649"/>
      <c r="J21" s="649"/>
      <c r="K21" s="649"/>
      <c r="L21" s="649"/>
      <c r="M21" s="14"/>
      <c r="N21" s="14"/>
    </row>
    <row r="22" spans="1:14" x14ac:dyDescent="0.2">
      <c r="A22" s="247"/>
      <c r="B22" s="649"/>
      <c r="C22" s="649"/>
      <c r="D22" s="649"/>
      <c r="E22" s="649"/>
      <c r="F22" s="649"/>
      <c r="G22" s="247" t="s">
        <v>228</v>
      </c>
      <c r="H22" s="256" t="s">
        <v>2974</v>
      </c>
      <c r="I22" s="247" t="s">
        <v>2975</v>
      </c>
      <c r="J22" s="649"/>
      <c r="K22" s="649"/>
      <c r="L22" s="649"/>
      <c r="M22" s="14"/>
      <c r="N22" s="14"/>
    </row>
    <row r="23" spans="1:14" x14ac:dyDescent="0.2">
      <c r="A23" s="247"/>
      <c r="B23" s="649"/>
      <c r="C23" s="649"/>
      <c r="D23" s="649"/>
      <c r="E23" s="649"/>
      <c r="F23" s="649"/>
      <c r="G23" s="247" t="s">
        <v>2976</v>
      </c>
      <c r="H23" s="256" t="s">
        <v>2977</v>
      </c>
      <c r="I23" s="247" t="s">
        <v>2976</v>
      </c>
      <c r="J23" s="649"/>
      <c r="K23" s="649"/>
      <c r="L23" s="649"/>
      <c r="M23" s="14"/>
      <c r="N23" s="14"/>
    </row>
    <row r="24" spans="1:14" x14ac:dyDescent="0.2">
      <c r="A24" s="55" t="s">
        <v>362</v>
      </c>
      <c r="B24" s="649"/>
      <c r="C24" s="649"/>
      <c r="D24" s="649"/>
      <c r="E24" s="395" t="s">
        <v>223</v>
      </c>
      <c r="F24" s="649"/>
      <c r="G24" s="395" t="s">
        <v>2978</v>
      </c>
      <c r="H24" s="258" t="s">
        <v>329</v>
      </c>
      <c r="I24" s="395" t="s">
        <v>366</v>
      </c>
      <c r="J24" s="758" t="s">
        <v>3070</v>
      </c>
      <c r="K24" s="651"/>
      <c r="L24" s="651"/>
      <c r="M24" s="14"/>
      <c r="N24" s="14"/>
    </row>
    <row r="25" spans="1:14" x14ac:dyDescent="0.2">
      <c r="A25" s="247">
        <v>5</v>
      </c>
      <c r="B25" s="649"/>
      <c r="C25" s="649"/>
      <c r="D25" s="649"/>
      <c r="E25" s="998"/>
      <c r="F25" s="649"/>
      <c r="G25" s="659">
        <f>G60</f>
        <v>0</v>
      </c>
      <c r="H25" s="659">
        <f>H11/2</f>
        <v>0</v>
      </c>
      <c r="I25" s="659">
        <f>SUM(G25:H25)</f>
        <v>0</v>
      </c>
      <c r="J25" s="1097" t="s">
        <v>3071</v>
      </c>
      <c r="K25" s="651"/>
      <c r="L25" s="651"/>
      <c r="M25" s="14"/>
      <c r="N25" s="14"/>
    </row>
    <row r="26" spans="1:14" x14ac:dyDescent="0.2">
      <c r="A26" s="247">
        <v>6</v>
      </c>
      <c r="B26" s="649"/>
      <c r="C26" s="649"/>
      <c r="D26" s="649"/>
      <c r="E26" s="998"/>
      <c r="F26" s="649"/>
      <c r="G26" s="659">
        <f>G61</f>
        <v>0</v>
      </c>
      <c r="H26" s="659">
        <f>H11/2</f>
        <v>0</v>
      </c>
      <c r="I26" s="659">
        <f>SUM(G26:H26)</f>
        <v>0</v>
      </c>
      <c r="J26" s="1097" t="s">
        <v>3071</v>
      </c>
      <c r="K26" s="651"/>
      <c r="L26" s="651"/>
      <c r="M26" s="14"/>
      <c r="N26" s="14"/>
    </row>
    <row r="27" spans="1:14" x14ac:dyDescent="0.2">
      <c r="A27" s="247">
        <v>7</v>
      </c>
      <c r="B27" s="653"/>
      <c r="C27" s="649"/>
      <c r="D27" s="649"/>
      <c r="E27" s="998"/>
      <c r="F27" s="649"/>
      <c r="G27" s="659">
        <f t="shared" ref="G27:G29" si="0">G62</f>
        <v>0</v>
      </c>
      <c r="H27" s="665" t="s">
        <v>88</v>
      </c>
      <c r="I27" s="659">
        <f xml:space="preserve"> SUM($G$27:$G$29)/3</f>
        <v>0</v>
      </c>
      <c r="J27" s="648" t="s">
        <v>3072</v>
      </c>
      <c r="K27" s="651"/>
      <c r="L27" s="651"/>
    </row>
    <row r="28" spans="1:14" x14ac:dyDescent="0.2">
      <c r="A28" s="247">
        <v>8</v>
      </c>
      <c r="B28" s="244"/>
      <c r="C28" s="649"/>
      <c r="D28" s="649"/>
      <c r="E28" s="998"/>
      <c r="F28" s="649"/>
      <c r="G28" s="659">
        <f t="shared" si="0"/>
        <v>0</v>
      </c>
      <c r="H28" s="665" t="s">
        <v>88</v>
      </c>
      <c r="I28" s="659">
        <f t="shared" ref="I28:I29" si="1" xml:space="preserve"> SUM($G$27:$G$29)/3</f>
        <v>0</v>
      </c>
      <c r="J28" s="648" t="s">
        <v>3072</v>
      </c>
      <c r="K28" s="651"/>
      <c r="L28" s="651"/>
    </row>
    <row r="29" spans="1:14" x14ac:dyDescent="0.2">
      <c r="A29" s="247">
        <v>9</v>
      </c>
      <c r="B29" s="649"/>
      <c r="C29" s="649"/>
      <c r="D29" s="649"/>
      <c r="E29" s="998"/>
      <c r="F29" s="649"/>
      <c r="G29" s="659">
        <f t="shared" si="0"/>
        <v>0</v>
      </c>
      <c r="H29" s="665" t="s">
        <v>88</v>
      </c>
      <c r="I29" s="659">
        <f t="shared" si="1"/>
        <v>0</v>
      </c>
      <c r="J29" s="648" t="s">
        <v>3072</v>
      </c>
      <c r="K29" s="651"/>
      <c r="L29" s="651"/>
    </row>
    <row r="30" spans="1:14" x14ac:dyDescent="0.2">
      <c r="A30" s="649"/>
      <c r="B30" s="649"/>
      <c r="C30" s="649"/>
      <c r="D30" s="649"/>
      <c r="E30" s="649"/>
      <c r="F30" s="649"/>
      <c r="G30" s="649"/>
      <c r="H30" s="649"/>
      <c r="I30" s="649"/>
      <c r="J30" s="649"/>
      <c r="K30" s="649"/>
      <c r="L30" s="649"/>
    </row>
    <row r="31" spans="1:14" x14ac:dyDescent="0.2">
      <c r="A31" s="622" t="s">
        <v>267</v>
      </c>
      <c r="B31" s="649"/>
      <c r="C31" s="649"/>
      <c r="D31" s="649"/>
      <c r="E31" s="649"/>
      <c r="F31" s="649"/>
      <c r="G31" s="649"/>
      <c r="H31" s="649"/>
      <c r="I31" s="649"/>
      <c r="J31" s="649"/>
      <c r="K31" s="649"/>
      <c r="L31" s="649"/>
    </row>
    <row r="32" spans="1:14" x14ac:dyDescent="0.2">
      <c r="A32" s="649" t="s">
        <v>2979</v>
      </c>
      <c r="B32" s="649"/>
      <c r="C32" s="649"/>
      <c r="D32" s="649"/>
      <c r="E32" s="649"/>
      <c r="F32" s="649"/>
      <c r="G32" s="649"/>
      <c r="H32" s="649"/>
      <c r="I32" s="649"/>
      <c r="J32" s="649"/>
      <c r="K32" s="649"/>
      <c r="L32" s="649"/>
    </row>
    <row r="33" spans="1:14" x14ac:dyDescent="0.2">
      <c r="A33" s="653" t="s">
        <v>2980</v>
      </c>
      <c r="B33" s="649"/>
      <c r="C33" s="649"/>
      <c r="D33" s="649"/>
      <c r="E33" s="649"/>
      <c r="F33" s="649"/>
      <c r="G33" s="649"/>
      <c r="H33" s="649"/>
      <c r="I33" s="649"/>
      <c r="J33" s="649"/>
      <c r="K33" s="649"/>
      <c r="L33" s="649"/>
    </row>
    <row r="34" spans="1:14" x14ac:dyDescent="0.2">
      <c r="A34" s="653" t="s">
        <v>2981</v>
      </c>
      <c r="B34" s="649"/>
      <c r="C34" s="649"/>
      <c r="D34" s="649"/>
      <c r="E34" s="649"/>
      <c r="F34" s="649"/>
      <c r="G34" s="649"/>
      <c r="H34" s="649"/>
      <c r="I34" s="649"/>
      <c r="J34" s="649"/>
      <c r="K34" s="649"/>
      <c r="L34" s="649"/>
    </row>
    <row r="35" spans="1:14" x14ac:dyDescent="0.2">
      <c r="A35" s="653"/>
      <c r="B35" s="649"/>
      <c r="C35" s="649"/>
      <c r="D35" s="649"/>
      <c r="E35" s="649"/>
      <c r="F35" s="649"/>
      <c r="G35" s="649"/>
      <c r="H35" s="649"/>
      <c r="I35" s="649"/>
      <c r="J35" s="649"/>
      <c r="K35" s="649"/>
      <c r="L35" s="649"/>
    </row>
    <row r="36" spans="1:14" x14ac:dyDescent="0.2">
      <c r="A36" s="247"/>
      <c r="B36" s="649"/>
      <c r="C36" s="649"/>
      <c r="D36" s="649"/>
      <c r="E36" s="649"/>
      <c r="F36" s="649"/>
      <c r="G36" s="649"/>
      <c r="H36" s="395" t="s">
        <v>205</v>
      </c>
      <c r="I36" s="395" t="s">
        <v>235</v>
      </c>
      <c r="J36" s="649"/>
      <c r="K36" s="649"/>
      <c r="L36" s="649"/>
    </row>
    <row r="37" spans="1:14" x14ac:dyDescent="0.2">
      <c r="A37" s="247"/>
      <c r="B37" s="649" t="s">
        <v>2982</v>
      </c>
      <c r="C37" s="649"/>
      <c r="D37" s="649"/>
      <c r="E37" s="649"/>
      <c r="F37" s="649"/>
      <c r="G37" s="665"/>
      <c r="H37" s="659">
        <f>'20-AandG'!E68</f>
        <v>52707000</v>
      </c>
      <c r="I37" s="653" t="s">
        <v>2983</v>
      </c>
      <c r="J37" s="649"/>
      <c r="K37" s="649"/>
      <c r="L37" s="649"/>
    </row>
    <row r="38" spans="1:14" x14ac:dyDescent="0.2">
      <c r="A38" s="653"/>
      <c r="B38" s="649"/>
      <c r="C38" s="649"/>
      <c r="D38" s="649"/>
      <c r="E38" s="649"/>
      <c r="F38" s="649"/>
      <c r="G38" s="649"/>
      <c r="H38" s="649"/>
      <c r="I38" s="649"/>
      <c r="J38" s="649"/>
      <c r="K38" s="649"/>
      <c r="L38" s="649"/>
    </row>
    <row r="39" spans="1:14" x14ac:dyDescent="0.2">
      <c r="A39" s="653" t="s">
        <v>3010</v>
      </c>
      <c r="B39" s="649"/>
      <c r="C39" s="649"/>
      <c r="D39" s="649"/>
      <c r="E39" s="649"/>
      <c r="F39" s="651"/>
      <c r="G39" s="651"/>
      <c r="H39" s="649"/>
      <c r="I39" s="247" t="s">
        <v>2984</v>
      </c>
      <c r="J39" s="649"/>
      <c r="K39" s="649"/>
      <c r="L39" s="649"/>
      <c r="N39" s="16"/>
    </row>
    <row r="40" spans="1:14" x14ac:dyDescent="0.2">
      <c r="A40" s="653"/>
      <c r="B40" s="649" t="s">
        <v>371</v>
      </c>
      <c r="C40" s="649"/>
      <c r="D40" s="649"/>
      <c r="E40" s="649"/>
      <c r="F40" s="247"/>
      <c r="G40" s="247" t="s">
        <v>2976</v>
      </c>
      <c r="H40" s="247" t="s">
        <v>2976</v>
      </c>
      <c r="I40" s="247" t="s">
        <v>2985</v>
      </c>
      <c r="J40" s="649"/>
      <c r="K40" s="649"/>
      <c r="L40" s="649"/>
    </row>
    <row r="41" spans="1:14" x14ac:dyDescent="0.2">
      <c r="A41" s="653"/>
      <c r="B41" s="649" t="s">
        <v>2986</v>
      </c>
      <c r="C41" s="649"/>
      <c r="D41" s="649"/>
      <c r="E41" s="649"/>
      <c r="F41" s="395" t="s">
        <v>223</v>
      </c>
      <c r="G41" s="395" t="s">
        <v>2978</v>
      </c>
      <c r="H41" s="395" t="s">
        <v>2977</v>
      </c>
      <c r="I41" s="395" t="s">
        <v>2977</v>
      </c>
      <c r="J41" s="649"/>
      <c r="K41" s="649"/>
      <c r="L41" s="649"/>
    </row>
    <row r="42" spans="1:14" x14ac:dyDescent="0.2">
      <c r="A42" s="653"/>
      <c r="B42" s="649" t="s">
        <v>2987</v>
      </c>
      <c r="C42" s="649"/>
      <c r="D42" s="649"/>
      <c r="E42" s="649"/>
      <c r="F42" s="998"/>
      <c r="G42" s="738"/>
      <c r="H42" s="738"/>
      <c r="I42" s="659">
        <f>G42-H42</f>
        <v>0</v>
      </c>
      <c r="J42" s="653"/>
      <c r="K42" s="649"/>
      <c r="L42" s="649"/>
    </row>
    <row r="43" spans="1:14" x14ac:dyDescent="0.2">
      <c r="A43" s="653"/>
      <c r="B43" s="649"/>
      <c r="C43" s="649"/>
      <c r="D43" s="649"/>
      <c r="E43" s="649"/>
      <c r="F43" s="998"/>
      <c r="G43" s="738"/>
      <c r="H43" s="738"/>
      <c r="I43" s="659">
        <f>G43-H43</f>
        <v>0</v>
      </c>
      <c r="J43" s="649"/>
      <c r="K43" s="649"/>
      <c r="L43" s="649"/>
    </row>
    <row r="44" spans="1:14" x14ac:dyDescent="0.2">
      <c r="A44" s="653"/>
      <c r="B44" s="649"/>
      <c r="C44" s="649"/>
      <c r="D44" s="649"/>
      <c r="E44" s="649"/>
      <c r="F44" s="783" t="s">
        <v>578</v>
      </c>
      <c r="G44" s="738"/>
      <c r="H44" s="738"/>
      <c r="I44" s="649"/>
      <c r="J44" s="649"/>
      <c r="K44" s="649"/>
      <c r="L44" s="649"/>
    </row>
    <row r="45" spans="1:14" x14ac:dyDescent="0.2">
      <c r="A45" s="653"/>
      <c r="B45" s="649"/>
      <c r="C45" s="649"/>
      <c r="D45" s="649"/>
      <c r="E45" s="649"/>
      <c r="F45" s="997"/>
      <c r="G45" s="709"/>
      <c r="H45" s="999" t="s">
        <v>2988</v>
      </c>
      <c r="I45" s="659">
        <f>SUM(I42:I44)</f>
        <v>0</v>
      </c>
      <c r="J45" s="653" t="s">
        <v>2989</v>
      </c>
      <c r="K45" s="649"/>
      <c r="L45" s="649"/>
    </row>
    <row r="46" spans="1:14" x14ac:dyDescent="0.2">
      <c r="A46" s="653"/>
      <c r="B46" s="649"/>
      <c r="C46" s="649"/>
      <c r="D46" s="649"/>
      <c r="E46" s="649"/>
      <c r="F46" s="997"/>
      <c r="G46" s="651"/>
      <c r="H46" s="649"/>
      <c r="I46" s="649"/>
      <c r="J46" s="649"/>
      <c r="K46" s="649"/>
      <c r="L46" s="649"/>
    </row>
    <row r="47" spans="1:14" x14ac:dyDescent="0.2">
      <c r="A47" s="649" t="s">
        <v>2990</v>
      </c>
      <c r="B47" s="649"/>
      <c r="C47" s="649"/>
      <c r="D47" s="649"/>
      <c r="E47" s="649"/>
      <c r="F47" s="649"/>
      <c r="G47" s="649"/>
      <c r="H47" s="649"/>
      <c r="I47" s="649"/>
      <c r="J47" s="649"/>
      <c r="K47" s="649"/>
      <c r="L47" s="649"/>
    </row>
    <row r="48" spans="1:14" x14ac:dyDescent="0.2">
      <c r="A48" s="653" t="s">
        <v>2991</v>
      </c>
      <c r="B48" s="649"/>
      <c r="C48" s="649"/>
      <c r="D48" s="649"/>
      <c r="E48" s="649"/>
      <c r="F48" s="649"/>
      <c r="G48" s="649"/>
      <c r="H48" s="649"/>
      <c r="I48" s="649"/>
      <c r="J48" s="649"/>
      <c r="K48" s="649"/>
      <c r="L48" s="649"/>
    </row>
    <row r="49" spans="1:12" x14ac:dyDescent="0.2">
      <c r="A49" s="653" t="s">
        <v>2992</v>
      </c>
      <c r="B49" s="649"/>
      <c r="C49" s="649"/>
      <c r="D49" s="649"/>
      <c r="E49" s="649"/>
      <c r="F49" s="649"/>
      <c r="G49" s="649"/>
      <c r="H49" s="649"/>
      <c r="I49" s="649"/>
      <c r="J49" s="649"/>
      <c r="K49" s="649"/>
      <c r="L49" s="649"/>
    </row>
    <row r="50" spans="1:12" x14ac:dyDescent="0.2">
      <c r="A50" s="653" t="s">
        <v>2993</v>
      </c>
      <c r="B50" s="649"/>
      <c r="C50" s="649"/>
      <c r="D50" s="649"/>
      <c r="E50" s="649"/>
      <c r="F50" s="649"/>
      <c r="G50" s="649"/>
      <c r="H50" s="649"/>
      <c r="I50" s="649"/>
      <c r="J50" s="649"/>
      <c r="K50" s="649"/>
      <c r="L50" s="649"/>
    </row>
    <row r="51" spans="1:12" x14ac:dyDescent="0.2">
      <c r="A51" s="653" t="s">
        <v>2994</v>
      </c>
      <c r="B51" s="649"/>
      <c r="C51" s="649"/>
      <c r="D51" s="649"/>
      <c r="E51" s="649"/>
      <c r="F51" s="649"/>
      <c r="G51" s="649"/>
      <c r="H51" s="649"/>
      <c r="I51" s="649"/>
      <c r="J51" s="649"/>
      <c r="K51" s="649"/>
      <c r="L51" s="649"/>
    </row>
    <row r="52" spans="1:12" x14ac:dyDescent="0.2">
      <c r="A52" s="649"/>
      <c r="B52" s="649"/>
      <c r="C52" s="649"/>
      <c r="D52" s="649"/>
      <c r="E52" s="649"/>
      <c r="F52" s="649"/>
      <c r="G52" s="395" t="s">
        <v>205</v>
      </c>
      <c r="H52" s="395" t="s">
        <v>174</v>
      </c>
      <c r="I52" s="649"/>
      <c r="J52" s="649"/>
      <c r="K52" s="649"/>
      <c r="L52" s="649"/>
    </row>
    <row r="53" spans="1:12" x14ac:dyDescent="0.2">
      <c r="A53" s="247" t="s">
        <v>2462</v>
      </c>
      <c r="B53" s="649"/>
      <c r="C53" s="649"/>
      <c r="D53" s="649"/>
      <c r="E53" s="649"/>
      <c r="F53" s="647" t="s">
        <v>2995</v>
      </c>
      <c r="G53" s="659">
        <f>G60+G61</f>
        <v>0</v>
      </c>
      <c r="H53" s="653" t="s">
        <v>2996</v>
      </c>
      <c r="I53" s="649"/>
      <c r="J53" s="649"/>
      <c r="K53" s="649"/>
      <c r="L53" s="649"/>
    </row>
    <row r="54" spans="1:12" x14ac:dyDescent="0.2">
      <c r="A54" s="247" t="s">
        <v>2463</v>
      </c>
      <c r="B54" s="649"/>
      <c r="C54" s="649"/>
      <c r="D54" s="649"/>
      <c r="E54" s="649"/>
      <c r="F54" s="647" t="s">
        <v>2997</v>
      </c>
      <c r="G54" s="394">
        <f>H37*2</f>
        <v>105414000</v>
      </c>
      <c r="H54" s="653" t="s">
        <v>2998</v>
      </c>
      <c r="I54" s="649"/>
      <c r="J54" s="649"/>
      <c r="K54" s="649"/>
      <c r="L54" s="649"/>
    </row>
    <row r="55" spans="1:12" x14ac:dyDescent="0.2">
      <c r="A55" s="247" t="s">
        <v>2464</v>
      </c>
      <c r="B55" s="649"/>
      <c r="C55" s="649"/>
      <c r="D55" s="649"/>
      <c r="E55" s="649"/>
      <c r="F55" s="647" t="s">
        <v>2999</v>
      </c>
      <c r="G55" s="659">
        <f xml:space="preserve"> G53-G54</f>
        <v>-105414000</v>
      </c>
      <c r="H55" s="653" t="s">
        <v>3000</v>
      </c>
      <c r="I55" s="649"/>
      <c r="J55" s="649"/>
      <c r="K55" s="649"/>
      <c r="L55" s="649"/>
    </row>
    <row r="56" spans="1:12" x14ac:dyDescent="0.2">
      <c r="A56" s="247"/>
      <c r="B56" s="649"/>
      <c r="C56" s="649"/>
      <c r="D56" s="649"/>
      <c r="E56" s="649"/>
      <c r="F56" s="649"/>
      <c r="G56" s="649"/>
      <c r="H56" s="649"/>
      <c r="I56" s="649"/>
      <c r="J56" s="649"/>
      <c r="K56" s="649"/>
      <c r="L56" s="649"/>
    </row>
    <row r="57" spans="1:12" x14ac:dyDescent="0.2">
      <c r="A57" s="247"/>
      <c r="B57" s="649"/>
      <c r="C57" s="649"/>
      <c r="D57" s="649" t="s">
        <v>3001</v>
      </c>
      <c r="E57" s="649"/>
      <c r="F57" s="649"/>
      <c r="G57" s="649"/>
      <c r="H57" s="649"/>
      <c r="I57" s="649"/>
      <c r="J57" s="649"/>
      <c r="K57" s="649"/>
      <c r="L57" s="649"/>
    </row>
    <row r="58" spans="1:12" x14ac:dyDescent="0.2">
      <c r="A58" s="247"/>
      <c r="B58" s="649"/>
      <c r="C58" s="649"/>
      <c r="D58" s="649"/>
      <c r="E58" s="649"/>
      <c r="F58" s="247"/>
      <c r="G58" s="247" t="s">
        <v>3002</v>
      </c>
      <c r="H58" s="649"/>
      <c r="I58" s="649"/>
      <c r="J58" s="649"/>
      <c r="K58" s="649"/>
      <c r="L58" s="649"/>
    </row>
    <row r="59" spans="1:12" x14ac:dyDescent="0.2">
      <c r="A59" s="247"/>
      <c r="B59" s="649"/>
      <c r="C59" s="649"/>
      <c r="D59" s="649"/>
      <c r="E59" s="649"/>
      <c r="F59" s="395" t="s">
        <v>223</v>
      </c>
      <c r="G59" s="395" t="s">
        <v>2978</v>
      </c>
      <c r="H59" s="649"/>
      <c r="I59" s="649"/>
      <c r="J59" s="649"/>
      <c r="K59" s="649"/>
      <c r="L59" s="649"/>
    </row>
    <row r="60" spans="1:12" x14ac:dyDescent="0.2">
      <c r="A60" s="247" t="s">
        <v>2465</v>
      </c>
      <c r="B60" s="649"/>
      <c r="C60" s="649"/>
      <c r="D60" s="649"/>
      <c r="E60" s="649"/>
      <c r="F60" s="998"/>
      <c r="G60" s="738"/>
      <c r="H60" s="649"/>
      <c r="I60" s="649"/>
      <c r="J60" s="649"/>
      <c r="K60" s="649"/>
      <c r="L60" s="649"/>
    </row>
    <row r="61" spans="1:12" x14ac:dyDescent="0.2">
      <c r="A61" s="247" t="s">
        <v>2466</v>
      </c>
      <c r="B61" s="649"/>
      <c r="C61" s="649"/>
      <c r="D61" s="649"/>
      <c r="E61" s="649"/>
      <c r="F61" s="998"/>
      <c r="G61" s="738"/>
      <c r="H61" s="649"/>
      <c r="I61" s="649"/>
      <c r="J61" s="649"/>
      <c r="K61" s="649"/>
      <c r="L61" s="649"/>
    </row>
    <row r="62" spans="1:12" x14ac:dyDescent="0.2">
      <c r="A62" s="247" t="s">
        <v>2467</v>
      </c>
      <c r="B62" s="649"/>
      <c r="C62" s="649"/>
      <c r="D62" s="649"/>
      <c r="E62" s="649"/>
      <c r="F62" s="998"/>
      <c r="G62" s="738"/>
      <c r="H62" s="649"/>
      <c r="I62" s="649"/>
      <c r="J62" s="649"/>
      <c r="K62" s="649"/>
      <c r="L62" s="649"/>
    </row>
    <row r="63" spans="1:12" x14ac:dyDescent="0.2">
      <c r="A63" s="247" t="s">
        <v>2469</v>
      </c>
      <c r="B63" s="649"/>
      <c r="C63" s="649"/>
      <c r="D63" s="649"/>
      <c r="E63" s="649"/>
      <c r="F63" s="998"/>
      <c r="G63" s="738"/>
      <c r="H63" s="649"/>
      <c r="I63" s="649"/>
      <c r="J63" s="649"/>
      <c r="K63" s="649"/>
      <c r="L63" s="649"/>
    </row>
    <row r="64" spans="1:12" x14ac:dyDescent="0.2">
      <c r="A64" s="247" t="s">
        <v>2779</v>
      </c>
      <c r="B64" s="649"/>
      <c r="C64" s="649"/>
      <c r="D64" s="649"/>
      <c r="E64" s="649"/>
      <c r="F64" s="998"/>
      <c r="G64" s="738"/>
      <c r="H64" s="649"/>
      <c r="I64" s="649"/>
      <c r="J64" s="649"/>
      <c r="K64" s="649"/>
      <c r="L64" s="649"/>
    </row>
    <row r="65" spans="1:13" x14ac:dyDescent="0.2">
      <c r="A65" s="247"/>
      <c r="B65" s="649"/>
      <c r="C65" s="649"/>
      <c r="D65" s="649"/>
      <c r="E65" s="649"/>
      <c r="F65" s="649"/>
      <c r="G65" s="649"/>
      <c r="H65" s="649"/>
      <c r="I65" s="649"/>
      <c r="J65" s="649"/>
      <c r="K65" s="649"/>
      <c r="L65" s="649"/>
    </row>
    <row r="66" spans="1:13" x14ac:dyDescent="0.2">
      <c r="A66" s="651"/>
      <c r="B66" s="651" t="s">
        <v>3003</v>
      </c>
      <c r="C66" s="651"/>
      <c r="D66" s="651"/>
      <c r="E66" s="651"/>
      <c r="F66" s="651"/>
      <c r="G66" s="651"/>
      <c r="H66" s="611" t="s">
        <v>174</v>
      </c>
      <c r="I66" s="651"/>
      <c r="J66" s="651"/>
      <c r="K66" s="651"/>
      <c r="L66" s="651"/>
      <c r="M66" s="14"/>
    </row>
    <row r="67" spans="1:13" x14ac:dyDescent="0.2">
      <c r="A67" s="610" t="s">
        <v>2780</v>
      </c>
      <c r="B67" s="651" t="s">
        <v>3004</v>
      </c>
      <c r="C67" s="651"/>
      <c r="D67" s="651"/>
      <c r="E67" s="651"/>
      <c r="F67" s="651"/>
      <c r="G67" s="709">
        <f xml:space="preserve"> (G60+G61)*0.2</f>
        <v>0</v>
      </c>
      <c r="H67" s="648" t="s">
        <v>3014</v>
      </c>
      <c r="I67" s="651"/>
      <c r="J67" s="651"/>
      <c r="K67" s="651"/>
      <c r="L67" s="651"/>
      <c r="M67" s="14"/>
    </row>
    <row r="68" spans="1:13" x14ac:dyDescent="0.2">
      <c r="A68" s="14"/>
      <c r="B68" s="14"/>
      <c r="C68" s="14"/>
      <c r="D68" s="14"/>
      <c r="E68" s="14"/>
      <c r="F68" s="14"/>
      <c r="G68" s="14"/>
      <c r="H68" s="14"/>
      <c r="I68" s="14"/>
      <c r="J68" s="14"/>
      <c r="K68" s="14"/>
      <c r="L68" s="14"/>
      <c r="M68" s="14"/>
    </row>
    <row r="69" spans="1:13" x14ac:dyDescent="0.2">
      <c r="A69" s="1165" t="s">
        <v>433</v>
      </c>
      <c r="B69" s="14"/>
      <c r="C69" s="14"/>
      <c r="D69" s="14"/>
      <c r="E69" s="14"/>
      <c r="F69" s="14"/>
      <c r="G69" s="14"/>
      <c r="H69" s="14"/>
      <c r="I69" s="14"/>
      <c r="J69" s="14"/>
      <c r="K69" s="14"/>
      <c r="L69" s="14"/>
      <c r="M69" s="14"/>
    </row>
    <row r="70" spans="1:13" x14ac:dyDescent="0.2">
      <c r="A70" s="648" t="s">
        <v>3012</v>
      </c>
      <c r="B70" s="14"/>
      <c r="C70" s="14"/>
      <c r="D70" s="14"/>
      <c r="E70" s="14"/>
      <c r="F70" s="14"/>
      <c r="G70" s="14"/>
      <c r="H70" s="14"/>
      <c r="I70" s="14"/>
      <c r="J70" s="14"/>
      <c r="K70" s="14"/>
      <c r="L70" s="14"/>
      <c r="M70" s="14"/>
    </row>
    <row r="71" spans="1:13" x14ac:dyDescent="0.2">
      <c r="A71" s="1061" t="s">
        <v>3013</v>
      </c>
      <c r="B71" s="14"/>
      <c r="C71" s="14"/>
      <c r="D71" s="14"/>
      <c r="E71" s="14"/>
      <c r="F71" s="14"/>
      <c r="G71" s="14"/>
      <c r="H71" s="14"/>
      <c r="I71" s="14"/>
      <c r="J71" s="14"/>
      <c r="K71" s="14"/>
      <c r="L71" s="14"/>
      <c r="M71" s="14"/>
    </row>
    <row r="72" spans="1:13" x14ac:dyDescent="0.2">
      <c r="A72" s="648"/>
      <c r="B72" s="14"/>
      <c r="C72" s="14"/>
      <c r="D72" s="14"/>
      <c r="E72" s="14"/>
      <c r="F72" s="14"/>
      <c r="G72" s="14"/>
      <c r="H72" s="14"/>
      <c r="I72" s="14"/>
      <c r="J72" s="14"/>
      <c r="K72" s="14"/>
      <c r="L72" s="14"/>
      <c r="M72" s="14"/>
    </row>
    <row r="73" spans="1:13" x14ac:dyDescent="0.2">
      <c r="A73" s="728"/>
    </row>
  </sheetData>
  <pageMargins left="0.7" right="0.7" top="0.75" bottom="0.75" header="0.3" footer="0.3"/>
  <pageSetup scale="78" orientation="portrait" cellComments="asDisplayed" verticalDpi="0" r:id="rId1"/>
  <headerFooter>
    <oddHeader>&amp;CSchedule 35
PBOPs
&amp;"Arial,Bold"Exhibit G-1</oddHeader>
    <oddFooter>&amp;R35-PBOPs</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topLeftCell="A127" zoomScale="80" zoomScaleNormal="80" zoomScalePageLayoutView="85" workbookViewId="0">
      <selection activeCell="F152" sqref="F152"/>
    </sheetView>
  </sheetViews>
  <sheetFormatPr defaultRowHeight="12.75" x14ac:dyDescent="0.2"/>
  <cols>
    <col min="1" max="1" width="4.7109375" customWidth="1"/>
    <col min="8" max="9" width="27.7109375" customWidth="1"/>
    <col min="10" max="10" width="2.7109375" customWidth="1"/>
    <col min="11" max="11" width="16.7109375" customWidth="1"/>
    <col min="14" max="15" width="8.85546875" customWidth="1"/>
  </cols>
  <sheetData>
    <row r="1" spans="1:12" x14ac:dyDescent="0.2">
      <c r="A1" s="1" t="s">
        <v>196</v>
      </c>
    </row>
    <row r="2" spans="1:12" x14ac:dyDescent="0.2">
      <c r="I2" s="101" t="s">
        <v>344</v>
      </c>
      <c r="J2" s="101"/>
      <c r="K2" s="14"/>
      <c r="L2" s="14"/>
    </row>
    <row r="3" spans="1:12" x14ac:dyDescent="0.2">
      <c r="A3" s="1" t="s">
        <v>197</v>
      </c>
      <c r="L3" s="14"/>
    </row>
    <row r="4" spans="1:12" x14ac:dyDescent="0.2">
      <c r="H4" s="2"/>
      <c r="I4" s="2" t="s">
        <v>199</v>
      </c>
      <c r="K4" s="268">
        <v>2010</v>
      </c>
    </row>
    <row r="5" spans="1:12" x14ac:dyDescent="0.2">
      <c r="A5" s="55" t="s">
        <v>362</v>
      </c>
      <c r="H5" s="3" t="s">
        <v>198</v>
      </c>
      <c r="I5" s="3" t="s">
        <v>200</v>
      </c>
      <c r="K5" s="3" t="s">
        <v>201</v>
      </c>
    </row>
    <row r="7" spans="1:12" x14ac:dyDescent="0.2">
      <c r="A7" s="10" t="s">
        <v>206</v>
      </c>
      <c r="B7" s="11"/>
      <c r="C7" s="11"/>
      <c r="D7" s="11"/>
      <c r="E7" s="11"/>
      <c r="F7" s="11"/>
      <c r="G7" s="11"/>
      <c r="H7" s="9"/>
      <c r="I7" s="9"/>
      <c r="J7" s="9"/>
      <c r="K7" s="9"/>
    </row>
    <row r="9" spans="1:12" x14ac:dyDescent="0.2">
      <c r="A9" s="117">
        <v>1</v>
      </c>
      <c r="B9" s="116" t="s">
        <v>1161</v>
      </c>
      <c r="C9" s="14"/>
      <c r="D9" s="14"/>
      <c r="E9" s="14"/>
      <c r="F9" s="14"/>
      <c r="G9" s="14"/>
      <c r="H9" s="14"/>
      <c r="I9" s="15" t="str">
        <f>"6-PlantInService, Line "&amp;'6-PlantInService'!A43&amp;""</f>
        <v>6-PlantInService, Line 19</v>
      </c>
      <c r="J9" s="14"/>
      <c r="K9" s="65">
        <f>'6-PlantInService'!D43</f>
        <v>3219327379.166173</v>
      </c>
    </row>
    <row r="10" spans="1:12" x14ac:dyDescent="0.2">
      <c r="A10" s="117">
        <f>A9+1</f>
        <v>2</v>
      </c>
      <c r="B10" s="116" t="s">
        <v>360</v>
      </c>
      <c r="C10" s="14"/>
      <c r="D10" s="14"/>
      <c r="E10" s="14"/>
      <c r="F10" s="14"/>
      <c r="G10" s="14"/>
      <c r="H10" s="14"/>
      <c r="I10" s="15" t="str">
        <f>"6-PlantInService, Line "&amp;'6-PlantInService'!A63&amp;""</f>
        <v>6-PlantInService, Line 27</v>
      </c>
      <c r="J10" s="14"/>
      <c r="K10" s="65">
        <f>'6-PlantInService'!F63</f>
        <v>125077789.84188342</v>
      </c>
    </row>
    <row r="11" spans="1:12" x14ac:dyDescent="0.2">
      <c r="A11" s="117">
        <f>A10+1</f>
        <v>3</v>
      </c>
      <c r="B11" s="116" t="s">
        <v>185</v>
      </c>
      <c r="C11" s="14"/>
      <c r="D11" s="14"/>
      <c r="E11" s="14"/>
      <c r="F11" s="14"/>
      <c r="G11" s="14"/>
      <c r="H11" s="14"/>
      <c r="I11" s="15" t="str">
        <f>"11-PHFU, Line "&amp;'11-PHFU'!A38&amp;""</f>
        <v>11-PHFU, Line 8</v>
      </c>
      <c r="J11" s="14"/>
      <c r="K11" s="65">
        <f>'11-PHFU'!E38</f>
        <v>0</v>
      </c>
    </row>
    <row r="12" spans="1:12" x14ac:dyDescent="0.2">
      <c r="A12" s="117">
        <f>A11+1</f>
        <v>4</v>
      </c>
      <c r="B12" s="116" t="s">
        <v>355</v>
      </c>
      <c r="C12" s="14"/>
      <c r="D12" s="14"/>
      <c r="E12" s="14"/>
      <c r="F12" s="14"/>
      <c r="G12" s="14"/>
      <c r="H12" s="14"/>
      <c r="I12" s="15" t="str">
        <f>"12-AbandonedPlant, Line "&amp;'12-AbandonedPlant'!A20&amp;""</f>
        <v>12-AbandonedPlant, Line 3</v>
      </c>
      <c r="J12" s="14"/>
      <c r="K12" s="65">
        <f>'12-AbandonedPlant'!G20</f>
        <v>0</v>
      </c>
    </row>
    <row r="13" spans="1:12" x14ac:dyDescent="0.2">
      <c r="A13" s="117"/>
      <c r="B13" s="116"/>
      <c r="C13" s="14"/>
      <c r="D13" s="14"/>
      <c r="E13" s="14"/>
      <c r="F13" s="14"/>
      <c r="G13" s="14"/>
      <c r="H13" s="14"/>
      <c r="I13" s="14"/>
      <c r="J13" s="14"/>
      <c r="K13" s="65"/>
    </row>
    <row r="14" spans="1:12" x14ac:dyDescent="0.2">
      <c r="A14" s="117"/>
      <c r="B14" s="46" t="s">
        <v>280</v>
      </c>
      <c r="C14" s="14"/>
      <c r="D14" s="14"/>
      <c r="E14" s="14"/>
      <c r="F14" s="14"/>
      <c r="G14" s="14"/>
      <c r="H14" s="14"/>
      <c r="I14" s="14"/>
      <c r="J14" s="14"/>
      <c r="K14" s="65"/>
    </row>
    <row r="15" spans="1:12" x14ac:dyDescent="0.2">
      <c r="A15" s="117">
        <f>A12+1</f>
        <v>5</v>
      </c>
      <c r="B15" s="47" t="s">
        <v>105</v>
      </c>
      <c r="C15" s="14"/>
      <c r="D15" s="14"/>
      <c r="E15" s="14"/>
      <c r="F15" s="14"/>
      <c r="G15" s="14"/>
      <c r="H15" s="14"/>
      <c r="I15" s="15" t="str">
        <f>"13-WorkCap, Line "&amp;'13-WorkCap'!A26&amp;""</f>
        <v>13-WorkCap, Line 16</v>
      </c>
      <c r="J15" s="14"/>
      <c r="K15" s="65">
        <f>'13-WorkCap'!F26</f>
        <v>12467419.093806952</v>
      </c>
    </row>
    <row r="16" spans="1:12" x14ac:dyDescent="0.2">
      <c r="A16" s="117">
        <f>A15+1</f>
        <v>6</v>
      </c>
      <c r="B16" s="120" t="s">
        <v>106</v>
      </c>
      <c r="C16" s="14"/>
      <c r="D16" s="14"/>
      <c r="E16" s="14"/>
      <c r="F16" s="14"/>
      <c r="G16" s="14"/>
      <c r="H16" s="14"/>
      <c r="I16" s="15" t="str">
        <f>"13-WorkCap, Line "&amp;'13-WorkCap'!A55&amp;""</f>
        <v>13-WorkCap, Line 36</v>
      </c>
      <c r="J16" s="14"/>
      <c r="K16" s="65">
        <f>'13-WorkCap'!F55</f>
        <v>2003585.9582106206</v>
      </c>
    </row>
    <row r="17" spans="1:11" x14ac:dyDescent="0.2">
      <c r="A17" s="117">
        <f>A16+1</f>
        <v>7</v>
      </c>
      <c r="B17" s="47" t="s">
        <v>202</v>
      </c>
      <c r="C17" s="14"/>
      <c r="D17" s="14"/>
      <c r="E17" s="14"/>
      <c r="F17" s="14"/>
      <c r="G17" s="14"/>
      <c r="H17" s="14"/>
      <c r="I17" s="15" t="str">
        <f>"(Line "&amp;A124&amp;" + Line "&amp;A125&amp;") / 16"</f>
        <v>(Line 65 + Line 66) / 16</v>
      </c>
      <c r="J17" s="14"/>
      <c r="K17" s="108">
        <f>(K124+K125)/16</f>
        <v>8251195.6711942162</v>
      </c>
    </row>
    <row r="18" spans="1:11" x14ac:dyDescent="0.2">
      <c r="A18" s="117">
        <f>A17+1</f>
        <v>8</v>
      </c>
      <c r="B18" s="47" t="s">
        <v>104</v>
      </c>
      <c r="C18" s="14"/>
      <c r="D18" s="14"/>
      <c r="E18" s="14"/>
      <c r="F18" s="14"/>
      <c r="G18" s="14"/>
      <c r="H18" s="14"/>
      <c r="I18" s="15" t="str">
        <f>"Line "&amp;A15&amp;" + Line "&amp;A16&amp;" + Line "&amp;A17&amp;""</f>
        <v>Line 5 + Line 6 + Line 7</v>
      </c>
      <c r="J18" s="14"/>
      <c r="K18" s="65">
        <f>SUM(K15:K17)</f>
        <v>22722200.723211788</v>
      </c>
    </row>
    <row r="19" spans="1:11" x14ac:dyDescent="0.2">
      <c r="A19" s="117"/>
      <c r="B19" s="47"/>
      <c r="C19" s="14"/>
      <c r="D19" s="14"/>
      <c r="E19" s="14"/>
      <c r="F19" s="14"/>
      <c r="G19" s="14"/>
      <c r="H19" s="14"/>
      <c r="I19" s="14"/>
      <c r="J19" s="14"/>
      <c r="K19" s="65"/>
    </row>
    <row r="20" spans="1:11" x14ac:dyDescent="0.2">
      <c r="A20" s="117"/>
      <c r="B20" s="1049" t="s">
        <v>195</v>
      </c>
      <c r="C20" s="14"/>
      <c r="D20" s="14"/>
      <c r="E20" s="14"/>
      <c r="F20" s="14"/>
      <c r="G20" s="14"/>
      <c r="H20" s="14"/>
      <c r="I20" s="14"/>
      <c r="J20" s="14"/>
      <c r="K20" s="65"/>
    </row>
    <row r="21" spans="1:11" x14ac:dyDescent="0.2">
      <c r="A21" s="117">
        <f>A18+1</f>
        <v>9</v>
      </c>
      <c r="B21" s="47" t="s">
        <v>1164</v>
      </c>
      <c r="C21" s="14"/>
      <c r="D21" s="14"/>
      <c r="E21" s="14"/>
      <c r="F21" s="14"/>
      <c r="G21" s="14"/>
      <c r="H21" s="14" t="s">
        <v>171</v>
      </c>
      <c r="I21" s="15" t="str">
        <f>"8-AccDep, Line "&amp;'8-AccDep'!A24&amp;", Col. 12"</f>
        <v>8-AccDep, Line 13, Col. 12</v>
      </c>
      <c r="J21" s="14"/>
      <c r="K21" s="65">
        <f>-'8-AccDep'!N24</f>
        <v>-995677695</v>
      </c>
    </row>
    <row r="22" spans="1:11" x14ac:dyDescent="0.2">
      <c r="A22" s="117">
        <f>A21+1</f>
        <v>10</v>
      </c>
      <c r="B22" s="47" t="s">
        <v>1165</v>
      </c>
      <c r="C22" s="14"/>
      <c r="D22" s="14"/>
      <c r="E22" s="14"/>
      <c r="F22" s="14"/>
      <c r="G22" s="14"/>
      <c r="H22" s="14" t="s">
        <v>171</v>
      </c>
      <c r="I22" s="15" t="str">
        <f>"8-AccDep, Line "&amp;'8-AccDep'!A34&amp;", Col. 5"</f>
        <v>8-AccDep, Line 16, Col. 5</v>
      </c>
      <c r="J22" s="14"/>
      <c r="K22" s="65">
        <f>-'8-AccDep'!G34</f>
        <v>-4271545.0010027001</v>
      </c>
    </row>
    <row r="23" spans="1:11" x14ac:dyDescent="0.2">
      <c r="A23" s="117">
        <f>A22+1</f>
        <v>11</v>
      </c>
      <c r="B23" s="47" t="s">
        <v>351</v>
      </c>
      <c r="C23" s="22"/>
      <c r="D23" s="14"/>
      <c r="E23" s="14"/>
      <c r="F23" s="14"/>
      <c r="G23" s="14"/>
      <c r="H23" s="14" t="s">
        <v>171</v>
      </c>
      <c r="I23" s="15" t="str">
        <f>"8-AccDep, Line "&amp;'8-AccDep'!A60&amp;""</f>
        <v>8-AccDep, Line 26</v>
      </c>
      <c r="J23" s="14"/>
      <c r="K23" s="108">
        <f>-'8-AccDep'!F60</f>
        <v>-50845522.258377783</v>
      </c>
    </row>
    <row r="24" spans="1:11" x14ac:dyDescent="0.2">
      <c r="A24" s="117">
        <f>A23+1</f>
        <v>12</v>
      </c>
      <c r="B24" s="1050" t="s">
        <v>192</v>
      </c>
      <c r="C24" s="22"/>
      <c r="D24" s="14"/>
      <c r="E24" s="14"/>
      <c r="F24" s="14"/>
      <c r="G24" s="14"/>
      <c r="H24" s="14"/>
      <c r="I24" s="15" t="str">
        <f>"Line "&amp;A21&amp;" + Line "&amp;A22&amp;" + Line "&amp;A23&amp;""</f>
        <v>Line 9 + Line 10 + Line 11</v>
      </c>
      <c r="J24" s="14"/>
      <c r="K24" s="65">
        <f>SUM(K21:K23)</f>
        <v>-1050794762.2593805</v>
      </c>
    </row>
    <row r="25" spans="1:11" x14ac:dyDescent="0.2">
      <c r="A25" s="14"/>
      <c r="B25" s="15"/>
      <c r="C25" s="14"/>
      <c r="D25" s="14"/>
      <c r="E25" s="14"/>
      <c r="F25" s="14"/>
      <c r="G25" s="14"/>
      <c r="H25" s="14"/>
      <c r="I25" s="14"/>
      <c r="J25" s="14"/>
      <c r="K25" s="65"/>
    </row>
    <row r="26" spans="1:11" x14ac:dyDescent="0.2">
      <c r="A26" s="117">
        <f>A24+1</f>
        <v>13</v>
      </c>
      <c r="B26" s="1048" t="s">
        <v>193</v>
      </c>
      <c r="C26" s="14"/>
      <c r="D26" s="14"/>
      <c r="E26" s="14"/>
      <c r="F26" s="14"/>
      <c r="G26" s="14"/>
      <c r="H26" s="14" t="s">
        <v>171</v>
      </c>
      <c r="I26" s="15" t="str">
        <f>"9-ADIT, Line "&amp;'9-ADIT'!A14&amp;", Col. 2"</f>
        <v>9-ADIT, Line 5, Col. 2</v>
      </c>
      <c r="J26" s="14"/>
      <c r="K26" s="65">
        <f>'9-ADIT'!D14</f>
        <v>-413202434.41532046</v>
      </c>
    </row>
    <row r="27" spans="1:11" x14ac:dyDescent="0.2">
      <c r="A27" s="117"/>
      <c r="B27" s="1048"/>
      <c r="C27" s="14"/>
      <c r="D27" s="14"/>
      <c r="E27" s="14"/>
      <c r="F27" s="14"/>
      <c r="G27" s="14"/>
      <c r="H27" s="14"/>
      <c r="I27" s="14"/>
      <c r="J27" s="14"/>
      <c r="K27" s="14"/>
    </row>
    <row r="28" spans="1:11" x14ac:dyDescent="0.2">
      <c r="A28" s="117">
        <f>A26+1</f>
        <v>14</v>
      </c>
      <c r="B28" s="116" t="s">
        <v>277</v>
      </c>
      <c r="C28" s="14"/>
      <c r="D28" s="14"/>
      <c r="E28" s="14"/>
      <c r="F28" s="14"/>
      <c r="G28" s="14"/>
      <c r="H28" s="14"/>
      <c r="I28" s="15" t="str">
        <f>"14-IncentivePlant, L "&amp;'14-IncentivePlant'!A37&amp;", Col 1"</f>
        <v>14-IncentivePlant, L 12, Col 1</v>
      </c>
      <c r="J28" s="14"/>
      <c r="K28" s="65">
        <f>'14-IncentivePlant'!E37</f>
        <v>638080992.50999999</v>
      </c>
    </row>
    <row r="29" spans="1:11" x14ac:dyDescent="0.2">
      <c r="A29" s="117"/>
      <c r="B29" s="116"/>
      <c r="C29" s="14"/>
      <c r="D29" s="14"/>
      <c r="E29" s="14"/>
      <c r="F29" s="14"/>
      <c r="G29" s="14"/>
      <c r="H29" s="14"/>
      <c r="I29" s="14"/>
      <c r="J29" s="14"/>
      <c r="K29" s="65"/>
    </row>
    <row r="30" spans="1:11" x14ac:dyDescent="0.2">
      <c r="A30" s="117">
        <f>A28+1</f>
        <v>15</v>
      </c>
      <c r="B30" s="116" t="s">
        <v>410</v>
      </c>
      <c r="C30" s="14"/>
      <c r="D30" s="14"/>
      <c r="E30" s="14"/>
      <c r="F30" s="14"/>
      <c r="G30" s="14"/>
      <c r="H30" s="14"/>
      <c r="I30" s="15" t="str">
        <f>"23-RegAssets, Line "&amp;'23-RegAssets'!A17&amp;""</f>
        <v>23-RegAssets, Line 14</v>
      </c>
      <c r="J30" s="14"/>
      <c r="K30" s="65">
        <f>'23-RegAssets'!E17</f>
        <v>0</v>
      </c>
    </row>
    <row r="31" spans="1:11" x14ac:dyDescent="0.2">
      <c r="A31" s="117" t="s">
        <v>916</v>
      </c>
      <c r="B31" s="1048" t="s">
        <v>3015</v>
      </c>
      <c r="C31" s="14"/>
      <c r="D31" s="14"/>
      <c r="E31" s="14"/>
      <c r="F31" s="14"/>
      <c r="G31" s="14"/>
      <c r="H31" s="14"/>
      <c r="I31" s="15" t="str">
        <f>"34-UnfundedReserves, Line "&amp;'34-UnfundedReserves'!A9&amp;""</f>
        <v>34-UnfundedReserves, Line 6</v>
      </c>
      <c r="J31" s="14"/>
      <c r="K31" s="65">
        <f>'34-UnfundedReserves'!K9</f>
        <v>-8561882.2812394612</v>
      </c>
    </row>
    <row r="32" spans="1:11" x14ac:dyDescent="0.2">
      <c r="A32" s="117">
        <f>A30+1</f>
        <v>16</v>
      </c>
      <c r="B32" s="1048" t="s">
        <v>66</v>
      </c>
      <c r="C32" s="14"/>
      <c r="D32" s="14"/>
      <c r="E32" s="14"/>
      <c r="F32" s="14"/>
      <c r="G32" s="14"/>
      <c r="H32" s="14" t="s">
        <v>171</v>
      </c>
      <c r="I32" s="15" t="str">
        <f>"22-NUCs, Line "&amp;'22-NUCs'!A12&amp;""</f>
        <v>22-NUCs, Line 5</v>
      </c>
      <c r="J32" s="14"/>
      <c r="K32" s="65">
        <f>-'22-NUCs'!E12</f>
        <v>-32869941</v>
      </c>
    </row>
    <row r="33" spans="1:11" x14ac:dyDescent="0.2">
      <c r="A33" s="117"/>
      <c r="B33" s="1048"/>
      <c r="C33" s="14"/>
      <c r="D33" s="14"/>
      <c r="E33" s="14"/>
      <c r="F33" s="14"/>
      <c r="G33" s="14"/>
      <c r="H33" s="14"/>
      <c r="I33" s="14"/>
      <c r="J33" s="14"/>
      <c r="K33" s="14"/>
    </row>
    <row r="34" spans="1:11" x14ac:dyDescent="0.2">
      <c r="A34" s="117">
        <f>A32+1</f>
        <v>17</v>
      </c>
      <c r="B34" s="14" t="s">
        <v>203</v>
      </c>
      <c r="C34" s="14"/>
      <c r="D34" s="14"/>
      <c r="E34" s="14"/>
      <c r="F34" s="14"/>
      <c r="G34" s="14"/>
      <c r="H34" s="14"/>
      <c r="I34" s="15" t="str">
        <f>"L"&amp;A9&amp;" + L"&amp;A10&amp;" + L"&amp;A11&amp;" + L"&amp;A12&amp;" + L"&amp;A18&amp;" + L"&amp;A24&amp;" +"</f>
        <v>L1 + L2 + L3 + L4 + L8 + L12 +</v>
      </c>
      <c r="J34" s="14"/>
      <c r="K34" s="65">
        <f>K9+K10+K11+K12+K18+K24+K26+K28+K30+K31+K32</f>
        <v>2499779342.2853279</v>
      </c>
    </row>
    <row r="35" spans="1:11" x14ac:dyDescent="0.2">
      <c r="A35" s="117"/>
      <c r="B35" s="14"/>
      <c r="C35" s="14"/>
      <c r="D35" s="14"/>
      <c r="E35" s="14"/>
      <c r="F35" s="14"/>
      <c r="G35" s="14"/>
      <c r="H35" s="14"/>
      <c r="I35" s="116" t="str">
        <f>"L"&amp;A26&amp;" + L"&amp;A28&amp;"+ L"&amp;A30&amp;"+ L"&amp;A31&amp;" + L"&amp;A32&amp;""</f>
        <v>L13 + L14+ L15+ L15a + L16</v>
      </c>
      <c r="J35" s="14"/>
      <c r="K35" s="65"/>
    </row>
    <row r="37" spans="1:11" x14ac:dyDescent="0.2">
      <c r="A37" s="10" t="s">
        <v>288</v>
      </c>
      <c r="B37" s="11"/>
      <c r="C37" s="11"/>
      <c r="D37" s="11"/>
      <c r="E37" s="11"/>
      <c r="F37" s="11"/>
      <c r="G37" s="11"/>
      <c r="H37" s="9"/>
      <c r="I37" s="9"/>
      <c r="J37" s="9"/>
      <c r="K37" s="9"/>
    </row>
    <row r="39" spans="1:11" x14ac:dyDescent="0.2">
      <c r="A39" s="2">
        <f>A34+1</f>
        <v>18</v>
      </c>
      <c r="B39" s="651" t="s">
        <v>2613</v>
      </c>
      <c r="C39" s="14"/>
      <c r="D39" s="14"/>
      <c r="H39" s="122" t="s">
        <v>1777</v>
      </c>
      <c r="I39" s="12" t="s">
        <v>569</v>
      </c>
      <c r="K39" s="6">
        <v>170676126</v>
      </c>
    </row>
    <row r="40" spans="1:11" x14ac:dyDescent="0.2">
      <c r="A40" s="2">
        <f>A39+1</f>
        <v>19</v>
      </c>
      <c r="B40" s="120" t="s">
        <v>68</v>
      </c>
      <c r="C40" s="14"/>
      <c r="D40" s="14"/>
      <c r="I40" s="15" t="str">
        <f>"27-Allocators, Line "&amp;'27-Allocators'!A28&amp;""</f>
        <v>27-Allocators, Line 22</v>
      </c>
      <c r="K40" s="8">
        <f>'27-Allocators'!G28</f>
        <v>0.1006119155303325</v>
      </c>
    </row>
    <row r="41" spans="1:11" x14ac:dyDescent="0.2">
      <c r="A41" s="2">
        <f>A40+1</f>
        <v>20</v>
      </c>
      <c r="B41" s="14" t="s">
        <v>72</v>
      </c>
      <c r="C41" s="14"/>
      <c r="D41" s="14"/>
      <c r="I41" s="15" t="str">
        <f>"Line "&amp;A39&amp;" * Line "&amp;A40&amp;""</f>
        <v>Line 18 * Line 19</v>
      </c>
      <c r="K41" s="7">
        <f>K39*K40</f>
        <v>17172051.972156387</v>
      </c>
    </row>
    <row r="42" spans="1:11" x14ac:dyDescent="0.2">
      <c r="A42" s="2" t="s">
        <v>371</v>
      </c>
      <c r="B42" s="14"/>
      <c r="C42" s="14"/>
      <c r="D42" s="14"/>
      <c r="H42" s="12"/>
      <c r="I42" s="14"/>
      <c r="K42" s="8"/>
    </row>
    <row r="43" spans="1:11" x14ac:dyDescent="0.2">
      <c r="A43" s="2">
        <f>A41+1</f>
        <v>21</v>
      </c>
      <c r="B43" s="15" t="s">
        <v>289</v>
      </c>
      <c r="C43" s="14"/>
      <c r="D43" s="14"/>
      <c r="I43" s="14"/>
      <c r="K43" s="8"/>
    </row>
    <row r="44" spans="1:11" x14ac:dyDescent="0.2">
      <c r="A44" s="2">
        <f t="shared" ref="A44:A56" si="0">A43+1</f>
        <v>22</v>
      </c>
      <c r="B44" s="120" t="s">
        <v>17</v>
      </c>
      <c r="C44" s="14"/>
      <c r="D44" s="14"/>
      <c r="E44" s="1"/>
      <c r="F44" s="1"/>
      <c r="G44" s="1"/>
      <c r="I44" s="15" t="str">
        <f>"Line "&amp;A45&amp;" + Line "&amp;A46&amp;"+ Line "&amp;A47&amp;""</f>
        <v>Line 23 + Line 24+ Line 25</v>
      </c>
      <c r="K44" s="65">
        <f>SUM(K45:K47)</f>
        <v>124110594</v>
      </c>
    </row>
    <row r="45" spans="1:11" x14ac:dyDescent="0.2">
      <c r="A45" s="2">
        <f t="shared" si="0"/>
        <v>23</v>
      </c>
      <c r="B45" s="407" t="s">
        <v>48</v>
      </c>
      <c r="C45" s="14"/>
      <c r="D45" s="14"/>
      <c r="E45" s="1"/>
      <c r="F45" s="1"/>
      <c r="G45" s="1"/>
      <c r="H45" s="122" t="s">
        <v>1778</v>
      </c>
      <c r="I45" s="15" t="s">
        <v>570</v>
      </c>
      <c r="K45" s="6">
        <v>122975164</v>
      </c>
    </row>
    <row r="46" spans="1:11" x14ac:dyDescent="0.2">
      <c r="A46" s="2">
        <f t="shared" si="0"/>
        <v>24</v>
      </c>
      <c r="B46" s="407" t="s">
        <v>49</v>
      </c>
      <c r="C46" s="14"/>
      <c r="D46" s="14"/>
      <c r="E46" s="1"/>
      <c r="F46" s="1"/>
      <c r="G46" s="1"/>
      <c r="H46" s="122" t="s">
        <v>1779</v>
      </c>
      <c r="I46" s="15" t="s">
        <v>570</v>
      </c>
      <c r="K46" s="6">
        <v>1001856</v>
      </c>
    </row>
    <row r="47" spans="1:11" x14ac:dyDescent="0.2">
      <c r="A47" s="2">
        <f t="shared" si="0"/>
        <v>25</v>
      </c>
      <c r="B47" s="407" t="s">
        <v>50</v>
      </c>
      <c r="C47" s="14"/>
      <c r="D47" s="14"/>
      <c r="E47" s="1"/>
      <c r="F47" s="1"/>
      <c r="G47" s="1"/>
      <c r="H47" s="122" t="s">
        <v>1780</v>
      </c>
      <c r="I47" s="15" t="s">
        <v>570</v>
      </c>
      <c r="K47" s="6">
        <v>133574</v>
      </c>
    </row>
    <row r="48" spans="1:11" x14ac:dyDescent="0.2">
      <c r="A48" s="2">
        <f t="shared" si="0"/>
        <v>26</v>
      </c>
      <c r="B48" s="648" t="s">
        <v>2614</v>
      </c>
      <c r="C48" s="14"/>
      <c r="D48" s="14"/>
      <c r="H48" s="122" t="s">
        <v>1781</v>
      </c>
      <c r="I48" s="15" t="s">
        <v>570</v>
      </c>
      <c r="K48" s="6">
        <v>4274380</v>
      </c>
    </row>
    <row r="49" spans="1:11" x14ac:dyDescent="0.2">
      <c r="A49" s="2">
        <f t="shared" si="0"/>
        <v>27</v>
      </c>
      <c r="B49" s="120" t="s">
        <v>2615</v>
      </c>
      <c r="C49" s="14"/>
      <c r="D49" s="14"/>
      <c r="H49" s="122" t="s">
        <v>1782</v>
      </c>
      <c r="I49" s="15" t="s">
        <v>570</v>
      </c>
      <c r="K49" s="6">
        <v>1070015</v>
      </c>
    </row>
    <row r="50" spans="1:11" x14ac:dyDescent="0.2">
      <c r="A50" s="807">
        <f t="shared" si="0"/>
        <v>28</v>
      </c>
      <c r="B50" s="120" t="s">
        <v>2367</v>
      </c>
      <c r="C50" s="14"/>
      <c r="D50" s="14"/>
      <c r="H50" s="667" t="s">
        <v>2369</v>
      </c>
      <c r="I50" s="651" t="s">
        <v>2368</v>
      </c>
      <c r="K50" s="6">
        <v>4256704</v>
      </c>
    </row>
    <row r="51" spans="1:11" x14ac:dyDescent="0.2">
      <c r="A51" s="807">
        <f t="shared" si="0"/>
        <v>29</v>
      </c>
      <c r="B51" s="120" t="s">
        <v>2616</v>
      </c>
      <c r="C51" s="14"/>
      <c r="D51" s="14"/>
      <c r="H51" s="667" t="s">
        <v>1777</v>
      </c>
      <c r="I51" s="651" t="s">
        <v>2368</v>
      </c>
      <c r="K51" s="6">
        <v>27660</v>
      </c>
    </row>
    <row r="52" spans="1:11" x14ac:dyDescent="0.2">
      <c r="A52" s="807">
        <f t="shared" si="0"/>
        <v>30</v>
      </c>
      <c r="B52" t="s">
        <v>73</v>
      </c>
      <c r="I52" s="15" t="str">
        <f>"Line "&amp;A44&amp;" + (Line "&amp;A48&amp;" to Line "&amp;A51&amp;")"</f>
        <v>Line 22 + (Line 26 to Line 29)</v>
      </c>
      <c r="K52" s="7">
        <f>K44+K48+K49+K50+K51</f>
        <v>133739353</v>
      </c>
    </row>
    <row r="53" spans="1:11" x14ac:dyDescent="0.2">
      <c r="A53" s="807">
        <f t="shared" si="0"/>
        <v>31</v>
      </c>
      <c r="B53" s="651" t="s">
        <v>2370</v>
      </c>
      <c r="C53" s="14"/>
      <c r="D53" s="14"/>
      <c r="E53" s="14"/>
      <c r="F53" s="14"/>
      <c r="G53" s="14"/>
      <c r="H53" s="651"/>
      <c r="I53" s="651" t="str">
        <f>"26-TaxRates, Line "&amp;'26-TaxRates'!A57&amp;""</f>
        <v>26-TaxRates, Line 51</v>
      </c>
      <c r="K53" s="248">
        <f>'26-TaxRates'!F57</f>
        <v>44401465.196000002</v>
      </c>
    </row>
    <row r="54" spans="1:11" x14ac:dyDescent="0.2">
      <c r="A54" s="807">
        <f t="shared" si="0"/>
        <v>32</v>
      </c>
      <c r="B54" s="14" t="s">
        <v>1662</v>
      </c>
      <c r="C54" s="14"/>
      <c r="D54" s="14"/>
      <c r="E54" s="14"/>
      <c r="F54" s="14"/>
      <c r="G54" s="14"/>
      <c r="I54" s="15" t="str">
        <f>"Line "&amp;A52&amp;" - Line "&amp;A53&amp;""</f>
        <v>Line 30 - Line 31</v>
      </c>
      <c r="K54" s="7">
        <f>K52-K53</f>
        <v>89337887.80399999</v>
      </c>
    </row>
    <row r="55" spans="1:11" x14ac:dyDescent="0.2">
      <c r="A55" s="807">
        <f t="shared" si="0"/>
        <v>33</v>
      </c>
      <c r="B55" s="13" t="s">
        <v>107</v>
      </c>
      <c r="I55" s="15" t="str">
        <f>"27-Allocators, Line "&amp;'27-Allocators'!A15&amp;""</f>
        <v>27-Allocators, Line 9</v>
      </c>
      <c r="K55" s="8">
        <f>'27-Allocators'!G15</f>
        <v>4.0090597826729017E-2</v>
      </c>
    </row>
    <row r="56" spans="1:11" x14ac:dyDescent="0.2">
      <c r="A56" s="807">
        <f t="shared" si="0"/>
        <v>34</v>
      </c>
      <c r="B56" s="52" t="s">
        <v>289</v>
      </c>
      <c r="I56" s="12" t="str">
        <f>"Line "&amp;A54&amp;" * Line "&amp;A55&amp;""</f>
        <v>Line 32 * Line 33</v>
      </c>
      <c r="K56" s="7">
        <f>K54*K55</f>
        <v>3581609.3306396026</v>
      </c>
    </row>
    <row r="57" spans="1:11" x14ac:dyDescent="0.2">
      <c r="A57" s="2"/>
      <c r="K57" s="7"/>
    </row>
    <row r="58" spans="1:11" x14ac:dyDescent="0.2">
      <c r="A58" s="2">
        <f>A56+1</f>
        <v>35</v>
      </c>
      <c r="B58" s="12" t="s">
        <v>91</v>
      </c>
      <c r="I58" s="12" t="str">
        <f>"Line "&amp;A41&amp;" + Line "&amp;A56&amp;""</f>
        <v>Line 20 + Line 34</v>
      </c>
      <c r="K58" s="7">
        <f>K41+K56</f>
        <v>20753661.302795991</v>
      </c>
    </row>
    <row r="60" spans="1:11" x14ac:dyDescent="0.2">
      <c r="A60" s="10" t="s">
        <v>207</v>
      </c>
      <c r="B60" s="11"/>
      <c r="C60" s="11"/>
      <c r="D60" s="11"/>
      <c r="E60" s="11"/>
      <c r="F60" s="11"/>
      <c r="G60" s="11"/>
      <c r="H60" s="9"/>
      <c r="I60" s="9"/>
      <c r="J60" s="9"/>
      <c r="K60" s="9"/>
    </row>
    <row r="61" spans="1:11" x14ac:dyDescent="0.2">
      <c r="A61" s="45"/>
      <c r="B61" s="15"/>
      <c r="C61" s="15"/>
      <c r="D61" s="15"/>
      <c r="E61" s="15"/>
      <c r="F61" s="15"/>
      <c r="G61" s="15"/>
      <c r="H61" s="15"/>
      <c r="I61" s="15"/>
      <c r="J61" s="15"/>
      <c r="K61" s="15"/>
    </row>
    <row r="62" spans="1:11" x14ac:dyDescent="0.2">
      <c r="A62" s="112"/>
      <c r="B62" s="46" t="s">
        <v>27</v>
      </c>
      <c r="C62" s="15"/>
      <c r="D62" s="15"/>
      <c r="E62" s="15"/>
      <c r="F62" s="15"/>
      <c r="G62" s="15"/>
      <c r="H62" s="15"/>
      <c r="I62" s="15"/>
      <c r="J62" s="15"/>
      <c r="K62" s="15"/>
    </row>
    <row r="63" spans="1:11" x14ac:dyDescent="0.2">
      <c r="A63" s="117">
        <f>A58+1</f>
        <v>36</v>
      </c>
      <c r="B63" s="15" t="s">
        <v>239</v>
      </c>
      <c r="C63" s="15"/>
      <c r="D63" s="15"/>
      <c r="E63" s="15"/>
      <c r="F63" s="15"/>
      <c r="G63" s="15"/>
      <c r="H63" s="15"/>
      <c r="I63" s="15" t="str">
        <f>"5-ROR-1, Line "&amp;'5-ROR-1'!A16&amp;""</f>
        <v>5-ROR-1, Line 8</v>
      </c>
      <c r="J63" s="15"/>
      <c r="K63" s="48">
        <f>'5-ROR-1'!L16</f>
        <v>7195281830.069231</v>
      </c>
    </row>
    <row r="64" spans="1:11" x14ac:dyDescent="0.2">
      <c r="A64" s="2">
        <f>A63+1</f>
        <v>37</v>
      </c>
      <c r="B64" s="15" t="s">
        <v>290</v>
      </c>
      <c r="C64" s="15"/>
      <c r="D64" s="15"/>
      <c r="E64" s="15"/>
      <c r="F64" s="15"/>
      <c r="G64" s="15"/>
      <c r="H64" s="15"/>
      <c r="I64" s="15" t="str">
        <f>"5-ROR-1, Line "&amp;'5-ROR-1'!A27&amp;""</f>
        <v>5-ROR-1, Line 16</v>
      </c>
      <c r="J64" s="15"/>
      <c r="K64" s="48">
        <f>'5-ROR-1'!L27</f>
        <v>411442046</v>
      </c>
    </row>
    <row r="65" spans="1:11" x14ac:dyDescent="0.2">
      <c r="A65" s="2">
        <f>A64+1</f>
        <v>38</v>
      </c>
      <c r="B65" s="15" t="s">
        <v>291</v>
      </c>
      <c r="C65" s="15"/>
      <c r="D65" s="15"/>
      <c r="E65" s="15"/>
      <c r="F65" s="15"/>
      <c r="G65" s="15"/>
      <c r="I65" s="15" t="str">
        <f>"5-ROR-1, Line "&amp;'5-ROR-1'!A29&amp;""</f>
        <v>5-ROR-1, Line 17</v>
      </c>
      <c r="J65" s="15"/>
      <c r="K65" s="49">
        <f>'5-ROR-1'!L29</f>
        <v>5.7182200185762734E-2</v>
      </c>
    </row>
    <row r="66" spans="1:11" x14ac:dyDescent="0.2">
      <c r="A66" s="117"/>
      <c r="B66" s="15"/>
      <c r="C66" s="15"/>
      <c r="D66" s="15"/>
      <c r="E66" s="15"/>
      <c r="F66" s="15"/>
      <c r="G66" s="15"/>
      <c r="I66" s="15"/>
      <c r="J66" s="15"/>
      <c r="K66" s="49"/>
    </row>
    <row r="67" spans="1:11" x14ac:dyDescent="0.2">
      <c r="A67" s="117"/>
      <c r="B67" s="46" t="s">
        <v>28</v>
      </c>
      <c r="C67" s="15"/>
      <c r="D67" s="15"/>
      <c r="E67" s="15"/>
      <c r="F67" s="15"/>
      <c r="G67" s="15"/>
      <c r="H67" s="15"/>
      <c r="I67" s="15"/>
      <c r="J67" s="15"/>
      <c r="K67" s="15"/>
    </row>
    <row r="68" spans="1:11" x14ac:dyDescent="0.2">
      <c r="A68" s="117">
        <f>A65+1</f>
        <v>39</v>
      </c>
      <c r="B68" s="651" t="s">
        <v>58</v>
      </c>
      <c r="C68" s="15"/>
      <c r="D68" s="15"/>
      <c r="E68" s="15"/>
      <c r="F68" s="15"/>
      <c r="G68" s="15"/>
      <c r="H68" s="15"/>
      <c r="I68" s="15" t="str">
        <f>"5-ROR-1, Line "&amp;'5-ROR-1'!A35&amp;""</f>
        <v>5-ROR-1, Line 21</v>
      </c>
      <c r="J68" s="15"/>
      <c r="K68" s="48">
        <f>'5-ROR-1'!L35</f>
        <v>911836218.47741532</v>
      </c>
    </row>
    <row r="69" spans="1:11" x14ac:dyDescent="0.2">
      <c r="A69" s="2">
        <f>A68+1</f>
        <v>40</v>
      </c>
      <c r="B69" s="651" t="s">
        <v>26</v>
      </c>
      <c r="C69" s="15"/>
      <c r="D69" s="15"/>
      <c r="E69" s="15"/>
      <c r="F69" s="15"/>
      <c r="G69" s="15"/>
      <c r="H69" s="15"/>
      <c r="I69" s="15" t="str">
        <f>"5-ROR-1, Line "&amp;'5-ROR-1'!A41&amp;""</f>
        <v>5-ROR-1, Line 25</v>
      </c>
      <c r="J69" s="15"/>
      <c r="K69" s="48">
        <f>'5-ROR-1'!L41</f>
        <v>52344976.747058824</v>
      </c>
    </row>
    <row r="70" spans="1:11" x14ac:dyDescent="0.2">
      <c r="A70" s="2">
        <f>A69+1</f>
        <v>41</v>
      </c>
      <c r="B70" s="651" t="s">
        <v>54</v>
      </c>
      <c r="C70" s="15"/>
      <c r="D70" s="15"/>
      <c r="E70" s="15"/>
      <c r="F70" s="15"/>
      <c r="G70" s="15"/>
      <c r="I70" s="15" t="str">
        <f>"5-ROR-1, Line "&amp;'5-ROR-1'!A43&amp;""</f>
        <v>5-ROR-1, Line 26</v>
      </c>
      <c r="J70" s="15"/>
      <c r="K70" s="49">
        <f>'5-ROR-1'!L43</f>
        <v>5.7406117114391988E-2</v>
      </c>
    </row>
    <row r="71" spans="1:11" x14ac:dyDescent="0.2">
      <c r="A71" s="117"/>
      <c r="B71" s="15"/>
      <c r="C71" s="15"/>
      <c r="D71" s="15"/>
      <c r="E71" s="15"/>
      <c r="F71" s="15"/>
      <c r="G71" s="15"/>
      <c r="I71" s="15"/>
      <c r="J71" s="15"/>
      <c r="K71" s="49"/>
    </row>
    <row r="72" spans="1:11" x14ac:dyDescent="0.2">
      <c r="A72" s="117"/>
      <c r="B72" s="46" t="s">
        <v>29</v>
      </c>
      <c r="C72" s="15"/>
      <c r="D72" s="15"/>
      <c r="E72" s="15"/>
      <c r="F72" s="15"/>
      <c r="G72" s="15"/>
      <c r="H72" s="15"/>
      <c r="I72" s="15"/>
      <c r="J72" s="15"/>
      <c r="K72" s="15"/>
    </row>
    <row r="73" spans="1:11" x14ac:dyDescent="0.2">
      <c r="A73" s="117">
        <f>A70+1</f>
        <v>42</v>
      </c>
      <c r="B73" s="15" t="s">
        <v>55</v>
      </c>
      <c r="C73" s="15"/>
      <c r="D73" s="15"/>
      <c r="E73" s="15"/>
      <c r="F73" s="15"/>
      <c r="G73" s="15"/>
      <c r="H73" s="15"/>
      <c r="I73" s="15" t="str">
        <f>"5-ROR-1, Line "&amp;'5-ROR-1'!A51&amp;""</f>
        <v>5-ROR-1, Line 32</v>
      </c>
      <c r="J73" s="15"/>
      <c r="K73" s="48">
        <f>'5-ROR-1'!L51</f>
        <v>7933517168.5518599</v>
      </c>
    </row>
    <row r="74" spans="1:11" x14ac:dyDescent="0.2">
      <c r="A74" s="117"/>
      <c r="B74" s="15"/>
      <c r="C74" s="15"/>
      <c r="D74" s="15"/>
      <c r="E74" s="15"/>
      <c r="F74" s="15"/>
      <c r="G74" s="15"/>
      <c r="H74" s="15"/>
      <c r="I74" s="66"/>
      <c r="J74" s="15"/>
      <c r="K74" s="15"/>
    </row>
    <row r="75" spans="1:11" x14ac:dyDescent="0.2">
      <c r="A75" s="2">
        <f>A73+1</f>
        <v>43</v>
      </c>
      <c r="B75" s="15" t="s">
        <v>57</v>
      </c>
      <c r="C75" s="15"/>
      <c r="D75" s="15"/>
      <c r="E75" s="15"/>
      <c r="F75" s="15"/>
      <c r="G75" s="15"/>
      <c r="H75" s="15"/>
      <c r="I75" s="12" t="str">
        <f>"Line "&amp;A63&amp;" + Line "&amp;A68&amp;" + Line "&amp;A73&amp;""</f>
        <v>Line 36 + Line 39 + Line 42</v>
      </c>
      <c r="J75" s="15"/>
      <c r="K75" s="48">
        <f>K63+K68+K73</f>
        <v>16040635217.098507</v>
      </c>
    </row>
    <row r="76" spans="1:11" x14ac:dyDescent="0.2">
      <c r="A76" s="117"/>
      <c r="B76" s="47"/>
      <c r="C76" s="15"/>
      <c r="D76" s="15"/>
      <c r="E76" s="15"/>
      <c r="F76" s="15"/>
      <c r="G76" s="15"/>
      <c r="I76" s="15"/>
      <c r="J76" s="15"/>
      <c r="K76" s="48"/>
    </row>
    <row r="77" spans="1:11" x14ac:dyDescent="0.2">
      <c r="A77" s="117"/>
      <c r="B77" s="46" t="s">
        <v>59</v>
      </c>
      <c r="C77" s="15"/>
      <c r="D77" s="15"/>
      <c r="E77" s="15"/>
      <c r="F77" s="15"/>
      <c r="G77" s="15"/>
      <c r="H77" s="15"/>
      <c r="I77" s="15"/>
      <c r="J77" s="15"/>
      <c r="K77" s="15"/>
    </row>
    <row r="78" spans="1:11" x14ac:dyDescent="0.2">
      <c r="A78" s="117">
        <f>A75+1</f>
        <v>44</v>
      </c>
      <c r="B78" s="15" t="s">
        <v>292</v>
      </c>
      <c r="C78" s="15"/>
      <c r="D78" s="15"/>
      <c r="E78" s="15"/>
      <c r="F78" s="15"/>
      <c r="G78" s="15"/>
      <c r="H78" s="15"/>
      <c r="I78" s="12" t="str">
        <f>"Line "&amp;A63&amp;" / Line "&amp;A75&amp;""</f>
        <v>Line 36 / Line 43</v>
      </c>
      <c r="J78" s="15"/>
      <c r="K78" s="49">
        <f>K63/K75</f>
        <v>0.44856589110632128</v>
      </c>
    </row>
    <row r="79" spans="1:11" x14ac:dyDescent="0.2">
      <c r="A79" s="2">
        <f>A78+1</f>
        <v>45</v>
      </c>
      <c r="B79" s="651" t="s">
        <v>293</v>
      </c>
      <c r="C79" s="15"/>
      <c r="D79" s="15"/>
      <c r="E79" s="15"/>
      <c r="F79" s="15"/>
      <c r="G79" s="15"/>
      <c r="H79" s="15"/>
      <c r="I79" s="12" t="str">
        <f>"Line "&amp;A68&amp;" / Line "&amp;A75&amp;""</f>
        <v>Line 39 / Line 43</v>
      </c>
      <c r="J79" s="15"/>
      <c r="K79" s="49">
        <f>K68/K75</f>
        <v>5.68453933486028E-2</v>
      </c>
    </row>
    <row r="80" spans="1:11" x14ac:dyDescent="0.2">
      <c r="A80" s="2">
        <f>A79+1</f>
        <v>46</v>
      </c>
      <c r="B80" s="15" t="s">
        <v>60</v>
      </c>
      <c r="C80" s="15"/>
      <c r="D80" s="15"/>
      <c r="E80" s="15"/>
      <c r="F80" s="15"/>
      <c r="G80" s="15"/>
      <c r="H80" s="15"/>
      <c r="I80" s="12" t="str">
        <f>"Line "&amp;A73&amp;" / Line "&amp;A75&amp;""</f>
        <v>Line 42 / Line 43</v>
      </c>
      <c r="J80" s="15"/>
      <c r="K80" s="50">
        <f>K73/K75</f>
        <v>0.49458871554507589</v>
      </c>
    </row>
    <row r="81" spans="1:11" x14ac:dyDescent="0.2">
      <c r="A81" s="117"/>
      <c r="B81" s="15"/>
      <c r="C81" s="15"/>
      <c r="D81" s="15"/>
      <c r="E81" s="15"/>
      <c r="F81" s="15"/>
      <c r="G81" s="15"/>
      <c r="H81" s="15"/>
      <c r="I81" s="12" t="str">
        <f>"Line "&amp;A78&amp;" + Line "&amp;A79&amp;"+ Line "&amp;A80&amp;""</f>
        <v>Line 44 + Line 45+ Line 46</v>
      </c>
      <c r="J81" s="15"/>
      <c r="K81" s="49">
        <f>SUM(K78:K80)</f>
        <v>1</v>
      </c>
    </row>
    <row r="82" spans="1:11" x14ac:dyDescent="0.2">
      <c r="A82" s="117"/>
      <c r="B82" s="46" t="s">
        <v>255</v>
      </c>
      <c r="C82" s="15"/>
      <c r="D82" s="15"/>
      <c r="E82" s="15"/>
      <c r="F82" s="15"/>
      <c r="G82" s="15"/>
      <c r="H82" s="15"/>
      <c r="I82" s="15"/>
      <c r="J82" s="15"/>
      <c r="K82" s="49"/>
    </row>
    <row r="83" spans="1:11" x14ac:dyDescent="0.2">
      <c r="A83" s="117">
        <f>A80+1</f>
        <v>47</v>
      </c>
      <c r="B83" s="15" t="s">
        <v>291</v>
      </c>
      <c r="C83" s="15"/>
      <c r="D83" s="15"/>
      <c r="E83" s="15"/>
      <c r="F83" s="15"/>
      <c r="G83" s="15"/>
      <c r="I83" s="12" t="str">
        <f>"Line "&amp;A65&amp;""</f>
        <v>Line 38</v>
      </c>
      <c r="J83" s="15"/>
      <c r="K83" s="49">
        <f>K65</f>
        <v>5.7182200185762734E-2</v>
      </c>
    </row>
    <row r="84" spans="1:11" x14ac:dyDescent="0.2">
      <c r="A84" s="2">
        <f>A83+1</f>
        <v>48</v>
      </c>
      <c r="B84" s="651" t="s">
        <v>54</v>
      </c>
      <c r="C84" s="15"/>
      <c r="D84" s="15"/>
      <c r="E84" s="15"/>
      <c r="F84" s="15"/>
      <c r="G84" s="15"/>
      <c r="I84" s="12" t="str">
        <f>"Line "&amp;A70&amp;""</f>
        <v>Line 41</v>
      </c>
      <c r="J84" s="15"/>
      <c r="K84" s="49">
        <f>K70</f>
        <v>5.7406117114391988E-2</v>
      </c>
    </row>
    <row r="85" spans="1:11" x14ac:dyDescent="0.2">
      <c r="A85" s="2">
        <f>A84+1</f>
        <v>49</v>
      </c>
      <c r="B85" s="651" t="s">
        <v>2517</v>
      </c>
      <c r="C85" s="15"/>
      <c r="D85" s="15"/>
      <c r="E85" s="15"/>
      <c r="F85" s="15"/>
      <c r="G85" s="15"/>
      <c r="H85" s="15" t="s">
        <v>407</v>
      </c>
      <c r="I85" s="15" t="s">
        <v>248</v>
      </c>
      <c r="J85" s="15"/>
      <c r="K85" s="1194">
        <v>9.8000000000000004E-2</v>
      </c>
    </row>
    <row r="86" spans="1:11" x14ac:dyDescent="0.2">
      <c r="A86" s="117"/>
      <c r="B86" s="15"/>
      <c r="C86" s="15"/>
      <c r="D86" s="15"/>
      <c r="E86" s="15"/>
      <c r="F86" s="15"/>
      <c r="G86" s="15"/>
      <c r="H86" s="14"/>
      <c r="I86" s="72"/>
      <c r="J86" s="15"/>
      <c r="K86" s="49"/>
    </row>
    <row r="87" spans="1:11" x14ac:dyDescent="0.2">
      <c r="A87" s="117"/>
      <c r="B87" s="46" t="s">
        <v>296</v>
      </c>
      <c r="C87" s="15"/>
      <c r="D87" s="15"/>
      <c r="E87" s="15"/>
      <c r="F87" s="15"/>
      <c r="G87" s="15"/>
      <c r="H87" s="15"/>
      <c r="I87" s="15"/>
      <c r="J87" s="15"/>
      <c r="K87" s="15"/>
    </row>
    <row r="88" spans="1:11" x14ac:dyDescent="0.2">
      <c r="A88" s="117">
        <f>A85+1</f>
        <v>50</v>
      </c>
      <c r="B88" s="15" t="s">
        <v>61</v>
      </c>
      <c r="C88" s="15"/>
      <c r="D88" s="15"/>
      <c r="E88" s="15"/>
      <c r="F88" s="15"/>
      <c r="G88" s="15"/>
      <c r="H88" s="14"/>
      <c r="I88" s="15" t="str">
        <f>"Line "&amp;A65&amp;" * Line "&amp;A78&amp;""</f>
        <v>Line 38 * Line 44</v>
      </c>
      <c r="J88" s="15"/>
      <c r="K88" s="49">
        <f>K65*K78</f>
        <v>2.5649984581746711E-2</v>
      </c>
    </row>
    <row r="89" spans="1:11" x14ac:dyDescent="0.2">
      <c r="A89" s="2">
        <f>A88+1</f>
        <v>51</v>
      </c>
      <c r="B89" s="651" t="s">
        <v>62</v>
      </c>
      <c r="C89" s="15"/>
      <c r="D89" s="15"/>
      <c r="E89" s="15"/>
      <c r="F89" s="15"/>
      <c r="G89" s="15"/>
      <c r="H89" s="14"/>
      <c r="I89" s="15" t="str">
        <f>"Line "&amp;A70&amp;" * Line "&amp;A79&amp;""</f>
        <v>Line 41 * Line 45</v>
      </c>
      <c r="J89" s="15"/>
      <c r="K89" s="49">
        <f>K70*K79</f>
        <v>3.2632733079835719E-3</v>
      </c>
    </row>
    <row r="90" spans="1:11" x14ac:dyDescent="0.2">
      <c r="A90" s="2">
        <f>A89+1</f>
        <v>52</v>
      </c>
      <c r="B90" s="15" t="s">
        <v>63</v>
      </c>
      <c r="C90" s="15"/>
      <c r="D90" s="15"/>
      <c r="E90" s="15"/>
      <c r="F90" s="15"/>
      <c r="G90" s="15"/>
      <c r="H90" s="14"/>
      <c r="I90" s="15" t="str">
        <f>"Line "&amp;A80&amp;" * Line "&amp;A85&amp;""</f>
        <v>Line 46 * Line 49</v>
      </c>
      <c r="J90" s="15"/>
      <c r="K90" s="50">
        <f>K80*K85</f>
        <v>4.8469694123417437E-2</v>
      </c>
    </row>
    <row r="91" spans="1:11" x14ac:dyDescent="0.2">
      <c r="A91" s="2">
        <f>A90+1</f>
        <v>53</v>
      </c>
      <c r="B91" s="47" t="s">
        <v>64</v>
      </c>
      <c r="C91" s="15"/>
      <c r="D91" s="15"/>
      <c r="E91" s="15"/>
      <c r="F91" s="15"/>
      <c r="G91" s="15"/>
      <c r="H91" s="14"/>
      <c r="I91" s="15" t="str">
        <f>"Line "&amp;A88&amp;" + Line "&amp;A89&amp;" + Line "&amp;A90&amp;""</f>
        <v>Line 50 + Line 51 + Line 52</v>
      </c>
      <c r="J91" s="15"/>
      <c r="K91" s="49">
        <f>SUM(K88:K90)</f>
        <v>7.7382952013147724E-2</v>
      </c>
    </row>
    <row r="92" spans="1:11" x14ac:dyDescent="0.2">
      <c r="A92" s="117"/>
      <c r="B92" s="47"/>
      <c r="C92" s="15"/>
      <c r="D92" s="15"/>
      <c r="E92" s="15"/>
      <c r="F92" s="15"/>
      <c r="G92" s="15"/>
      <c r="H92" s="14"/>
      <c r="I92" s="15"/>
      <c r="J92" s="15"/>
      <c r="K92" s="49"/>
    </row>
    <row r="93" spans="1:11" x14ac:dyDescent="0.2">
      <c r="A93" s="2">
        <f>A91+1</f>
        <v>54</v>
      </c>
      <c r="B93" s="720" t="s">
        <v>2518</v>
      </c>
      <c r="C93" s="15"/>
      <c r="D93" s="15"/>
      <c r="E93" s="15"/>
      <c r="F93" s="15"/>
      <c r="G93" s="15"/>
      <c r="H93" s="15" t="s">
        <v>250</v>
      </c>
      <c r="I93" s="15" t="str">
        <f>"Line "&amp;A89&amp;" + Line "&amp;A90&amp;""</f>
        <v>Line 51 + Line 52</v>
      </c>
      <c r="J93" s="15"/>
      <c r="K93" s="49">
        <f>K89+K90</f>
        <v>5.173296743140101E-2</v>
      </c>
    </row>
    <row r="94" spans="1:11" x14ac:dyDescent="0.2">
      <c r="A94" s="117"/>
      <c r="B94" s="15"/>
      <c r="C94" s="15"/>
      <c r="D94" s="15"/>
      <c r="E94" s="15"/>
      <c r="F94" s="15"/>
      <c r="G94" s="15"/>
      <c r="H94" s="14"/>
      <c r="I94" s="15"/>
      <c r="J94" s="15"/>
      <c r="K94" s="49"/>
    </row>
    <row r="95" spans="1:11" x14ac:dyDescent="0.2">
      <c r="A95" s="2">
        <f>A93+1</f>
        <v>55</v>
      </c>
      <c r="B95" s="15" t="s">
        <v>65</v>
      </c>
      <c r="C95" s="15"/>
      <c r="D95" s="15"/>
      <c r="E95" s="15"/>
      <c r="F95" s="15"/>
      <c r="G95" s="15"/>
      <c r="H95" s="14"/>
      <c r="I95" s="15" t="str">
        <f>"Line "&amp;A34&amp;" * Line "&amp;A91&amp;""</f>
        <v>Line 17 * Line 53</v>
      </c>
      <c r="J95" s="15"/>
      <c r="K95" s="48">
        <f>K34*K91</f>
        <v>193440304.8875235</v>
      </c>
    </row>
    <row r="96" spans="1:11" x14ac:dyDescent="0.2">
      <c r="A96" s="91"/>
      <c r="B96" s="12"/>
      <c r="C96" s="12"/>
      <c r="D96" s="12"/>
      <c r="E96" s="12"/>
      <c r="F96" s="12"/>
      <c r="G96" s="12"/>
      <c r="H96" s="12"/>
      <c r="I96" s="12"/>
      <c r="J96" s="12"/>
      <c r="K96" s="12"/>
    </row>
    <row r="97" spans="1:11" x14ac:dyDescent="0.2">
      <c r="A97" s="12"/>
      <c r="B97" s="12"/>
      <c r="C97" s="12"/>
      <c r="D97" s="12"/>
      <c r="E97" s="12"/>
      <c r="F97" s="12"/>
      <c r="G97" s="12"/>
      <c r="H97" s="12"/>
      <c r="I97" s="12"/>
      <c r="J97" s="12"/>
      <c r="K97" s="12"/>
    </row>
    <row r="98" spans="1:11" x14ac:dyDescent="0.2">
      <c r="A98" s="10" t="s">
        <v>208</v>
      </c>
      <c r="B98" s="11"/>
      <c r="C98" s="11"/>
      <c r="D98" s="11"/>
      <c r="E98" s="11"/>
      <c r="F98" s="11"/>
      <c r="G98" s="11"/>
      <c r="H98" s="9"/>
      <c r="I98" s="9"/>
      <c r="J98" s="9"/>
      <c r="K98" s="9"/>
    </row>
    <row r="100" spans="1:11" x14ac:dyDescent="0.2">
      <c r="A100" s="117">
        <f>A95+1</f>
        <v>56</v>
      </c>
      <c r="B100" s="14" t="s">
        <v>249</v>
      </c>
      <c r="C100" s="14"/>
      <c r="D100" s="14"/>
      <c r="E100" s="14"/>
      <c r="F100" s="14"/>
      <c r="G100" s="14"/>
      <c r="H100" s="14"/>
      <c r="I100" s="14" t="str">
        <f>"26-Tax Rates, Line "&amp;'26-TaxRates'!A7&amp;""</f>
        <v>26-Tax Rates, Line 1</v>
      </c>
      <c r="J100" s="14"/>
      <c r="K100" s="70">
        <f>'26-TaxRates'!D7</f>
        <v>0.35</v>
      </c>
    </row>
    <row r="101" spans="1:11" x14ac:dyDescent="0.2">
      <c r="A101" s="117">
        <f>A100+1</f>
        <v>57</v>
      </c>
      <c r="B101" s="15" t="s">
        <v>295</v>
      </c>
      <c r="C101" s="14"/>
      <c r="D101" s="14"/>
      <c r="E101" s="14"/>
      <c r="F101" s="14"/>
      <c r="G101" s="14"/>
      <c r="H101" s="14"/>
      <c r="I101" s="14" t="str">
        <f>"26-Tax Rates, Line "&amp;'26-TaxRates'!A14&amp;""</f>
        <v>26-Tax Rates, Line 8</v>
      </c>
      <c r="J101" s="14"/>
      <c r="K101" s="70">
        <f>'26-TaxRates'!D14</f>
        <v>8.8327634763422744E-2</v>
      </c>
    </row>
    <row r="102" spans="1:11" x14ac:dyDescent="0.2">
      <c r="A102" s="117">
        <f>A101+1</f>
        <v>58</v>
      </c>
      <c r="B102" s="15" t="s">
        <v>294</v>
      </c>
      <c r="C102" s="14"/>
      <c r="D102" s="14"/>
      <c r="E102" s="14"/>
      <c r="F102" s="14"/>
      <c r="G102" s="14"/>
      <c r="H102" s="533" t="s">
        <v>2397</v>
      </c>
      <c r="I102" s="15" t="str">
        <f>"(L"&amp;A100&amp;" + L"&amp;A101&amp;") - (L"&amp;A100&amp;" * L"&amp;A101&amp;")"</f>
        <v>(L56 + L57) - (L56 * L57)</v>
      </c>
      <c r="J102" s="14"/>
      <c r="K102" s="70">
        <f>(K100+K101)-(K100*K101)</f>
        <v>0.40741296259622478</v>
      </c>
    </row>
    <row r="103" spans="1:11" x14ac:dyDescent="0.2">
      <c r="A103" s="117"/>
      <c r="B103" s="14"/>
      <c r="C103" s="14"/>
      <c r="D103" s="14"/>
      <c r="E103" s="14"/>
      <c r="F103" s="14"/>
      <c r="G103" s="14"/>
      <c r="H103" s="14"/>
      <c r="I103" s="14"/>
      <c r="J103" s="14"/>
      <c r="K103" s="70"/>
    </row>
    <row r="104" spans="1:11" x14ac:dyDescent="0.2">
      <c r="A104" s="117"/>
      <c r="B104" s="46" t="s">
        <v>297</v>
      </c>
      <c r="C104" s="14"/>
      <c r="D104" s="14"/>
      <c r="E104" s="14"/>
      <c r="F104" s="14"/>
      <c r="G104" s="14"/>
      <c r="H104" s="14"/>
      <c r="I104" s="14"/>
      <c r="J104" s="14"/>
      <c r="K104" s="70"/>
    </row>
    <row r="105" spans="1:11" x14ac:dyDescent="0.2">
      <c r="A105" s="117">
        <f>A102+1</f>
        <v>59</v>
      </c>
      <c r="B105" s="720" t="s">
        <v>2747</v>
      </c>
      <c r="C105" s="14"/>
      <c r="D105" s="14"/>
      <c r="E105" s="14"/>
      <c r="F105" s="14"/>
      <c r="G105" s="14"/>
      <c r="H105" s="15" t="s">
        <v>408</v>
      </c>
      <c r="I105" s="14"/>
      <c r="J105" s="14"/>
      <c r="K105" s="65">
        <v>200</v>
      </c>
    </row>
    <row r="106" spans="1:11" x14ac:dyDescent="0.2">
      <c r="A106" s="117">
        <f>A105+1</f>
        <v>60</v>
      </c>
      <c r="B106" s="720" t="s">
        <v>2748</v>
      </c>
      <c r="C106" s="14"/>
      <c r="D106" s="14"/>
      <c r="E106" s="14"/>
      <c r="F106" s="14"/>
      <c r="G106" s="14"/>
      <c r="H106" s="15" t="s">
        <v>408</v>
      </c>
      <c r="I106" s="14"/>
      <c r="J106" s="14"/>
      <c r="K106" s="65">
        <v>-520000</v>
      </c>
    </row>
    <row r="107" spans="1:11" x14ac:dyDescent="0.2">
      <c r="A107" s="117">
        <f>A106+1</f>
        <v>61</v>
      </c>
      <c r="B107" s="720" t="s">
        <v>2749</v>
      </c>
      <c r="C107" s="14"/>
      <c r="D107" s="14"/>
      <c r="E107" s="14"/>
      <c r="F107" s="14"/>
      <c r="G107" s="14"/>
      <c r="H107" s="15" t="s">
        <v>408</v>
      </c>
      <c r="I107" s="14"/>
      <c r="J107" s="14"/>
      <c r="K107" s="118">
        <v>2606000</v>
      </c>
    </row>
    <row r="108" spans="1:11" x14ac:dyDescent="0.2">
      <c r="A108" s="117">
        <f>A107+1</f>
        <v>62</v>
      </c>
      <c r="B108" s="47" t="s">
        <v>298</v>
      </c>
      <c r="C108" s="14"/>
      <c r="D108" s="14"/>
      <c r="E108" s="14"/>
      <c r="F108" s="14"/>
      <c r="G108" s="14"/>
      <c r="H108" s="14"/>
      <c r="I108" s="651" t="str">
        <f>"Line "&amp;A105&amp;" + Line "&amp;A106&amp;"+ Line "&amp;A107&amp;""</f>
        <v>Line 59 + Line 60+ Line 61</v>
      </c>
      <c r="J108" s="14"/>
      <c r="K108" s="65">
        <f>SUM(K105:K107)</f>
        <v>2086200</v>
      </c>
    </row>
    <row r="109" spans="1:11" x14ac:dyDescent="0.2">
      <c r="A109" s="117"/>
      <c r="B109" s="14"/>
      <c r="C109" s="14"/>
      <c r="D109" s="14"/>
      <c r="E109" s="14"/>
      <c r="F109" s="14"/>
      <c r="G109" s="14"/>
      <c r="H109" s="14"/>
      <c r="I109" s="14"/>
      <c r="J109" s="14"/>
      <c r="K109" s="14"/>
    </row>
    <row r="110" spans="1:11" x14ac:dyDescent="0.2">
      <c r="A110" s="117">
        <f>A108+1</f>
        <v>63</v>
      </c>
      <c r="B110" s="15" t="s">
        <v>299</v>
      </c>
      <c r="C110" s="14"/>
      <c r="D110" s="14"/>
      <c r="E110" s="14"/>
      <c r="F110" s="14"/>
      <c r="G110" s="14"/>
      <c r="H110" s="14"/>
      <c r="I110" s="14" t="str">
        <f>"Formula on Line "&amp;A112&amp;""</f>
        <v>Formula on Line 64</v>
      </c>
      <c r="J110" s="14"/>
      <c r="K110" s="65">
        <f>(((K34*K93) + K119)*(K102/(1-K102)))+(K108/(1-K102))</f>
        <v>93410158.527784035</v>
      </c>
    </row>
    <row r="111" spans="1:11" x14ac:dyDescent="0.2">
      <c r="A111" s="117"/>
      <c r="B111" s="14"/>
      <c r="C111" s="14"/>
      <c r="D111" s="14"/>
      <c r="E111" s="14"/>
      <c r="F111" s="14"/>
      <c r="G111" s="14"/>
      <c r="H111" s="14"/>
      <c r="I111" s="14"/>
      <c r="J111" s="14"/>
      <c r="K111" s="14"/>
    </row>
    <row r="112" spans="1:11" x14ac:dyDescent="0.2">
      <c r="A112" s="117">
        <f>A110+1</f>
        <v>64</v>
      </c>
      <c r="B112" s="651" t="s">
        <v>3180</v>
      </c>
      <c r="C112" s="14"/>
      <c r="D112" s="14"/>
      <c r="E112" s="14"/>
      <c r="F112" s="14"/>
      <c r="G112" s="14"/>
      <c r="H112" s="14"/>
      <c r="I112" s="14"/>
      <c r="J112" s="14"/>
      <c r="K112" s="14"/>
    </row>
    <row r="113" spans="1:11" x14ac:dyDescent="0.2">
      <c r="A113" s="1047"/>
      <c r="B113" s="14"/>
      <c r="C113" s="14"/>
      <c r="D113" s="14"/>
      <c r="E113" s="14"/>
      <c r="F113" s="14"/>
      <c r="G113" s="14"/>
      <c r="H113" s="14"/>
      <c r="I113" s="15"/>
      <c r="J113" s="14"/>
      <c r="K113" s="14"/>
    </row>
    <row r="114" spans="1:11" x14ac:dyDescent="0.2">
      <c r="A114" s="1047"/>
      <c r="B114" s="14"/>
      <c r="C114" s="14" t="s">
        <v>251</v>
      </c>
      <c r="D114" s="14"/>
      <c r="E114" s="14"/>
      <c r="F114" s="14"/>
      <c r="G114" s="14"/>
      <c r="H114" s="14"/>
      <c r="I114" s="14"/>
      <c r="J114" s="14"/>
      <c r="K114" s="14"/>
    </row>
    <row r="115" spans="1:11" x14ac:dyDescent="0.2">
      <c r="A115" s="1047"/>
      <c r="B115" s="14"/>
      <c r="C115" s="120" t="s">
        <v>252</v>
      </c>
      <c r="D115" s="14"/>
      <c r="E115" s="14"/>
      <c r="F115" s="14"/>
      <c r="G115" s="14"/>
      <c r="H115" s="14"/>
      <c r="I115" s="15" t="str">
        <f>"Line "&amp;A34&amp;""</f>
        <v>Line 17</v>
      </c>
      <c r="J115" s="14"/>
      <c r="K115" s="14"/>
    </row>
    <row r="116" spans="1:11" x14ac:dyDescent="0.2">
      <c r="A116" s="1047"/>
      <c r="B116" s="14"/>
      <c r="C116" s="648" t="s">
        <v>2519</v>
      </c>
      <c r="D116" s="14"/>
      <c r="E116" s="14"/>
      <c r="F116" s="14"/>
      <c r="G116" s="14"/>
      <c r="H116" s="14"/>
      <c r="I116" s="15" t="str">
        <f>"Line "&amp;A93&amp;""</f>
        <v>Line 54</v>
      </c>
      <c r="J116" s="14"/>
      <c r="K116" s="14"/>
    </row>
    <row r="117" spans="1:11" x14ac:dyDescent="0.2">
      <c r="A117" s="1047"/>
      <c r="B117" s="14"/>
      <c r="C117" s="120" t="s">
        <v>253</v>
      </c>
      <c r="D117" s="14"/>
      <c r="E117" s="14"/>
      <c r="F117" s="14"/>
      <c r="G117" s="14"/>
      <c r="H117" s="14"/>
      <c r="I117" s="15" t="str">
        <f>"Line "&amp;A102&amp;""</f>
        <v>Line 58</v>
      </c>
      <c r="J117" s="14"/>
      <c r="K117" s="14"/>
    </row>
    <row r="118" spans="1:11" x14ac:dyDescent="0.2">
      <c r="A118" s="1047"/>
      <c r="B118" s="14"/>
      <c r="C118" s="120" t="s">
        <v>254</v>
      </c>
      <c r="D118" s="14"/>
      <c r="E118" s="14"/>
      <c r="F118" s="14"/>
      <c r="G118" s="14"/>
      <c r="H118" s="14"/>
      <c r="I118" s="15" t="str">
        <f>"Line "&amp;A108&amp;""</f>
        <v>Line 62</v>
      </c>
      <c r="J118" s="14"/>
      <c r="K118" s="14"/>
    </row>
    <row r="119" spans="1:11" x14ac:dyDescent="0.2">
      <c r="A119" s="722"/>
      <c r="C119" s="120" t="s">
        <v>2516</v>
      </c>
      <c r="D119" s="14"/>
      <c r="E119" s="14"/>
      <c r="F119" s="14"/>
      <c r="G119" s="14"/>
      <c r="H119" s="14"/>
      <c r="I119" s="14" t="s">
        <v>35</v>
      </c>
      <c r="K119" s="738">
        <v>1424589</v>
      </c>
    </row>
    <row r="121" spans="1:11" x14ac:dyDescent="0.2">
      <c r="A121" s="10" t="s">
        <v>74</v>
      </c>
      <c r="B121" s="11"/>
      <c r="C121" s="11"/>
      <c r="D121" s="11"/>
      <c r="E121" s="11"/>
      <c r="F121" s="11"/>
      <c r="G121" s="11"/>
      <c r="H121" s="9"/>
      <c r="I121" s="9"/>
      <c r="J121" s="9"/>
      <c r="K121" s="9"/>
    </row>
    <row r="123" spans="1:11" x14ac:dyDescent="0.2">
      <c r="B123" s="79" t="s">
        <v>300</v>
      </c>
    </row>
    <row r="124" spans="1:11" x14ac:dyDescent="0.2">
      <c r="A124" s="117">
        <f>A112+1</f>
        <v>65</v>
      </c>
      <c r="B124" s="14" t="s">
        <v>115</v>
      </c>
      <c r="C124" s="14"/>
      <c r="D124" s="14"/>
      <c r="E124" s="14"/>
      <c r="F124" s="14"/>
      <c r="G124" s="14"/>
      <c r="H124" s="120"/>
      <c r="I124" s="14" t="str">
        <f>"19-OandM, Line "&amp;'19-OandM'!A170&amp;", Col. 6"</f>
        <v>19-OandM, Line 137, Col. 6</v>
      </c>
      <c r="K124" s="65">
        <f>'19-OandM'!G170</f>
        <v>95947585.989189789</v>
      </c>
    </row>
    <row r="125" spans="1:11" x14ac:dyDescent="0.2">
      <c r="A125" s="117">
        <f t="shared" ref="A125:A139" si="1">A124+1</f>
        <v>66</v>
      </c>
      <c r="B125" s="15" t="s">
        <v>301</v>
      </c>
      <c r="C125" s="14"/>
      <c r="D125" s="14"/>
      <c r="E125" s="14"/>
      <c r="F125" s="14"/>
      <c r="G125" s="14"/>
      <c r="H125" s="120"/>
      <c r="I125" s="14" t="str">
        <f>"20-AandG, Line "&amp;'20-AandG'!A30&amp;""</f>
        <v>20-AandG, Line 23</v>
      </c>
      <c r="K125" s="65">
        <f>'20-AandG'!F30</f>
        <v>36071544.749917664</v>
      </c>
    </row>
    <row r="126" spans="1:11" x14ac:dyDescent="0.2">
      <c r="A126" s="117">
        <f t="shared" si="1"/>
        <v>67</v>
      </c>
      <c r="B126" s="14" t="s">
        <v>67</v>
      </c>
      <c r="C126" s="14"/>
      <c r="D126" s="14"/>
      <c r="E126" s="14"/>
      <c r="F126" s="14"/>
      <c r="G126" s="14"/>
      <c r="H126" s="120"/>
      <c r="I126" s="15" t="str">
        <f>"22-NUCs, Line "&amp;'22-NUCs'!A19&amp;""</f>
        <v>22-NUCs, Line 10</v>
      </c>
      <c r="K126" s="7">
        <f>'22-NUCs'!E19</f>
        <v>1581641</v>
      </c>
    </row>
    <row r="127" spans="1:11" x14ac:dyDescent="0.2">
      <c r="A127" s="117">
        <f t="shared" si="1"/>
        <v>68</v>
      </c>
      <c r="B127" s="15" t="s">
        <v>287</v>
      </c>
      <c r="C127" s="14"/>
      <c r="D127" s="14"/>
      <c r="E127" s="14"/>
      <c r="F127" s="14"/>
      <c r="G127" s="14"/>
      <c r="H127" s="120"/>
      <c r="I127" s="14" t="str">
        <f>"17-Depreciation, Line "&amp;'17-Depreciation'!A95&amp;""</f>
        <v>17-Depreciation, Line 70</v>
      </c>
      <c r="K127" s="7">
        <f>'17-Depreciation'!F95</f>
        <v>88698940.517104849</v>
      </c>
    </row>
    <row r="128" spans="1:11" x14ac:dyDescent="0.2">
      <c r="A128" s="117">
        <f t="shared" si="1"/>
        <v>69</v>
      </c>
      <c r="B128" s="15" t="s">
        <v>334</v>
      </c>
      <c r="C128" s="14"/>
      <c r="D128" s="14"/>
      <c r="E128" s="14"/>
      <c r="F128" s="14"/>
      <c r="G128" s="14"/>
      <c r="H128" s="120"/>
      <c r="I128" s="14" t="str">
        <f>"12-AbandonedPlant, Line "&amp;'12-AbandonedPlant'!A18&amp;""</f>
        <v>12-AbandonedPlant, Line 1</v>
      </c>
      <c r="K128" s="7">
        <f>'12-AbandonedPlant'!G18</f>
        <v>0</v>
      </c>
    </row>
    <row r="129" spans="1:11" x14ac:dyDescent="0.2">
      <c r="A129" s="117">
        <f t="shared" si="1"/>
        <v>70</v>
      </c>
      <c r="B129" s="15" t="s">
        <v>91</v>
      </c>
      <c r="C129" s="14"/>
      <c r="D129" s="14"/>
      <c r="E129" s="14"/>
      <c r="F129" s="14"/>
      <c r="G129" s="14"/>
      <c r="H129" s="120"/>
      <c r="I129" s="14" t="str">
        <f>"Line "&amp;A58&amp;""</f>
        <v>Line 35</v>
      </c>
      <c r="K129" s="7">
        <f>K58</f>
        <v>20753661.302795991</v>
      </c>
    </row>
    <row r="130" spans="1:11" x14ac:dyDescent="0.2">
      <c r="A130" s="117">
        <f t="shared" si="1"/>
        <v>71</v>
      </c>
      <c r="B130" s="14" t="s">
        <v>12</v>
      </c>
      <c r="C130" s="14"/>
      <c r="D130" s="14"/>
      <c r="E130" s="14"/>
      <c r="F130" s="14"/>
      <c r="G130" s="14"/>
      <c r="H130" s="47" t="s">
        <v>171</v>
      </c>
      <c r="I130" s="14" t="str">
        <f>"21-Revenue Credits, Line "&amp;'21-RevenueCredits'!A206&amp;""</f>
        <v>21-Revenue Credits, Line 44</v>
      </c>
      <c r="K130" s="7">
        <f>-'21-RevenueCredits'!E206</f>
        <v>-39482221.858384289</v>
      </c>
    </row>
    <row r="131" spans="1:11" x14ac:dyDescent="0.2">
      <c r="A131" s="117">
        <f t="shared" si="1"/>
        <v>72</v>
      </c>
      <c r="B131" s="14" t="s">
        <v>100</v>
      </c>
      <c r="C131" s="14"/>
      <c r="D131" s="14"/>
      <c r="E131" s="14"/>
      <c r="F131" s="14"/>
      <c r="G131" s="14"/>
      <c r="H131" s="120"/>
      <c r="I131" s="14" t="str">
        <f>"Line "&amp;A95&amp;""</f>
        <v>Line 55</v>
      </c>
      <c r="K131" s="7">
        <f>K95</f>
        <v>193440304.8875235</v>
      </c>
    </row>
    <row r="132" spans="1:11" x14ac:dyDescent="0.2">
      <c r="A132" s="117">
        <f t="shared" si="1"/>
        <v>73</v>
      </c>
      <c r="B132" s="14" t="s">
        <v>6</v>
      </c>
      <c r="C132" s="14"/>
      <c r="D132" s="14"/>
      <c r="E132" s="14"/>
      <c r="F132" s="14"/>
      <c r="G132" s="14"/>
      <c r="H132" s="120"/>
      <c r="I132" s="14" t="str">
        <f>"Line "&amp;A110&amp;""</f>
        <v>Line 63</v>
      </c>
      <c r="K132" s="107">
        <f>K110</f>
        <v>93410158.527784035</v>
      </c>
    </row>
    <row r="133" spans="1:11" x14ac:dyDescent="0.2">
      <c r="A133" s="117">
        <f t="shared" si="1"/>
        <v>74</v>
      </c>
      <c r="B133" s="14" t="s">
        <v>1056</v>
      </c>
      <c r="C133" s="14"/>
      <c r="D133" s="14"/>
      <c r="E133" s="14"/>
      <c r="F133" s="14"/>
      <c r="G133" s="14"/>
      <c r="H133" s="47" t="s">
        <v>1310</v>
      </c>
      <c r="I133" s="15" t="str">
        <f>"11-PHFU, Line "&amp;'11-PHFU'!A46&amp;""</f>
        <v>11-PHFU, Line 10</v>
      </c>
      <c r="K133" s="48">
        <f>-'11-PHFU'!E46</f>
        <v>0</v>
      </c>
    </row>
    <row r="134" spans="1:11" x14ac:dyDescent="0.2">
      <c r="A134" s="117">
        <f t="shared" si="1"/>
        <v>75</v>
      </c>
      <c r="B134" s="855" t="s">
        <v>2498</v>
      </c>
      <c r="C134" s="1001"/>
      <c r="D134" s="14"/>
      <c r="E134" s="14"/>
      <c r="F134" s="14"/>
      <c r="G134" s="14"/>
      <c r="H134" s="120"/>
      <c r="I134" s="15" t="str">
        <f>"23-RegAssets, Line "&amp;'23-RegAssets'!A19&amp;""</f>
        <v>23-RegAssets, Line 16</v>
      </c>
      <c r="K134" s="48">
        <f>'23-RegAssets'!E19</f>
        <v>0</v>
      </c>
    </row>
    <row r="135" spans="1:11" x14ac:dyDescent="0.2">
      <c r="A135" s="117">
        <f t="shared" si="1"/>
        <v>76</v>
      </c>
      <c r="B135" s="15" t="s">
        <v>302</v>
      </c>
      <c r="C135" s="14"/>
      <c r="D135" s="14"/>
      <c r="E135" s="14"/>
      <c r="F135" s="14"/>
      <c r="G135" s="14"/>
      <c r="H135" s="120"/>
      <c r="I135" s="14" t="str">
        <f>"15-IncentiveAdder, Line "&amp;'15-IncentiveAdder'!A44&amp;""</f>
        <v>15-IncentiveAdder, Line 14</v>
      </c>
      <c r="K135" s="95">
        <f>'15-IncentiveAdder'!G44</f>
        <v>11503833.332199505</v>
      </c>
    </row>
    <row r="136" spans="1:11" x14ac:dyDescent="0.2">
      <c r="A136" s="117">
        <f t="shared" si="1"/>
        <v>77</v>
      </c>
      <c r="B136" s="15" t="s">
        <v>1799</v>
      </c>
      <c r="C136" s="14"/>
      <c r="D136" s="14"/>
      <c r="E136" s="14"/>
      <c r="F136" s="14"/>
      <c r="G136" s="14"/>
      <c r="H136" s="120"/>
      <c r="I136" s="14" t="str">
        <f>"Sum of Lines "&amp;A124&amp;" to "&amp;A135&amp;""</f>
        <v>Sum of Lines 65 to 76</v>
      </c>
      <c r="K136" s="7">
        <f>SUM(K124:K135)</f>
        <v>501925448.44813108</v>
      </c>
    </row>
    <row r="137" spans="1:11" x14ac:dyDescent="0.2">
      <c r="A137" s="117"/>
      <c r="B137" s="15"/>
      <c r="C137" s="14"/>
      <c r="D137" s="14"/>
      <c r="E137" s="14"/>
      <c r="F137" s="14"/>
      <c r="G137" s="14"/>
      <c r="H137" s="120"/>
      <c r="I137" s="14"/>
      <c r="K137" s="7"/>
    </row>
    <row r="138" spans="1:11" x14ac:dyDescent="0.2">
      <c r="A138" s="117">
        <f>A136+1</f>
        <v>78</v>
      </c>
      <c r="B138" s="15" t="s">
        <v>328</v>
      </c>
      <c r="C138" s="14"/>
      <c r="D138" s="14"/>
      <c r="E138" s="14"/>
      <c r="F138" s="14"/>
      <c r="G138" s="14"/>
      <c r="H138" s="14"/>
      <c r="I138" s="14" t="str">
        <f>"L "&amp;A136&amp;" * FF Factor (28-FFU, L "&amp;'28-FFU'!A22&amp;")"</f>
        <v>L 77 * FF Factor (28-FFU, L 5)</v>
      </c>
      <c r="J138" s="14"/>
      <c r="K138" s="7">
        <f>'28-FFU'!D22*K136</f>
        <v>4586996.2882777806</v>
      </c>
    </row>
    <row r="139" spans="1:11" x14ac:dyDescent="0.2">
      <c r="A139" s="117">
        <f t="shared" si="1"/>
        <v>79</v>
      </c>
      <c r="B139" s="15" t="s">
        <v>327</v>
      </c>
      <c r="C139" s="14"/>
      <c r="D139" s="14"/>
      <c r="E139" s="14"/>
      <c r="F139" s="14"/>
      <c r="G139" s="14"/>
      <c r="H139" s="14"/>
      <c r="I139" s="14" t="str">
        <f>"L "&amp;A136&amp;" * U Factor (28-FFU, L "&amp;'28-FFU'!A22&amp;")"</f>
        <v>L 77 * U Factor (28-FFU, L 5)</v>
      </c>
      <c r="J139" s="14"/>
      <c r="K139" s="7">
        <f>'28-FFU'!E22*K136</f>
        <v>1207532.2438765138</v>
      </c>
    </row>
    <row r="140" spans="1:11" x14ac:dyDescent="0.2">
      <c r="A140" s="117"/>
      <c r="B140" s="12"/>
      <c r="K140" s="7"/>
    </row>
    <row r="141" spans="1:11" x14ac:dyDescent="0.2">
      <c r="A141" s="117">
        <f>A139+1</f>
        <v>80</v>
      </c>
      <c r="B141" s="12" t="s">
        <v>109</v>
      </c>
      <c r="I141" t="str">
        <f>"Line "&amp;A136&amp;" + Line "&amp;A138&amp;"+ Line "&amp;A139&amp;""</f>
        <v>Line 77 + Line 78+ Line 79</v>
      </c>
      <c r="K141" s="7">
        <f>K136+K138+K139</f>
        <v>507719976.98028541</v>
      </c>
    </row>
    <row r="143" spans="1:11" x14ac:dyDescent="0.2">
      <c r="A143" s="10" t="s">
        <v>303</v>
      </c>
      <c r="B143" s="11"/>
      <c r="C143" s="11"/>
      <c r="D143" s="11"/>
      <c r="E143" s="11"/>
      <c r="F143" s="11"/>
      <c r="G143" s="11"/>
      <c r="H143" s="9"/>
      <c r="I143" s="9"/>
      <c r="J143" s="9"/>
      <c r="K143" s="9"/>
    </row>
    <row r="145" spans="1:11" x14ac:dyDescent="0.2">
      <c r="B145" s="79" t="s">
        <v>2373</v>
      </c>
    </row>
    <row r="146" spans="1:11" x14ac:dyDescent="0.2">
      <c r="A146" s="117">
        <f>A141+1</f>
        <v>81</v>
      </c>
      <c r="B146" t="s">
        <v>109</v>
      </c>
      <c r="I146" t="str">
        <f>"Line "&amp;A141&amp;""</f>
        <v>Line 80</v>
      </c>
      <c r="K146" s="7">
        <f>K141</f>
        <v>507719976.98028541</v>
      </c>
    </row>
    <row r="147" spans="1:11" x14ac:dyDescent="0.2">
      <c r="A147" s="117">
        <f>A146+1</f>
        <v>82</v>
      </c>
      <c r="B147" t="s">
        <v>361</v>
      </c>
      <c r="I147" s="15" t="str">
        <f>"2-IFPTRR, Line "&amp;'2-IFPTRR'!A91&amp;""</f>
        <v>2-IFPTRR, Line 82</v>
      </c>
      <c r="K147" s="7">
        <f>'2-IFPTRR'!D91</f>
        <v>130530590.71188985</v>
      </c>
    </row>
    <row r="148" spans="1:11" x14ac:dyDescent="0.2">
      <c r="A148" s="117">
        <f>A147+1</f>
        <v>83</v>
      </c>
      <c r="B148" s="12" t="s">
        <v>31</v>
      </c>
      <c r="H148" s="12" t="s">
        <v>1317</v>
      </c>
      <c r="I148" s="15" t="str">
        <f>"3-TrueUpAdjust, Line "&amp;'3-TrueUpAdjust'!A72&amp;""</f>
        <v>3-TrueUpAdjust, Line 59</v>
      </c>
      <c r="K148" s="107">
        <f>IF(E149="Yes",0,'3-TrueUpAdjust'!E72)</f>
        <v>0</v>
      </c>
    </row>
    <row r="149" spans="1:11" x14ac:dyDescent="0.2">
      <c r="A149" s="117">
        <f t="shared" ref="A149:A150" si="2">A148+1</f>
        <v>84</v>
      </c>
      <c r="B149" s="12"/>
      <c r="D149" s="98" t="s">
        <v>1484</v>
      </c>
      <c r="E149" s="122" t="s">
        <v>257</v>
      </c>
      <c r="F149" s="12" t="s">
        <v>1485</v>
      </c>
      <c r="I149" s="15"/>
      <c r="K149" s="107"/>
    </row>
    <row r="150" spans="1:11" x14ac:dyDescent="0.2">
      <c r="A150" s="117">
        <f t="shared" si="2"/>
        <v>85</v>
      </c>
      <c r="B150" s="651" t="s">
        <v>2852</v>
      </c>
      <c r="C150" s="14"/>
      <c r="H150" s="12" t="s">
        <v>1343</v>
      </c>
      <c r="I150" s="14"/>
      <c r="K150" s="126">
        <v>0</v>
      </c>
    </row>
    <row r="151" spans="1:11" x14ac:dyDescent="0.2">
      <c r="A151" s="117"/>
      <c r="I151" s="14"/>
      <c r="K151" s="7"/>
    </row>
    <row r="152" spans="1:11" x14ac:dyDescent="0.2">
      <c r="A152" s="117">
        <f>A150+1</f>
        <v>86</v>
      </c>
      <c r="B152" s="649" t="s">
        <v>2371</v>
      </c>
      <c r="H152" s="12" t="s">
        <v>304</v>
      </c>
      <c r="I152" s="14" t="str">
        <f>"L "&amp;A146&amp;" + L "&amp;A147&amp;" + L "&amp;A148&amp;" + L "&amp;A150&amp;""</f>
        <v>L 81 + L 82 + L 83 + L 85</v>
      </c>
      <c r="K152" s="7">
        <f>K146+K147+K148+K150</f>
        <v>638250567.69217527</v>
      </c>
    </row>
    <row r="153" spans="1:11" x14ac:dyDescent="0.2">
      <c r="A153" s="117"/>
      <c r="I153" s="14"/>
      <c r="K153" s="7"/>
    </row>
    <row r="154" spans="1:11" x14ac:dyDescent="0.2">
      <c r="A154" s="117"/>
      <c r="B154" s="79" t="s">
        <v>2372</v>
      </c>
      <c r="I154" s="14"/>
      <c r="K154" s="7"/>
    </row>
    <row r="155" spans="1:11" x14ac:dyDescent="0.2">
      <c r="A155" s="117">
        <f>A152+1</f>
        <v>87</v>
      </c>
      <c r="B155" t="s">
        <v>1716</v>
      </c>
      <c r="I155" s="14" t="str">
        <f>"Line "&amp;A152&amp;""</f>
        <v>Line 86</v>
      </c>
      <c r="K155" s="7">
        <f>K152</f>
        <v>638250567.69217527</v>
      </c>
    </row>
    <row r="156" spans="1:11" x14ac:dyDescent="0.2">
      <c r="A156" s="117">
        <f>A155+1</f>
        <v>88</v>
      </c>
      <c r="B156" t="s">
        <v>1715</v>
      </c>
      <c r="I156" s="15" t="str">
        <f>"25-WholesaleDifference, Line "&amp;'25-WholesaleDifference'!A92&amp;""</f>
        <v>25-WholesaleDifference, Line 44</v>
      </c>
      <c r="K156" s="95">
        <f>'25-WholesaleDifference'!H92</f>
        <v>-5572142.2106996505</v>
      </c>
    </row>
    <row r="157" spans="1:11" x14ac:dyDescent="0.2">
      <c r="A157" s="117">
        <f>A156+1</f>
        <v>89</v>
      </c>
      <c r="B157" t="s">
        <v>2372</v>
      </c>
      <c r="I157" t="str">
        <f>"Line "&amp;A155&amp;" + Line "&amp;A156&amp;""</f>
        <v>Line 87 + Line 88</v>
      </c>
      <c r="K157" s="7">
        <f>K155+K156</f>
        <v>632678425.48147559</v>
      </c>
    </row>
    <row r="158" spans="1:11" x14ac:dyDescent="0.2">
      <c r="A158" s="14"/>
      <c r="H158" s="12"/>
    </row>
    <row r="160" spans="1:11" x14ac:dyDescent="0.2">
      <c r="B160" s="53" t="s">
        <v>267</v>
      </c>
    </row>
    <row r="161" spans="2:11" x14ac:dyDescent="0.2">
      <c r="B161" s="651" t="s">
        <v>3206</v>
      </c>
      <c r="C161" s="14"/>
      <c r="D161" s="14"/>
      <c r="E161" s="14"/>
      <c r="F161" s="14"/>
      <c r="G161" s="14"/>
      <c r="H161" s="14"/>
      <c r="I161" s="14"/>
      <c r="J161" s="14"/>
      <c r="K161" s="14"/>
    </row>
    <row r="162" spans="2:11" x14ac:dyDescent="0.2">
      <c r="B162" s="651" t="s">
        <v>2406</v>
      </c>
      <c r="C162" s="14"/>
      <c r="D162" s="14"/>
      <c r="E162" s="14"/>
      <c r="F162" s="14"/>
      <c r="G162" s="14"/>
      <c r="H162" s="14"/>
      <c r="I162" s="14"/>
      <c r="J162" s="14"/>
      <c r="K162" s="14"/>
    </row>
    <row r="163" spans="2:11" x14ac:dyDescent="0.2">
      <c r="B163" s="651" t="s">
        <v>2737</v>
      </c>
      <c r="C163" s="14"/>
      <c r="D163" s="14"/>
      <c r="E163" s="14"/>
      <c r="F163" s="14"/>
      <c r="G163" s="14"/>
      <c r="H163" s="14"/>
      <c r="I163" s="14"/>
      <c r="J163" s="14"/>
      <c r="K163" s="14"/>
    </row>
    <row r="164" spans="2:11" x14ac:dyDescent="0.2">
      <c r="B164" s="651"/>
      <c r="C164" s="14" t="s">
        <v>2736</v>
      </c>
      <c r="D164" s="14"/>
      <c r="E164" s="14"/>
      <c r="F164" s="101"/>
      <c r="G164" s="101"/>
      <c r="H164" s="101"/>
      <c r="I164" s="14"/>
      <c r="J164" s="14"/>
      <c r="K164" s="14"/>
    </row>
    <row r="165" spans="2:11" x14ac:dyDescent="0.2">
      <c r="B165" s="649" t="s">
        <v>2750</v>
      </c>
      <c r="C165" s="14"/>
      <c r="D165" s="14"/>
      <c r="E165" s="14"/>
      <c r="F165" s="14"/>
      <c r="G165" s="14"/>
      <c r="H165" s="14"/>
      <c r="I165" s="14"/>
    </row>
    <row r="166" spans="2:11" x14ac:dyDescent="0.2">
      <c r="B166" s="12" t="s">
        <v>1783</v>
      </c>
    </row>
    <row r="167" spans="2:11" x14ac:dyDescent="0.2">
      <c r="B167" s="649" t="s">
        <v>2407</v>
      </c>
    </row>
  </sheetData>
  <phoneticPr fontId="10" type="noConversion"/>
  <pageMargins left="0.75" right="0.75" top="1" bottom="1" header="0.5" footer="0.5"/>
  <pageSetup scale="67" orientation="portrait" cellComments="asDisplayed" r:id="rId1"/>
  <headerFooter alignWithMargins="0">
    <oddHeader>&amp;CSchedule 1
Base TRR
&amp;"Arial,Bold"Exhibit G-1</oddHeader>
    <oddFooter>&amp;R&amp;A</oddFooter>
  </headerFooter>
  <rowBreaks count="2" manualBreakCount="2">
    <brk id="59" max="16383" man="1"/>
    <brk id="120" max="16383" man="1"/>
  </rowBreaks>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90" zoomScaleNormal="90" workbookViewId="0">
      <selection activeCell="C18" sqref="C18"/>
    </sheetView>
  </sheetViews>
  <sheetFormatPr defaultRowHeight="12.75" x14ac:dyDescent="0.2"/>
  <cols>
    <col min="1" max="1" width="4.7109375" customWidth="1"/>
    <col min="2" max="2" width="20.7109375" customWidth="1"/>
    <col min="3" max="4" width="16.7109375" customWidth="1"/>
    <col min="5" max="5" width="24.7109375" customWidth="1"/>
    <col min="6" max="6" width="9.140625" customWidth="1"/>
    <col min="10" max="10" width="18.5703125" customWidth="1"/>
    <col min="11" max="11" width="20.85546875" customWidth="1"/>
  </cols>
  <sheetData>
    <row r="1" spans="1:6" x14ac:dyDescent="0.2">
      <c r="A1" s="1" t="s">
        <v>1209</v>
      </c>
    </row>
    <row r="2" spans="1:6" x14ac:dyDescent="0.2">
      <c r="A2" s="1"/>
    </row>
    <row r="3" spans="1:6" x14ac:dyDescent="0.2">
      <c r="B3" s="12" t="s">
        <v>467</v>
      </c>
    </row>
    <row r="4" spans="1:6" x14ac:dyDescent="0.2">
      <c r="A4" s="1"/>
      <c r="B4" s="13" t="s">
        <v>384</v>
      </c>
    </row>
    <row r="5" spans="1:6" x14ac:dyDescent="0.2">
      <c r="A5" s="1"/>
      <c r="B5" s="13" t="s">
        <v>385</v>
      </c>
    </row>
    <row r="7" spans="1:6" x14ac:dyDescent="0.2">
      <c r="B7" s="1" t="s">
        <v>1110</v>
      </c>
    </row>
    <row r="8" spans="1:6" x14ac:dyDescent="0.2">
      <c r="E8" s="16"/>
    </row>
    <row r="9" spans="1:6" x14ac:dyDescent="0.2">
      <c r="A9" s="53" t="s">
        <v>372</v>
      </c>
      <c r="B9" s="73" t="s">
        <v>1208</v>
      </c>
    </row>
    <row r="10" spans="1:6" x14ac:dyDescent="0.2">
      <c r="A10" s="2">
        <v>1</v>
      </c>
    </row>
    <row r="11" spans="1:6" x14ac:dyDescent="0.2">
      <c r="A11" s="2">
        <f>A10+1</f>
        <v>2</v>
      </c>
      <c r="B11" s="406" t="s">
        <v>1789</v>
      </c>
      <c r="C11" s="14"/>
      <c r="D11" s="14"/>
      <c r="E11" s="14"/>
      <c r="F11" s="14"/>
    </row>
    <row r="12" spans="1:6" x14ac:dyDescent="0.2">
      <c r="A12" s="2">
        <f t="shared" ref="A12:A87" si="0">A11+1</f>
        <v>3</v>
      </c>
      <c r="B12" s="406" t="s">
        <v>1159</v>
      </c>
      <c r="C12" s="14"/>
      <c r="D12" s="14"/>
      <c r="E12" s="14"/>
      <c r="F12" s="14"/>
    </row>
    <row r="13" spans="1:6" x14ac:dyDescent="0.2">
      <c r="A13" s="2">
        <f t="shared" si="0"/>
        <v>4</v>
      </c>
      <c r="B13" s="406"/>
      <c r="C13" s="14"/>
      <c r="D13" s="14"/>
      <c r="E13" s="14"/>
      <c r="F13" s="14"/>
    </row>
    <row r="14" spans="1:6" x14ac:dyDescent="0.2">
      <c r="A14" s="2">
        <f t="shared" si="0"/>
        <v>5</v>
      </c>
      <c r="B14" s="1061" t="s">
        <v>3205</v>
      </c>
      <c r="C14" s="14"/>
      <c r="D14" s="14"/>
      <c r="E14" s="14"/>
      <c r="F14" s="14"/>
    </row>
    <row r="15" spans="1:6" x14ac:dyDescent="0.2">
      <c r="A15" s="2">
        <f t="shared" si="0"/>
        <v>6</v>
      </c>
      <c r="B15" s="407"/>
      <c r="C15" s="14"/>
      <c r="D15" s="14"/>
      <c r="E15" s="14"/>
      <c r="F15" s="14"/>
    </row>
    <row r="16" spans="1:6" x14ac:dyDescent="0.2">
      <c r="A16" s="2">
        <f t="shared" si="0"/>
        <v>7</v>
      </c>
      <c r="B16" s="406" t="s">
        <v>411</v>
      </c>
      <c r="C16" s="14"/>
      <c r="D16" s="14"/>
      <c r="E16" s="14"/>
      <c r="F16" s="404"/>
    </row>
    <row r="17" spans="1:6" x14ac:dyDescent="0.2">
      <c r="A17" s="2">
        <f t="shared" si="0"/>
        <v>8</v>
      </c>
      <c r="B17" s="408" t="s">
        <v>1155</v>
      </c>
      <c r="C17" s="14"/>
      <c r="D17" s="14"/>
      <c r="E17" s="14"/>
      <c r="F17" s="70"/>
    </row>
    <row r="18" spans="1:6" x14ac:dyDescent="0.2">
      <c r="A18" s="2">
        <f t="shared" si="0"/>
        <v>9</v>
      </c>
      <c r="B18" s="408" t="s">
        <v>1156</v>
      </c>
      <c r="C18" s="14"/>
      <c r="D18" s="14"/>
      <c r="E18" s="14"/>
      <c r="F18" s="70"/>
    </row>
    <row r="19" spans="1:6" x14ac:dyDescent="0.2">
      <c r="A19" s="2">
        <f t="shared" si="0"/>
        <v>10</v>
      </c>
      <c r="B19" s="408" t="s">
        <v>253</v>
      </c>
      <c r="C19" s="14"/>
      <c r="D19" s="14"/>
      <c r="E19" s="390"/>
      <c r="F19" s="65"/>
    </row>
    <row r="20" spans="1:6" x14ac:dyDescent="0.2">
      <c r="A20" s="2">
        <f t="shared" si="0"/>
        <v>11</v>
      </c>
      <c r="B20" s="45"/>
      <c r="C20" s="14"/>
      <c r="D20" s="390"/>
      <c r="E20" s="131" t="s">
        <v>235</v>
      </c>
      <c r="F20" s="14"/>
    </row>
    <row r="21" spans="1:6" x14ac:dyDescent="0.2">
      <c r="A21" s="2">
        <f t="shared" si="0"/>
        <v>12</v>
      </c>
      <c r="C21" s="390" t="s">
        <v>1223</v>
      </c>
      <c r="D21" s="405">
        <f>'1-BaseTRR'!K88</f>
        <v>2.5649984581746711E-2</v>
      </c>
      <c r="E21" s="47" t="str">
        <f>"1-BaseTRR, Line "&amp;'1-BaseTRR'!A88&amp;""</f>
        <v>1-BaseTRR, Line 50</v>
      </c>
      <c r="F21" s="14"/>
    </row>
    <row r="22" spans="1:6" x14ac:dyDescent="0.2">
      <c r="A22" s="2">
        <f t="shared" si="0"/>
        <v>13</v>
      </c>
      <c r="C22" s="390" t="s">
        <v>1224</v>
      </c>
      <c r="D22" s="405">
        <f>'1-BaseTRR'!K93</f>
        <v>5.173296743140101E-2</v>
      </c>
      <c r="E22" s="47" t="str">
        <f>"1-BaseTRR, Line "&amp;'1-BaseTRR'!A93&amp;""</f>
        <v>1-BaseTRR, Line 54</v>
      </c>
      <c r="F22" s="14"/>
    </row>
    <row r="23" spans="1:6" x14ac:dyDescent="0.2">
      <c r="A23" s="2">
        <f t="shared" si="0"/>
        <v>14</v>
      </c>
      <c r="C23" s="390" t="s">
        <v>1158</v>
      </c>
      <c r="D23" s="405">
        <f>'1-BaseTRR'!K102</f>
        <v>0.40741296259622478</v>
      </c>
      <c r="E23" s="47" t="str">
        <f>"1-BaseTRR, Line "&amp;'1-BaseTRR'!A102&amp;""</f>
        <v>1-BaseTRR, Line 58</v>
      </c>
      <c r="F23" s="14"/>
    </row>
    <row r="24" spans="1:6" x14ac:dyDescent="0.2">
      <c r="A24" s="2">
        <f t="shared" si="0"/>
        <v>15</v>
      </c>
      <c r="B24" s="15"/>
      <c r="C24" s="14"/>
      <c r="D24" s="405"/>
      <c r="E24" s="47"/>
      <c r="F24" s="14"/>
    </row>
    <row r="25" spans="1:6" x14ac:dyDescent="0.2">
      <c r="A25" s="2">
        <f t="shared" si="0"/>
        <v>16</v>
      </c>
      <c r="C25" s="390" t="s">
        <v>1157</v>
      </c>
      <c r="D25" s="405">
        <f>D21 + (D22*(1/(1-D23)))</f>
        <v>0.11295018550759207</v>
      </c>
      <c r="E25" s="47" t="str">
        <f>"Line "&amp;A21&amp;" + (Line "&amp;A22&amp;" * (1/(1 - Line "&amp;A23&amp;")))"</f>
        <v>Line 12 + (Line 13 * (1/(1 - Line 14)))</v>
      </c>
      <c r="F25" s="14"/>
    </row>
    <row r="26" spans="1:6" x14ac:dyDescent="0.2">
      <c r="A26" s="2">
        <f t="shared" si="0"/>
        <v>17</v>
      </c>
      <c r="B26" s="15"/>
      <c r="C26" s="14"/>
      <c r="D26" s="390"/>
      <c r="E26" s="47"/>
      <c r="F26" s="14"/>
    </row>
    <row r="27" spans="1:6" x14ac:dyDescent="0.2">
      <c r="A27" s="2">
        <f t="shared" si="0"/>
        <v>18</v>
      </c>
      <c r="B27" s="73" t="s">
        <v>1108</v>
      </c>
      <c r="C27" s="14"/>
      <c r="D27" s="390"/>
      <c r="E27" s="47"/>
      <c r="F27" s="14"/>
    </row>
    <row r="28" spans="1:6" x14ac:dyDescent="0.2">
      <c r="A28" s="2">
        <f t="shared" si="0"/>
        <v>19</v>
      </c>
      <c r="B28" s="15"/>
      <c r="C28" s="14"/>
      <c r="D28" s="390"/>
      <c r="E28" s="47"/>
      <c r="F28" s="14"/>
    </row>
    <row r="29" spans="1:6" x14ac:dyDescent="0.2">
      <c r="A29" s="2">
        <f t="shared" si="0"/>
        <v>20</v>
      </c>
      <c r="B29" s="406" t="s">
        <v>1225</v>
      </c>
      <c r="C29" s="14"/>
      <c r="D29" s="390"/>
      <c r="E29" s="47"/>
      <c r="F29" s="14"/>
    </row>
    <row r="30" spans="1:6" x14ac:dyDescent="0.2">
      <c r="A30" s="2">
        <f t="shared" si="0"/>
        <v>21</v>
      </c>
      <c r="B30" s="406" t="s">
        <v>1226</v>
      </c>
      <c r="C30" s="14"/>
      <c r="D30" s="390"/>
      <c r="E30" s="47"/>
      <c r="F30" s="14"/>
    </row>
    <row r="31" spans="1:6" x14ac:dyDescent="0.2">
      <c r="A31" s="2">
        <f t="shared" si="0"/>
        <v>22</v>
      </c>
      <c r="C31" s="14"/>
      <c r="D31" s="390"/>
      <c r="E31" s="47"/>
      <c r="F31" s="14"/>
    </row>
    <row r="32" spans="1:6" x14ac:dyDescent="0.2">
      <c r="A32" s="2">
        <f t="shared" si="0"/>
        <v>23</v>
      </c>
      <c r="B32" s="408" t="s">
        <v>1160</v>
      </c>
      <c r="C32" s="14"/>
      <c r="D32" s="390"/>
      <c r="E32" s="47"/>
      <c r="F32" s="14"/>
    </row>
    <row r="33" spans="1:11" x14ac:dyDescent="0.2">
      <c r="A33" s="2">
        <f t="shared" si="0"/>
        <v>24</v>
      </c>
      <c r="E33" s="14"/>
      <c r="F33" s="14"/>
    </row>
    <row r="34" spans="1:11" x14ac:dyDescent="0.2">
      <c r="A34" s="2">
        <f t="shared" si="0"/>
        <v>25</v>
      </c>
      <c r="B34" s="73" t="s">
        <v>1207</v>
      </c>
      <c r="E34" s="14"/>
      <c r="F34" s="14"/>
    </row>
    <row r="35" spans="1:11" x14ac:dyDescent="0.2">
      <c r="A35" s="2">
        <f t="shared" si="0"/>
        <v>26</v>
      </c>
      <c r="B35" s="12"/>
      <c r="E35" s="131" t="s">
        <v>235</v>
      </c>
      <c r="F35" s="14"/>
    </row>
    <row r="36" spans="1:11" x14ac:dyDescent="0.2">
      <c r="A36" s="2">
        <f t="shared" si="0"/>
        <v>27</v>
      </c>
      <c r="C36" s="98" t="s">
        <v>1166</v>
      </c>
      <c r="D36" s="107">
        <f>'6-PlantInService'!M23</f>
        <v>3202106122</v>
      </c>
      <c r="E36" s="47" t="str">
        <f>"6-PlantInService, Line "&amp;'6-PlantInService'!A23&amp;""</f>
        <v>6-PlantInService, Line 13</v>
      </c>
      <c r="F36" s="14"/>
    </row>
    <row r="37" spans="1:11" x14ac:dyDescent="0.2">
      <c r="A37" s="2">
        <f t="shared" si="0"/>
        <v>28</v>
      </c>
      <c r="C37" s="98" t="s">
        <v>1167</v>
      </c>
      <c r="D37" s="107">
        <f>'6-PlantInService'!F35</f>
        <v>17221257.166172802</v>
      </c>
      <c r="E37" s="47" t="str">
        <f>"6-PlantInService, Line "&amp;'6-PlantInService'!A35&amp;""</f>
        <v>6-PlantInService, Line 16</v>
      </c>
      <c r="F37" s="14"/>
    </row>
    <row r="38" spans="1:11" x14ac:dyDescent="0.2">
      <c r="A38" s="2">
        <f t="shared" si="0"/>
        <v>29</v>
      </c>
      <c r="C38" s="98" t="s">
        <v>1205</v>
      </c>
      <c r="D38" s="107">
        <f>'8-AccDep'!N24</f>
        <v>995677695</v>
      </c>
      <c r="E38" s="47" t="str">
        <f>"8-AccDep, Line "&amp;'8-AccDep'!A24&amp;""</f>
        <v>8-AccDep, Line 13</v>
      </c>
      <c r="F38" s="14"/>
    </row>
    <row r="39" spans="1:11" x14ac:dyDescent="0.2">
      <c r="A39" s="2">
        <f t="shared" si="0"/>
        <v>30</v>
      </c>
      <c r="C39" s="98" t="s">
        <v>1206</v>
      </c>
      <c r="D39" s="95">
        <f>'8-AccDep'!G34</f>
        <v>4271545.0010027001</v>
      </c>
      <c r="E39" s="47" t="str">
        <f>"8-AccDep, Line "&amp;'8-AccDep'!A34&amp;""</f>
        <v>8-AccDep, Line 16</v>
      </c>
      <c r="F39" s="14"/>
    </row>
    <row r="40" spans="1:11" x14ac:dyDescent="0.2">
      <c r="A40" s="2">
        <f t="shared" si="0"/>
        <v>31</v>
      </c>
      <c r="C40" s="98" t="s">
        <v>1109</v>
      </c>
      <c r="D40" s="7">
        <f>(D36+D37)-(D38+D39)</f>
        <v>2219378139.1651702</v>
      </c>
      <c r="E40" s="47" t="str">
        <f>"(L"&amp;A36&amp;" + L"&amp;A37&amp;") - (L"&amp;A38&amp;" + L"&amp;A39&amp;")"</f>
        <v>(L27 + L28) - (L29 + L30)</v>
      </c>
      <c r="F40" s="14"/>
    </row>
    <row r="41" spans="1:11" x14ac:dyDescent="0.2">
      <c r="A41" s="2">
        <f t="shared" si="0"/>
        <v>32</v>
      </c>
      <c r="C41" s="98"/>
      <c r="D41" s="7"/>
      <c r="E41" s="47"/>
      <c r="F41" s="14"/>
    </row>
    <row r="42" spans="1:11" x14ac:dyDescent="0.2">
      <c r="A42" s="2">
        <f t="shared" si="0"/>
        <v>33</v>
      </c>
      <c r="B42" s="73" t="s">
        <v>1763</v>
      </c>
      <c r="F42" s="14"/>
    </row>
    <row r="43" spans="1:11" x14ac:dyDescent="0.2">
      <c r="A43" s="629">
        <f t="shared" si="0"/>
        <v>34</v>
      </c>
      <c r="B43" s="73"/>
      <c r="F43" s="14"/>
    </row>
    <row r="44" spans="1:11" x14ac:dyDescent="0.2">
      <c r="A44" s="629">
        <f t="shared" si="0"/>
        <v>35</v>
      </c>
      <c r="B44" s="73" t="s">
        <v>1764</v>
      </c>
      <c r="F44" s="14"/>
    </row>
    <row r="45" spans="1:11" x14ac:dyDescent="0.2">
      <c r="A45" s="629">
        <f t="shared" si="0"/>
        <v>36</v>
      </c>
      <c r="B45" s="57" t="s">
        <v>1765</v>
      </c>
      <c r="F45" s="14"/>
    </row>
    <row r="46" spans="1:11" x14ac:dyDescent="0.2">
      <c r="A46" s="629">
        <f t="shared" si="0"/>
        <v>37</v>
      </c>
      <c r="B46" s="73"/>
      <c r="C46" s="98" t="s">
        <v>1790</v>
      </c>
      <c r="D46" s="107">
        <f>'10-CWIP'!D25</f>
        <v>638080992.50999999</v>
      </c>
      <c r="E46" s="47" t="str">
        <f>"10-CWIP, L "&amp;'10-CWIP'!A25&amp;" C1"</f>
        <v>10-CWIP, L 13 C1</v>
      </c>
      <c r="F46" s="14"/>
      <c r="G46" s="14"/>
      <c r="K46" s="7"/>
    </row>
    <row r="47" spans="1:11" x14ac:dyDescent="0.2">
      <c r="A47" s="629">
        <f t="shared" si="0"/>
        <v>38</v>
      </c>
      <c r="B47" s="73"/>
      <c r="C47" s="98" t="s">
        <v>399</v>
      </c>
      <c r="D47" s="132">
        <f>D25</f>
        <v>0.11295018550759207</v>
      </c>
      <c r="E47" s="47" t="str">
        <f>"Line "&amp;A25&amp;""</f>
        <v>Line 16</v>
      </c>
      <c r="F47" s="14"/>
      <c r="G47" s="14"/>
      <c r="K47" s="7"/>
    </row>
    <row r="48" spans="1:11" x14ac:dyDescent="0.2">
      <c r="A48" s="629">
        <f t="shared" si="0"/>
        <v>39</v>
      </c>
      <c r="B48" s="73"/>
      <c r="C48" s="98" t="s">
        <v>1758</v>
      </c>
      <c r="D48" s="107">
        <f>D46*D47</f>
        <v>72071366.472872972</v>
      </c>
      <c r="E48" s="47" t="str">
        <f>"Line "&amp;A46&amp;" * Line "&amp;A47&amp;""</f>
        <v>Line 37 * Line 38</v>
      </c>
      <c r="F48" s="14"/>
      <c r="G48" s="14"/>
      <c r="K48" s="7"/>
    </row>
    <row r="49" spans="1:11" x14ac:dyDescent="0.2">
      <c r="A49" s="629">
        <f t="shared" si="0"/>
        <v>40</v>
      </c>
      <c r="B49" s="73"/>
      <c r="C49" s="98"/>
      <c r="D49" s="107"/>
      <c r="E49" s="47"/>
      <c r="F49" s="14"/>
      <c r="G49" s="14"/>
      <c r="K49" s="7"/>
    </row>
    <row r="50" spans="1:11" x14ac:dyDescent="0.2">
      <c r="A50" s="629">
        <f t="shared" si="0"/>
        <v>41</v>
      </c>
      <c r="B50" s="57" t="s">
        <v>1766</v>
      </c>
      <c r="E50" s="14"/>
      <c r="F50" s="14"/>
      <c r="G50" s="14"/>
      <c r="K50" s="7"/>
    </row>
    <row r="51" spans="1:11" x14ac:dyDescent="0.2">
      <c r="A51" s="629">
        <f t="shared" si="0"/>
        <v>42</v>
      </c>
      <c r="B51" s="73"/>
      <c r="C51" s="98" t="s">
        <v>1772</v>
      </c>
      <c r="D51" s="107">
        <f>'15-IncentiveAdder'!G17</f>
        <v>8346.262815871798</v>
      </c>
      <c r="E51" s="120" t="str">
        <f>"15-IncentiveAdder, Line "&amp;'15-IncentiveAdder'!A17&amp;""</f>
        <v>15-IncentiveAdder, Line 3</v>
      </c>
      <c r="F51" s="14"/>
      <c r="G51" s="14"/>
      <c r="K51" s="7"/>
    </row>
    <row r="52" spans="1:11" x14ac:dyDescent="0.2">
      <c r="A52" s="629">
        <f t="shared" si="0"/>
        <v>43</v>
      </c>
      <c r="B52" s="73"/>
      <c r="C52" s="98"/>
      <c r="E52" s="14"/>
      <c r="F52" s="14"/>
      <c r="G52" s="14"/>
      <c r="K52" s="7"/>
    </row>
    <row r="53" spans="1:11" x14ac:dyDescent="0.2">
      <c r="A53" s="629">
        <f t="shared" si="0"/>
        <v>44</v>
      </c>
      <c r="B53" s="73"/>
      <c r="C53" s="98" t="s">
        <v>1745</v>
      </c>
      <c r="D53" s="7">
        <f>'10-CWIP'!E25</f>
        <v>581251930.19000006</v>
      </c>
      <c r="E53" s="47" t="str">
        <f>"10-CWIP, Line "&amp;'10-CWIP'!A25&amp;""</f>
        <v>10-CWIP, Line 13</v>
      </c>
      <c r="F53" s="15"/>
      <c r="G53" s="14"/>
      <c r="K53" s="7"/>
    </row>
    <row r="54" spans="1:11" x14ac:dyDescent="0.2">
      <c r="A54" s="629">
        <f t="shared" si="0"/>
        <v>45</v>
      </c>
      <c r="B54" s="73"/>
      <c r="C54" s="98" t="s">
        <v>1769</v>
      </c>
      <c r="D54" s="43">
        <f>'15-IncentiveAdder'!E26</f>
        <v>1.2500000000000001E-2</v>
      </c>
      <c r="E54" s="120" t="str">
        <f>"15-IncentiveAdder, Line "&amp;'15-IncentiveAdder'!A26&amp;""</f>
        <v>15-IncentiveAdder, Line 5</v>
      </c>
      <c r="F54" s="15"/>
      <c r="G54" s="14"/>
      <c r="K54" s="7"/>
    </row>
    <row r="55" spans="1:11" x14ac:dyDescent="0.2">
      <c r="A55" s="629">
        <f t="shared" si="0"/>
        <v>46</v>
      </c>
      <c r="B55" s="73"/>
      <c r="C55" s="98" t="s">
        <v>1768</v>
      </c>
      <c r="D55" s="7">
        <f>(D53/1000000)*($D$51*(D54/0.01))</f>
        <v>6064101.7144981343</v>
      </c>
      <c r="E55" s="648" t="str">
        <f>"Formula on Line "&amp;A61&amp;""</f>
        <v>Formula on Line 52</v>
      </c>
      <c r="F55" s="14"/>
      <c r="G55" s="14"/>
      <c r="K55" s="7"/>
    </row>
    <row r="56" spans="1:11" x14ac:dyDescent="0.2">
      <c r="A56" s="629">
        <f t="shared" si="0"/>
        <v>47</v>
      </c>
      <c r="B56" s="73"/>
      <c r="C56" s="98"/>
      <c r="E56" s="65"/>
      <c r="F56" s="14"/>
      <c r="G56" s="14"/>
      <c r="K56" s="7"/>
    </row>
    <row r="57" spans="1:11" x14ac:dyDescent="0.2">
      <c r="A57" s="629">
        <f t="shared" si="0"/>
        <v>48</v>
      </c>
      <c r="C57" s="98" t="s">
        <v>1767</v>
      </c>
      <c r="D57" s="7">
        <f>'10-CWIP'!F25</f>
        <v>46741390.93</v>
      </c>
      <c r="E57" s="47" t="str">
        <f>"10-CWIP, Line "&amp;'10-CWIP'!A25&amp;""</f>
        <v>10-CWIP, Line 13</v>
      </c>
      <c r="F57" s="14"/>
      <c r="G57" s="14"/>
      <c r="K57" s="7"/>
    </row>
    <row r="58" spans="1:11" x14ac:dyDescent="0.2">
      <c r="A58" s="629">
        <f t="shared" si="0"/>
        <v>49</v>
      </c>
      <c r="C58" s="98" t="s">
        <v>1770</v>
      </c>
      <c r="D58" s="43">
        <f>'15-IncentiveAdder'!E27</f>
        <v>0.01</v>
      </c>
      <c r="E58" s="120" t="str">
        <f>"15-IncentiveAdder, Line "&amp;'15-IncentiveAdder'!A27&amp;""</f>
        <v>15-IncentiveAdder, Line 6</v>
      </c>
      <c r="F58" s="14"/>
      <c r="G58" s="14"/>
      <c r="K58" s="7"/>
    </row>
    <row r="59" spans="1:11" x14ac:dyDescent="0.2">
      <c r="A59" s="629">
        <f t="shared" si="0"/>
        <v>50</v>
      </c>
      <c r="C59" s="98" t="s">
        <v>1771</v>
      </c>
      <c r="D59" s="7">
        <f>(D57/1000000)*($D$51*(D58/0.01))</f>
        <v>390115.93308118632</v>
      </c>
      <c r="E59" s="47" t="str">
        <f>"Formula on Line "&amp;A61&amp;""</f>
        <v>Formula on Line 52</v>
      </c>
      <c r="F59" s="14"/>
      <c r="G59" s="14"/>
      <c r="K59" s="7"/>
    </row>
    <row r="60" spans="1:11" x14ac:dyDescent="0.2">
      <c r="A60" s="629">
        <f t="shared" si="0"/>
        <v>51</v>
      </c>
      <c r="C60" s="98"/>
      <c r="D60" s="7"/>
      <c r="E60" s="47"/>
      <c r="F60" s="14"/>
      <c r="G60" s="14"/>
      <c r="K60" s="7"/>
    </row>
    <row r="61" spans="1:11" x14ac:dyDescent="0.2">
      <c r="A61" s="629">
        <f t="shared" si="0"/>
        <v>52</v>
      </c>
      <c r="C61" s="52" t="s">
        <v>1747</v>
      </c>
      <c r="D61" s="7"/>
      <c r="E61" s="47"/>
      <c r="F61" s="14"/>
      <c r="G61" s="14"/>
      <c r="K61" s="7"/>
    </row>
    <row r="62" spans="1:11" x14ac:dyDescent="0.2">
      <c r="A62" s="629">
        <f t="shared" si="0"/>
        <v>53</v>
      </c>
      <c r="E62" s="14"/>
      <c r="F62" s="14"/>
      <c r="G62" s="14"/>
      <c r="K62" s="7"/>
    </row>
    <row r="63" spans="1:11" x14ac:dyDescent="0.2">
      <c r="A63" s="629">
        <f t="shared" si="0"/>
        <v>54</v>
      </c>
      <c r="C63" s="647" t="s">
        <v>1816</v>
      </c>
      <c r="D63" s="107">
        <f>D48+D55+D59</f>
        <v>78525584.120452285</v>
      </c>
      <c r="E63" s="47" t="str">
        <f>"Line "&amp;A48&amp;" + Line "&amp;A55&amp;" + Line "&amp;A59&amp;""</f>
        <v>Line 39 + Line 46 + Line 50</v>
      </c>
      <c r="F63" s="14"/>
      <c r="G63" s="14"/>
      <c r="K63" s="7"/>
    </row>
    <row r="64" spans="1:11" x14ac:dyDescent="0.2">
      <c r="A64" s="646">
        <f t="shared" si="0"/>
        <v>55</v>
      </c>
      <c r="C64" s="647" t="s">
        <v>1815</v>
      </c>
      <c r="D64" s="95">
        <f>('28-FFU'!D22+'28-FFU'!E22)*D63</f>
        <v>906546.45843697351</v>
      </c>
      <c r="E64" s="648" t="str">
        <f>"(28-FFU, L"&amp;'28-FFU'!A22&amp;" FF Factor + U Factor) * L"&amp;A63&amp;""</f>
        <v>(28-FFU, L5 FF Factor + U Factor) * L54</v>
      </c>
      <c r="F64" s="14"/>
      <c r="G64" s="14"/>
      <c r="K64" s="7"/>
    </row>
    <row r="65" spans="1:11" x14ac:dyDescent="0.2">
      <c r="A65" s="646">
        <f t="shared" si="0"/>
        <v>56</v>
      </c>
      <c r="C65" s="647" t="s">
        <v>1817</v>
      </c>
      <c r="D65" s="107">
        <f>SUM(D63:D64)</f>
        <v>79432130.578889266</v>
      </c>
      <c r="E65" s="47" t="str">
        <f>"Line "&amp;A63&amp;" + Line "&amp;A64&amp;""</f>
        <v>Line 54 + Line 55</v>
      </c>
      <c r="F65" s="14"/>
      <c r="K65" s="7"/>
    </row>
    <row r="66" spans="1:11" x14ac:dyDescent="0.2">
      <c r="A66" s="646">
        <f t="shared" si="0"/>
        <v>57</v>
      </c>
      <c r="C66" s="98"/>
      <c r="D66" s="107"/>
      <c r="E66" s="47"/>
      <c r="F66" s="14"/>
      <c r="K66" s="7"/>
    </row>
    <row r="67" spans="1:11" x14ac:dyDescent="0.2">
      <c r="A67" s="646">
        <f t="shared" si="0"/>
        <v>58</v>
      </c>
      <c r="B67" s="73" t="s">
        <v>1773</v>
      </c>
      <c r="C67" s="98"/>
      <c r="D67" s="107"/>
      <c r="E67" s="47"/>
      <c r="F67" s="14"/>
      <c r="K67" s="7"/>
    </row>
    <row r="68" spans="1:11" x14ac:dyDescent="0.2">
      <c r="A68" s="646">
        <f t="shared" si="0"/>
        <v>59</v>
      </c>
      <c r="F68" s="14"/>
      <c r="K68" s="7"/>
    </row>
    <row r="69" spans="1:11" x14ac:dyDescent="0.2">
      <c r="A69" s="117">
        <f t="shared" si="0"/>
        <v>60</v>
      </c>
      <c r="B69" s="14"/>
      <c r="C69" s="1052" t="s">
        <v>1816</v>
      </c>
      <c r="D69" s="48">
        <f>D63</f>
        <v>78525584.120452285</v>
      </c>
      <c r="E69" s="47" t="str">
        <f>"Line "&amp;A63&amp;""</f>
        <v>Line 54</v>
      </c>
      <c r="F69" s="14"/>
      <c r="G69" s="14"/>
      <c r="K69" s="7"/>
    </row>
    <row r="70" spans="1:11" x14ac:dyDescent="0.2">
      <c r="A70" s="117">
        <f t="shared" si="0"/>
        <v>61</v>
      </c>
      <c r="B70" s="14"/>
      <c r="C70" s="1052" t="s">
        <v>2509</v>
      </c>
      <c r="D70" s="48">
        <f>'1-BaseTRR'!K136</f>
        <v>501925448.44813108</v>
      </c>
      <c r="E70" s="47" t="str">
        <f>"1-BaseTRR, Line "&amp;'1-BaseTRR'!A136&amp;""</f>
        <v>1-BaseTRR, Line 77</v>
      </c>
      <c r="F70" s="14"/>
      <c r="G70" s="14"/>
      <c r="K70" s="7"/>
    </row>
    <row r="71" spans="1:11" x14ac:dyDescent="0.2">
      <c r="A71" s="117">
        <f t="shared" si="0"/>
        <v>62</v>
      </c>
      <c r="B71" s="14"/>
      <c r="C71" s="390" t="s">
        <v>1791</v>
      </c>
      <c r="D71" s="48">
        <f>D70-D69</f>
        <v>423399864.3276788</v>
      </c>
      <c r="E71" s="47" t="str">
        <f>"Line "&amp;A70&amp;" - Line "&amp;A69&amp;""</f>
        <v>Line 61 - Line 60</v>
      </c>
      <c r="F71" s="14"/>
      <c r="G71" s="14"/>
      <c r="K71" s="7"/>
    </row>
    <row r="72" spans="1:11" x14ac:dyDescent="0.2">
      <c r="A72" s="117">
        <f t="shared" si="0"/>
        <v>63</v>
      </c>
      <c r="B72" s="14"/>
      <c r="C72" s="1053" t="s">
        <v>2769</v>
      </c>
      <c r="D72" s="65">
        <f>('1-BaseTRR'!K124+'1-BaseTRR'!K125)*0.75</f>
        <v>99014348.054330587</v>
      </c>
      <c r="E72" s="47" t="str">
        <f>"(1-BaseTRR, Line "&amp;'1-BaseTRR'!A124&amp;" + Line "&amp;'1-BaseTRR'!A125&amp;") * .75"</f>
        <v>(1-BaseTRR, Line 65 + Line 66) * .75</v>
      </c>
      <c r="F72" s="14"/>
      <c r="G72" s="14"/>
      <c r="K72" s="7"/>
    </row>
    <row r="73" spans="1:11" x14ac:dyDescent="0.2">
      <c r="A73" s="117">
        <f t="shared" si="0"/>
        <v>64</v>
      </c>
      <c r="B73" s="14"/>
      <c r="C73" s="390" t="s">
        <v>310</v>
      </c>
      <c r="D73" s="1051">
        <f xml:space="preserve"> (D71-D72)/D40</f>
        <v>0.14616054405013082</v>
      </c>
      <c r="E73" s="47" t="str">
        <f>"(Line "&amp;A71&amp;" - Line "&amp;A72&amp;") / Line "&amp;A40&amp;""</f>
        <v>(Line 62 - Line 63) / Line 31</v>
      </c>
      <c r="F73" s="14"/>
      <c r="G73" s="14"/>
      <c r="K73" s="7"/>
    </row>
    <row r="74" spans="1:11" x14ac:dyDescent="0.2">
      <c r="A74" s="117">
        <f t="shared" si="0"/>
        <v>65</v>
      </c>
      <c r="B74" s="14"/>
      <c r="C74" s="14"/>
      <c r="D74" s="65"/>
      <c r="E74" s="47"/>
      <c r="F74" s="14"/>
      <c r="G74" s="14"/>
    </row>
    <row r="75" spans="1:11" x14ac:dyDescent="0.2">
      <c r="A75" s="117">
        <f t="shared" si="0"/>
        <v>66</v>
      </c>
      <c r="B75" s="45" t="s">
        <v>397</v>
      </c>
      <c r="C75" s="14"/>
      <c r="D75" s="14"/>
      <c r="E75" s="14"/>
      <c r="F75" s="14"/>
      <c r="G75" s="14"/>
    </row>
    <row r="76" spans="1:11" x14ac:dyDescent="0.2">
      <c r="A76" s="117">
        <f t="shared" si="0"/>
        <v>67</v>
      </c>
      <c r="B76" s="14"/>
      <c r="C76" s="14"/>
      <c r="D76" s="14"/>
      <c r="E76" s="14"/>
      <c r="F76" s="14"/>
      <c r="G76" s="14"/>
    </row>
    <row r="77" spans="1:11" x14ac:dyDescent="0.2">
      <c r="A77" s="117">
        <f t="shared" si="0"/>
        <v>68</v>
      </c>
      <c r="B77" s="14"/>
      <c r="C77" s="14"/>
      <c r="D77" s="14"/>
      <c r="E77" s="131" t="s">
        <v>235</v>
      </c>
      <c r="F77" s="14"/>
      <c r="G77" s="14"/>
      <c r="I77" s="1"/>
    </row>
    <row r="78" spans="1:11" x14ac:dyDescent="0.2">
      <c r="A78" s="117">
        <f t="shared" si="0"/>
        <v>69</v>
      </c>
      <c r="B78" s="14"/>
      <c r="C78" s="390" t="s">
        <v>309</v>
      </c>
      <c r="D78" s="65">
        <f>'16-PlantAdditions'!N34</f>
        <v>375698497.49385411</v>
      </c>
      <c r="E78" s="47" t="str">
        <f>"16-PlantAdditions, L "&amp;'16-PlantAdditions'!A34&amp;", C10"</f>
        <v>16-PlantAdditions, L 22, C10</v>
      </c>
      <c r="F78" s="14"/>
      <c r="G78" s="14"/>
      <c r="K78" s="7"/>
    </row>
    <row r="79" spans="1:11" x14ac:dyDescent="0.2">
      <c r="A79" s="117">
        <f t="shared" si="0"/>
        <v>70</v>
      </c>
      <c r="B79" s="14"/>
      <c r="C79" s="390" t="s">
        <v>310</v>
      </c>
      <c r="D79" s="1054">
        <f>D73</f>
        <v>0.14616054405013082</v>
      </c>
      <c r="E79" s="47" t="str">
        <f>"Line "&amp;A73&amp;""</f>
        <v>Line 64</v>
      </c>
      <c r="F79" s="14"/>
      <c r="G79" s="14"/>
      <c r="K79" s="996"/>
    </row>
    <row r="80" spans="1:11" x14ac:dyDescent="0.2">
      <c r="A80" s="117">
        <f t="shared" si="0"/>
        <v>71</v>
      </c>
      <c r="B80" s="14"/>
      <c r="C80" s="390" t="s">
        <v>398</v>
      </c>
      <c r="D80" s="65">
        <f>D78*D79</f>
        <v>54912296.792518429</v>
      </c>
      <c r="E80" s="47" t="str">
        <f>"Line "&amp;A78&amp;" * Line "&amp;A79&amp;""</f>
        <v>Line 69 * Line 70</v>
      </c>
      <c r="F80" s="14"/>
      <c r="G80" s="14"/>
      <c r="K80" s="7"/>
    </row>
    <row r="81" spans="1:11" x14ac:dyDescent="0.2">
      <c r="A81" s="117">
        <f t="shared" si="0"/>
        <v>72</v>
      </c>
      <c r="B81" s="14"/>
      <c r="C81" s="14"/>
      <c r="D81" s="14"/>
      <c r="E81" s="14"/>
      <c r="F81" s="14"/>
      <c r="G81" s="14"/>
      <c r="K81" s="7"/>
    </row>
    <row r="82" spans="1:11" x14ac:dyDescent="0.2">
      <c r="A82" s="117">
        <f t="shared" si="0"/>
        <v>73</v>
      </c>
      <c r="B82" s="14"/>
      <c r="C82" s="390" t="s">
        <v>401</v>
      </c>
      <c r="D82" s="65">
        <f>'10-CWIP'!K76</f>
        <v>656294351.44332886</v>
      </c>
      <c r="E82" s="47" t="str">
        <f>"10-CWIP, L "&amp;'10-CWIP'!A76&amp;", C8"</f>
        <v>10-CWIP, L 51, C8</v>
      </c>
      <c r="F82" s="14"/>
      <c r="G82" s="14"/>
      <c r="K82" s="7"/>
    </row>
    <row r="83" spans="1:11" x14ac:dyDescent="0.2">
      <c r="A83" s="117">
        <f t="shared" si="0"/>
        <v>74</v>
      </c>
      <c r="B83" s="14"/>
      <c r="C83" s="390" t="s">
        <v>399</v>
      </c>
      <c r="D83" s="1054">
        <f>D25</f>
        <v>0.11295018550759207</v>
      </c>
      <c r="E83" s="47" t="str">
        <f>"Line "&amp;A25&amp;""</f>
        <v>Line 16</v>
      </c>
      <c r="F83" s="14"/>
      <c r="G83" s="14"/>
      <c r="K83" s="996"/>
    </row>
    <row r="84" spans="1:11" x14ac:dyDescent="0.2">
      <c r="A84" s="117">
        <f t="shared" si="0"/>
        <v>75</v>
      </c>
      <c r="B84" s="14"/>
      <c r="C84" s="390" t="s">
        <v>400</v>
      </c>
      <c r="D84" s="65">
        <f>D82*D83</f>
        <v>74128568.743108824</v>
      </c>
      <c r="E84" s="47" t="str">
        <f>"Line "&amp;A82&amp;" * Line "&amp;A83&amp;""</f>
        <v>Line 73 * Line 74</v>
      </c>
      <c r="F84" s="14"/>
      <c r="G84" s="14"/>
      <c r="K84" s="7"/>
    </row>
    <row r="85" spans="1:11" x14ac:dyDescent="0.2">
      <c r="A85" s="117">
        <f t="shared" si="0"/>
        <v>76</v>
      </c>
      <c r="B85" s="14"/>
      <c r="C85" s="14"/>
      <c r="D85" s="14"/>
      <c r="E85" s="14"/>
      <c r="F85" s="14"/>
      <c r="G85" s="14"/>
      <c r="K85" s="7"/>
    </row>
    <row r="86" spans="1:11" x14ac:dyDescent="0.2">
      <c r="A86" s="117">
        <f t="shared" si="0"/>
        <v>77</v>
      </c>
      <c r="B86" s="14"/>
      <c r="C86" s="390" t="s">
        <v>1800</v>
      </c>
      <c r="D86" s="65">
        <f>D80+D84</f>
        <v>129040865.53562725</v>
      </c>
      <c r="E86" s="47" t="str">
        <f>"Line "&amp;A80&amp;" + Line "&amp;A84&amp;""</f>
        <v>Line 71 + Line 75</v>
      </c>
      <c r="F86" s="14"/>
      <c r="G86" s="14"/>
      <c r="K86" s="7"/>
    </row>
    <row r="87" spans="1:11" x14ac:dyDescent="0.2">
      <c r="A87" s="117">
        <f t="shared" si="0"/>
        <v>78</v>
      </c>
      <c r="B87" s="14"/>
      <c r="C87" s="14"/>
      <c r="D87" s="14"/>
      <c r="E87" s="14"/>
      <c r="F87" s="14"/>
      <c r="G87" s="14"/>
      <c r="K87" s="7"/>
    </row>
    <row r="88" spans="1:11" x14ac:dyDescent="0.2">
      <c r="A88" s="117">
        <f t="shared" ref="A88:A91" si="1">A87+1</f>
        <v>79</v>
      </c>
      <c r="B88" s="14"/>
      <c r="C88" s="390" t="s">
        <v>1801</v>
      </c>
      <c r="D88" s="65">
        <f>'28-FFU'!D22*D86</f>
        <v>1179278.6619569904</v>
      </c>
      <c r="E88" s="120" t="str">
        <f>"Line "&amp;A86&amp;" * FF (from 28-FFU, L "&amp;'28-FFU'!A22&amp;")"</f>
        <v>Line 77 * FF (from 28-FFU, L 5)</v>
      </c>
      <c r="F88" s="14"/>
      <c r="G88" s="14"/>
      <c r="K88" s="7"/>
    </row>
    <row r="89" spans="1:11" x14ac:dyDescent="0.2">
      <c r="A89" s="117">
        <f t="shared" si="1"/>
        <v>80</v>
      </c>
      <c r="B89" s="14"/>
      <c r="C89" s="82" t="s">
        <v>1802</v>
      </c>
      <c r="D89" s="65">
        <f>'28-FFU'!E22*D86</f>
        <v>310446.51430561201</v>
      </c>
      <c r="E89" s="120" t="str">
        <f>"Line "&amp;A86&amp;" * U (from 28-FFU, L "&amp;'28-FFU'!A22&amp;")"</f>
        <v>Line 77 * U (from 28-FFU, L 5)</v>
      </c>
      <c r="F89" s="14"/>
      <c r="G89" s="14"/>
      <c r="K89" s="7"/>
    </row>
    <row r="90" spans="1:11" x14ac:dyDescent="0.2">
      <c r="A90" s="117">
        <f t="shared" si="1"/>
        <v>81</v>
      </c>
      <c r="B90" s="14"/>
      <c r="C90" s="14"/>
      <c r="D90" s="65"/>
      <c r="E90" s="14"/>
      <c r="F90" s="14"/>
      <c r="G90" s="14"/>
      <c r="K90" s="7"/>
    </row>
    <row r="91" spans="1:11" x14ac:dyDescent="0.2">
      <c r="A91" s="117">
        <f t="shared" si="1"/>
        <v>82</v>
      </c>
      <c r="B91" s="14"/>
      <c r="C91" s="82" t="s">
        <v>402</v>
      </c>
      <c r="D91" s="65">
        <f>D86+D88+D89</f>
        <v>130530590.71188985</v>
      </c>
      <c r="E91" s="47" t="str">
        <f>"Line "&amp;A86&amp;" + Line "&amp;A88&amp;" + Line "&amp;A89&amp;""</f>
        <v>Line 77 + Line 79 + Line 80</v>
      </c>
      <c r="F91" s="14"/>
      <c r="G91" s="14"/>
      <c r="K91" s="7"/>
    </row>
  </sheetData>
  <phoneticPr fontId="10" type="noConversion"/>
  <pageMargins left="0.75" right="0.75" top="1" bottom="1" header="0.5" footer="0.5"/>
  <pageSetup scale="75" orientation="portrait" cellComments="asDisplayed" r:id="rId1"/>
  <headerFooter alignWithMargins="0">
    <oddHeader xml:space="preserve">&amp;CSchedule 2
Incremental Forecast Period TRR
&amp;"Arial,Bold"Exhibit G-1&amp;"Arial,Regular"
</oddHeader>
    <oddFooter>&amp;R&amp;A</oddFooter>
  </headerFooter>
  <rowBreaks count="1" manualBreakCount="1">
    <brk id="66"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8"/>
  <sheetViews>
    <sheetView topLeftCell="C1" zoomScale="85" zoomScaleNormal="85" workbookViewId="0">
      <selection sqref="A1:B1"/>
    </sheetView>
  </sheetViews>
  <sheetFormatPr defaultRowHeight="12.75" x14ac:dyDescent="0.2"/>
  <cols>
    <col min="1" max="1" width="4.7109375" customWidth="1"/>
    <col min="2" max="2" width="6.7109375" customWidth="1"/>
    <col min="3" max="8" width="14.7109375" customWidth="1"/>
    <col min="9" max="9" width="15.7109375" customWidth="1"/>
    <col min="10" max="12" width="14.7109375" customWidth="1"/>
  </cols>
  <sheetData>
    <row r="1" spans="1:12" x14ac:dyDescent="0.2">
      <c r="A1" s="1" t="s">
        <v>2457</v>
      </c>
      <c r="B1" s="244"/>
      <c r="C1" s="244"/>
      <c r="D1" s="244"/>
      <c r="E1" s="244"/>
      <c r="F1" s="244"/>
      <c r="G1" s="244"/>
      <c r="H1" s="244"/>
      <c r="I1" s="244"/>
      <c r="J1" s="244"/>
      <c r="K1" s="244"/>
      <c r="L1" s="244"/>
    </row>
    <row r="2" spans="1:12" x14ac:dyDescent="0.2">
      <c r="A2" s="244"/>
      <c r="B2" s="244"/>
      <c r="C2" s="244"/>
      <c r="D2" s="244"/>
      <c r="E2" s="244"/>
      <c r="F2" s="244"/>
      <c r="G2" s="244"/>
      <c r="H2" s="244"/>
      <c r="I2" s="244"/>
      <c r="J2" s="244"/>
      <c r="K2" s="244"/>
      <c r="L2" s="244"/>
    </row>
    <row r="3" spans="1:12" x14ac:dyDescent="0.2">
      <c r="A3" s="244"/>
      <c r="B3" s="1" t="s">
        <v>556</v>
      </c>
      <c r="C3" s="244"/>
      <c r="D3" s="244"/>
      <c r="E3" s="244"/>
      <c r="F3" s="244"/>
      <c r="G3" s="244"/>
      <c r="H3" s="244"/>
      <c r="I3" s="244"/>
      <c r="J3" s="244"/>
      <c r="K3" s="244"/>
      <c r="L3" s="244"/>
    </row>
    <row r="4" spans="1:12" x14ac:dyDescent="0.2">
      <c r="A4" s="244"/>
      <c r="B4" s="653" t="s">
        <v>1971</v>
      </c>
      <c r="C4" s="244"/>
      <c r="D4" s="244"/>
      <c r="E4" s="244"/>
      <c r="F4" s="244"/>
      <c r="G4" s="244"/>
      <c r="H4" s="244"/>
      <c r="I4" s="244"/>
      <c r="J4" s="244"/>
      <c r="K4" s="244"/>
      <c r="L4" s="244"/>
    </row>
    <row r="5" spans="1:12" x14ac:dyDescent="0.2">
      <c r="A5" s="244"/>
      <c r="B5" s="103" t="str">
        <f>"for each month (see Note #2).  If formula was not in effect in Prior Year, do not populate Column 2 or 3, Lines "&amp;A24&amp;" to "&amp;A35&amp;"."</f>
        <v>for each month (see Note #2).  If formula was not in effect in Prior Year, do not populate Column 2 or 3, Lines 11 to 22.</v>
      </c>
      <c r="C5" s="244"/>
      <c r="D5" s="244"/>
      <c r="E5" s="244"/>
      <c r="F5" s="244"/>
      <c r="G5" s="244"/>
      <c r="H5" s="244"/>
      <c r="I5" s="244"/>
      <c r="J5" s="244"/>
      <c r="K5" s="244"/>
      <c r="L5" s="244"/>
    </row>
    <row r="6" spans="1:12" x14ac:dyDescent="0.2">
      <c r="A6" s="244"/>
      <c r="B6" s="653" t="s">
        <v>1972</v>
      </c>
      <c r="C6" s="244"/>
      <c r="D6" s="244"/>
      <c r="E6" s="244"/>
      <c r="F6" s="244"/>
      <c r="G6" s="244"/>
      <c r="H6" s="244"/>
      <c r="I6" s="244"/>
      <c r="J6" s="244"/>
      <c r="K6" s="244"/>
      <c r="L6" s="244"/>
    </row>
    <row r="7" spans="1:12" x14ac:dyDescent="0.2">
      <c r="A7" s="244"/>
      <c r="B7" s="13" t="s">
        <v>1168</v>
      </c>
      <c r="C7" s="244"/>
      <c r="D7" s="244"/>
      <c r="E7" s="244"/>
      <c r="F7" s="244"/>
      <c r="G7" s="244"/>
      <c r="H7" s="244"/>
      <c r="I7" s="244"/>
      <c r="J7" s="244"/>
      <c r="K7" s="244"/>
      <c r="L7" s="244"/>
    </row>
    <row r="8" spans="1:12" x14ac:dyDescent="0.2">
      <c r="A8" s="244"/>
      <c r="B8" s="13" t="str">
        <f>"d) Continue interest calculation through the end of the previous Rate Effective Period (Line "&amp;A44&amp;")."</f>
        <v>d) Continue interest calculation through the end of the previous Rate Effective Period (Line 31).</v>
      </c>
      <c r="C8" s="244"/>
      <c r="D8" s="244"/>
      <c r="E8" s="244"/>
      <c r="F8" s="244"/>
      <c r="G8" s="244"/>
      <c r="H8" s="244"/>
      <c r="I8" s="244"/>
      <c r="J8" s="244"/>
      <c r="K8" s="244"/>
      <c r="L8" s="244"/>
    </row>
    <row r="9" spans="1:12" x14ac:dyDescent="0.2">
      <c r="A9" s="244"/>
      <c r="B9" s="13" t="str">
        <f>"e) Amortize this ending balance from (d) over the current Rate Effective Period so that the ending balance on Line "&amp;A64&amp;" is equal to $0."</f>
        <v>e) Amortize this ending balance from (d) over the current Rate Effective Period so that the ending balance on Line 51 is equal to $0.</v>
      </c>
      <c r="C9" s="244"/>
      <c r="D9" s="244"/>
      <c r="E9" s="244"/>
      <c r="F9" s="244"/>
      <c r="G9" s="244"/>
      <c r="H9" s="244"/>
      <c r="I9" s="244"/>
      <c r="J9" s="244"/>
      <c r="K9" s="244"/>
      <c r="L9" s="244"/>
    </row>
    <row r="10" spans="1:12" x14ac:dyDescent="0.2">
      <c r="A10" s="244"/>
      <c r="B10" s="244"/>
      <c r="C10" s="244"/>
      <c r="D10" s="244"/>
      <c r="E10" s="244"/>
      <c r="F10" s="244"/>
      <c r="G10" s="244"/>
      <c r="H10" s="244"/>
      <c r="I10" s="244"/>
      <c r="J10" s="244"/>
      <c r="K10" s="244"/>
      <c r="L10" s="244"/>
    </row>
    <row r="11" spans="1:12" x14ac:dyDescent="0.2">
      <c r="A11" s="2"/>
      <c r="B11" s="87" t="s">
        <v>1973</v>
      </c>
      <c r="C11" s="244"/>
      <c r="D11" s="245"/>
      <c r="E11" s="246"/>
      <c r="F11" s="244"/>
      <c r="G11" s="244"/>
      <c r="H11" s="244"/>
      <c r="I11" s="244"/>
      <c r="J11" s="244"/>
      <c r="K11" s="107"/>
      <c r="L11" s="244"/>
    </row>
    <row r="12" spans="1:12" x14ac:dyDescent="0.2">
      <c r="A12" s="2"/>
      <c r="B12" s="87" t="s">
        <v>575</v>
      </c>
      <c r="C12" s="244"/>
      <c r="D12" s="245"/>
      <c r="E12" s="246"/>
      <c r="F12" s="244"/>
      <c r="G12" s="244"/>
      <c r="H12" s="244"/>
      <c r="I12" s="244"/>
      <c r="J12" s="244"/>
      <c r="K12" s="244"/>
      <c r="L12" s="244"/>
    </row>
    <row r="13" spans="1:12" x14ac:dyDescent="0.2">
      <c r="A13" s="55" t="s">
        <v>362</v>
      </c>
      <c r="B13" s="244"/>
      <c r="C13" s="87"/>
      <c r="D13" s="245"/>
      <c r="E13" s="246"/>
      <c r="F13" s="3"/>
      <c r="G13" s="244"/>
      <c r="H13" s="244"/>
      <c r="I13" s="244"/>
      <c r="J13" s="244"/>
      <c r="K13" s="244"/>
      <c r="L13" s="244"/>
    </row>
    <row r="14" spans="1:12" x14ac:dyDescent="0.2">
      <c r="A14" s="2">
        <f>A7+1</f>
        <v>1</v>
      </c>
      <c r="B14" s="244"/>
      <c r="C14" s="244"/>
      <c r="D14" s="727" t="s">
        <v>1970</v>
      </c>
      <c r="E14" s="246">
        <f>'4-TUTRR'!E72</f>
        <v>464740171.09645015</v>
      </c>
      <c r="F14" s="728" t="s">
        <v>2626</v>
      </c>
      <c r="G14" s="254"/>
      <c r="H14" s="244" t="str">
        <f>"Line "&amp;'4-TUTRR'!A72&amp;""</f>
        <v>Line 45</v>
      </c>
      <c r="I14" s="244"/>
      <c r="J14" s="244"/>
      <c r="K14" s="244"/>
      <c r="L14" s="244"/>
    </row>
    <row r="15" spans="1:12" x14ac:dyDescent="0.2">
      <c r="A15" s="2">
        <f>A14+1</f>
        <v>2</v>
      </c>
      <c r="B15" s="87"/>
      <c r="C15" s="244"/>
      <c r="D15" s="244"/>
      <c r="E15" s="244"/>
      <c r="F15" s="244"/>
      <c r="G15" s="244"/>
      <c r="H15" s="246"/>
      <c r="I15" s="244"/>
      <c r="J15" s="244"/>
      <c r="K15" s="244"/>
      <c r="L15" s="244"/>
    </row>
    <row r="16" spans="1:12" x14ac:dyDescent="0.2">
      <c r="A16" s="2">
        <f t="shared" ref="A16:A78" si="0">A15+1</f>
        <v>3</v>
      </c>
      <c r="B16" s="244"/>
      <c r="C16" s="244"/>
      <c r="D16" s="88" t="s">
        <v>406</v>
      </c>
      <c r="E16" s="88" t="s">
        <v>390</v>
      </c>
      <c r="F16" s="88" t="s">
        <v>391</v>
      </c>
      <c r="G16" s="88" t="s">
        <v>392</v>
      </c>
      <c r="H16" s="88" t="s">
        <v>393</v>
      </c>
      <c r="I16" s="88" t="s">
        <v>394</v>
      </c>
      <c r="J16" s="88" t="s">
        <v>395</v>
      </c>
      <c r="K16" s="88" t="s">
        <v>610</v>
      </c>
      <c r="L16" s="88" t="s">
        <v>1059</v>
      </c>
    </row>
    <row r="17" spans="1:12" x14ac:dyDescent="0.2">
      <c r="A17" s="2">
        <f t="shared" si="0"/>
        <v>4</v>
      </c>
      <c r="B17" s="244"/>
      <c r="C17" s="245" t="s">
        <v>1060</v>
      </c>
      <c r="D17" s="88"/>
      <c r="E17" s="91" t="s">
        <v>246</v>
      </c>
      <c r="F17" s="91" t="s">
        <v>323</v>
      </c>
      <c r="G17" s="91" t="s">
        <v>1061</v>
      </c>
      <c r="H17" s="100" t="s">
        <v>599</v>
      </c>
      <c r="I17" s="91" t="s">
        <v>1062</v>
      </c>
      <c r="J17" s="91" t="s">
        <v>597</v>
      </c>
      <c r="K17" s="91" t="s">
        <v>598</v>
      </c>
      <c r="L17" s="100" t="s">
        <v>1063</v>
      </c>
    </row>
    <row r="18" spans="1:12" x14ac:dyDescent="0.2">
      <c r="A18" s="2">
        <f t="shared" si="0"/>
        <v>5</v>
      </c>
      <c r="B18" s="244"/>
      <c r="C18" s="244"/>
      <c r="D18" s="88"/>
      <c r="G18" s="88"/>
      <c r="I18" s="88"/>
      <c r="J18" s="2" t="s">
        <v>234</v>
      </c>
      <c r="K18" s="88"/>
      <c r="L18" s="88"/>
    </row>
    <row r="19" spans="1:12" ht="15" x14ac:dyDescent="0.25">
      <c r="A19" s="2">
        <f t="shared" si="0"/>
        <v>6</v>
      </c>
      <c r="B19" s="244"/>
      <c r="C19" s="244"/>
      <c r="D19" s="88"/>
      <c r="G19" s="257" t="s">
        <v>1169</v>
      </c>
      <c r="I19" s="244"/>
      <c r="J19" s="2" t="s">
        <v>32</v>
      </c>
      <c r="K19" s="244"/>
      <c r="L19" s="2" t="s">
        <v>234</v>
      </c>
    </row>
    <row r="20" spans="1:12" x14ac:dyDescent="0.2">
      <c r="A20" s="2">
        <f t="shared" si="0"/>
        <v>7</v>
      </c>
      <c r="B20" s="244"/>
      <c r="C20" s="244"/>
      <c r="D20" s="88"/>
      <c r="F20" s="2" t="s">
        <v>574</v>
      </c>
      <c r="G20" s="2" t="s">
        <v>1064</v>
      </c>
      <c r="H20" s="2" t="s">
        <v>20</v>
      </c>
      <c r="I20" s="244"/>
      <c r="J20" s="2" t="s">
        <v>33</v>
      </c>
      <c r="K20" s="244"/>
      <c r="L20" s="2" t="s">
        <v>32</v>
      </c>
    </row>
    <row r="21" spans="1:12" x14ac:dyDescent="0.2">
      <c r="A21" s="2">
        <f t="shared" si="0"/>
        <v>8</v>
      </c>
      <c r="B21" s="244"/>
      <c r="C21" s="244"/>
      <c r="D21" s="2"/>
      <c r="E21" s="2" t="s">
        <v>20</v>
      </c>
      <c r="F21" s="2" t="s">
        <v>595</v>
      </c>
      <c r="G21" s="2" t="s">
        <v>229</v>
      </c>
      <c r="H21" s="2" t="s">
        <v>32</v>
      </c>
      <c r="I21" s="2" t="s">
        <v>20</v>
      </c>
      <c r="J21" s="2" t="s">
        <v>23</v>
      </c>
      <c r="K21" s="247" t="s">
        <v>24</v>
      </c>
      <c r="L21" s="2" t="s">
        <v>33</v>
      </c>
    </row>
    <row r="22" spans="1:12" x14ac:dyDescent="0.2">
      <c r="A22" s="2">
        <f t="shared" si="0"/>
        <v>9</v>
      </c>
      <c r="B22" s="244"/>
      <c r="C22" s="244"/>
      <c r="D22" s="2"/>
      <c r="E22" s="2" t="s">
        <v>318</v>
      </c>
      <c r="F22" s="2" t="s">
        <v>349</v>
      </c>
      <c r="G22" s="2" t="s">
        <v>318</v>
      </c>
      <c r="H22" s="2" t="s">
        <v>33</v>
      </c>
      <c r="I22" s="2" t="s">
        <v>24</v>
      </c>
      <c r="J22" s="2" t="s">
        <v>1170</v>
      </c>
      <c r="K22" s="2" t="s">
        <v>1171</v>
      </c>
      <c r="L22" s="2" t="s">
        <v>23</v>
      </c>
    </row>
    <row r="23" spans="1:12" x14ac:dyDescent="0.2">
      <c r="A23" s="2">
        <f t="shared" si="0"/>
        <v>10</v>
      </c>
      <c r="B23" s="244"/>
      <c r="C23" s="25" t="s">
        <v>222</v>
      </c>
      <c r="D23" s="25" t="s">
        <v>223</v>
      </c>
      <c r="E23" s="3" t="s">
        <v>1066</v>
      </c>
      <c r="F23" s="3" t="s">
        <v>22</v>
      </c>
      <c r="G23" s="3" t="s">
        <v>187</v>
      </c>
      <c r="H23" s="3" t="s">
        <v>23</v>
      </c>
      <c r="I23" s="3" t="s">
        <v>14</v>
      </c>
      <c r="J23" s="3" t="s">
        <v>1172</v>
      </c>
      <c r="K23" s="3" t="s">
        <v>222</v>
      </c>
      <c r="L23" s="3" t="s">
        <v>1067</v>
      </c>
    </row>
    <row r="24" spans="1:12" x14ac:dyDescent="0.2">
      <c r="A24" s="2">
        <f t="shared" si="0"/>
        <v>11</v>
      </c>
      <c r="B24" s="244"/>
      <c r="C24" s="20" t="s">
        <v>211</v>
      </c>
      <c r="D24" s="156">
        <v>2010</v>
      </c>
      <c r="E24" s="246">
        <v>0</v>
      </c>
      <c r="F24" s="248">
        <f>C105</f>
        <v>0</v>
      </c>
      <c r="G24" s="392">
        <v>0</v>
      </c>
      <c r="H24" s="246">
        <f>E24-F24+G24</f>
        <v>0</v>
      </c>
      <c r="I24" s="250">
        <v>2.7000000000000001E-3</v>
      </c>
      <c r="J24" s="251">
        <f>H24</f>
        <v>0</v>
      </c>
      <c r="K24" s="251">
        <f>((J24)/2)*I24</f>
        <v>0</v>
      </c>
      <c r="L24" s="251">
        <f>J24+K24</f>
        <v>0</v>
      </c>
    </row>
    <row r="25" spans="1:12" x14ac:dyDescent="0.2">
      <c r="A25" s="2">
        <f t="shared" si="0"/>
        <v>12</v>
      </c>
      <c r="B25" s="244"/>
      <c r="C25" s="21" t="s">
        <v>212</v>
      </c>
      <c r="D25" s="156">
        <v>2010</v>
      </c>
      <c r="E25" s="246">
        <v>0</v>
      </c>
      <c r="F25" s="248">
        <f t="shared" ref="F25:F35" si="1">C106</f>
        <v>0</v>
      </c>
      <c r="G25" s="392">
        <v>0</v>
      </c>
      <c r="H25" s="246">
        <f t="shared" ref="H25:H34" si="2">E25-F25+G25</f>
        <v>0</v>
      </c>
      <c r="I25" s="250">
        <v>2.7000000000000001E-3</v>
      </c>
      <c r="J25" s="251">
        <f>L24+H25</f>
        <v>0</v>
      </c>
      <c r="K25" s="251">
        <f>((L24+J25)/2)*I25</f>
        <v>0</v>
      </c>
      <c r="L25" s="251">
        <f t="shared" ref="L25:L44" si="3">J25+K25</f>
        <v>0</v>
      </c>
    </row>
    <row r="26" spans="1:12" x14ac:dyDescent="0.2">
      <c r="A26" s="2">
        <f t="shared" si="0"/>
        <v>13</v>
      </c>
      <c r="B26" s="244"/>
      <c r="C26" s="21" t="s">
        <v>225</v>
      </c>
      <c r="D26" s="156">
        <v>2010</v>
      </c>
      <c r="E26" s="246">
        <v>0</v>
      </c>
      <c r="F26" s="248">
        <f t="shared" si="1"/>
        <v>0</v>
      </c>
      <c r="G26" s="392">
        <v>0</v>
      </c>
      <c r="H26" s="246">
        <f t="shared" si="2"/>
        <v>0</v>
      </c>
      <c r="I26" s="250">
        <v>2.7000000000000001E-3</v>
      </c>
      <c r="J26" s="251">
        <f t="shared" ref="J26:J44" si="4">L25+H26</f>
        <v>0</v>
      </c>
      <c r="K26" s="251">
        <f t="shared" ref="K26:K44" si="5">((L25+J26)/2)*I26</f>
        <v>0</v>
      </c>
      <c r="L26" s="251">
        <f t="shared" si="3"/>
        <v>0</v>
      </c>
    </row>
    <row r="27" spans="1:12" x14ac:dyDescent="0.2">
      <c r="A27" s="2">
        <f t="shared" si="0"/>
        <v>14</v>
      </c>
      <c r="B27" s="244"/>
      <c r="C27" s="20" t="s">
        <v>213</v>
      </c>
      <c r="D27" s="156">
        <v>2010</v>
      </c>
      <c r="E27" s="246">
        <v>0</v>
      </c>
      <c r="F27" s="248">
        <f t="shared" si="1"/>
        <v>0</v>
      </c>
      <c r="G27" s="392">
        <v>0</v>
      </c>
      <c r="H27" s="246">
        <f t="shared" si="2"/>
        <v>0</v>
      </c>
      <c r="I27" s="250">
        <v>2.7000000000000001E-3</v>
      </c>
      <c r="J27" s="251">
        <f t="shared" si="4"/>
        <v>0</v>
      </c>
      <c r="K27" s="251">
        <f t="shared" si="5"/>
        <v>0</v>
      </c>
      <c r="L27" s="251">
        <f t="shared" si="3"/>
        <v>0</v>
      </c>
    </row>
    <row r="28" spans="1:12" x14ac:dyDescent="0.2">
      <c r="A28" s="2">
        <f t="shared" si="0"/>
        <v>15</v>
      </c>
      <c r="B28" s="244"/>
      <c r="C28" s="21" t="s">
        <v>214</v>
      </c>
      <c r="D28" s="156">
        <v>2010</v>
      </c>
      <c r="E28" s="246">
        <v>0</v>
      </c>
      <c r="F28" s="248">
        <f t="shared" si="1"/>
        <v>0</v>
      </c>
      <c r="G28" s="392">
        <v>0</v>
      </c>
      <c r="H28" s="246">
        <f t="shared" si="2"/>
        <v>0</v>
      </c>
      <c r="I28" s="250">
        <v>2.7000000000000001E-3</v>
      </c>
      <c r="J28" s="251">
        <f t="shared" si="4"/>
        <v>0</v>
      </c>
      <c r="K28" s="251">
        <f t="shared" si="5"/>
        <v>0</v>
      </c>
      <c r="L28" s="251">
        <f t="shared" si="3"/>
        <v>0</v>
      </c>
    </row>
    <row r="29" spans="1:12" x14ac:dyDescent="0.2">
      <c r="A29" s="2">
        <f t="shared" si="0"/>
        <v>16</v>
      </c>
      <c r="B29" s="244"/>
      <c r="C29" s="21" t="s">
        <v>215</v>
      </c>
      <c r="D29" s="156">
        <v>2010</v>
      </c>
      <c r="E29" s="246">
        <v>0</v>
      </c>
      <c r="F29" s="248">
        <f t="shared" si="1"/>
        <v>0</v>
      </c>
      <c r="G29" s="392">
        <v>0</v>
      </c>
      <c r="H29" s="246">
        <f t="shared" si="2"/>
        <v>0</v>
      </c>
      <c r="I29" s="250">
        <v>2.7000000000000001E-3</v>
      </c>
      <c r="J29" s="251">
        <f t="shared" si="4"/>
        <v>0</v>
      </c>
      <c r="K29" s="251">
        <f t="shared" si="5"/>
        <v>0</v>
      </c>
      <c r="L29" s="251">
        <f t="shared" si="3"/>
        <v>0</v>
      </c>
    </row>
    <row r="30" spans="1:12" x14ac:dyDescent="0.2">
      <c r="A30" s="2">
        <f t="shared" si="0"/>
        <v>17</v>
      </c>
      <c r="B30" s="244"/>
      <c r="C30" s="20" t="s">
        <v>216</v>
      </c>
      <c r="D30" s="156">
        <v>2010</v>
      </c>
      <c r="E30" s="246">
        <v>0</v>
      </c>
      <c r="F30" s="248">
        <f t="shared" si="1"/>
        <v>0</v>
      </c>
      <c r="G30" s="392">
        <v>0</v>
      </c>
      <c r="H30" s="246">
        <f t="shared" si="2"/>
        <v>0</v>
      </c>
      <c r="I30" s="250">
        <v>2.7000000000000001E-3</v>
      </c>
      <c r="J30" s="251">
        <f t="shared" si="4"/>
        <v>0</v>
      </c>
      <c r="K30" s="251">
        <f t="shared" si="5"/>
        <v>0</v>
      </c>
      <c r="L30" s="251">
        <f t="shared" si="3"/>
        <v>0</v>
      </c>
    </row>
    <row r="31" spans="1:12" x14ac:dyDescent="0.2">
      <c r="A31" s="2">
        <f t="shared" si="0"/>
        <v>18</v>
      </c>
      <c r="B31" s="244"/>
      <c r="C31" s="21" t="s">
        <v>217</v>
      </c>
      <c r="D31" s="156">
        <v>2010</v>
      </c>
      <c r="E31" s="246">
        <v>0</v>
      </c>
      <c r="F31" s="248">
        <f t="shared" si="1"/>
        <v>0</v>
      </c>
      <c r="G31" s="392">
        <v>0</v>
      </c>
      <c r="H31" s="246">
        <f t="shared" si="2"/>
        <v>0</v>
      </c>
      <c r="I31" s="250">
        <v>2.7000000000000001E-3</v>
      </c>
      <c r="J31" s="251">
        <f t="shared" si="4"/>
        <v>0</v>
      </c>
      <c r="K31" s="251">
        <f t="shared" si="5"/>
        <v>0</v>
      </c>
      <c r="L31" s="251">
        <f t="shared" si="3"/>
        <v>0</v>
      </c>
    </row>
    <row r="32" spans="1:12" x14ac:dyDescent="0.2">
      <c r="A32" s="2">
        <f t="shared" si="0"/>
        <v>19</v>
      </c>
      <c r="B32" s="244"/>
      <c r="C32" s="21" t="s">
        <v>218</v>
      </c>
      <c r="D32" s="156">
        <v>2010</v>
      </c>
      <c r="E32" s="246">
        <v>0</v>
      </c>
      <c r="F32" s="248">
        <f t="shared" si="1"/>
        <v>0</v>
      </c>
      <c r="G32" s="392">
        <v>0</v>
      </c>
      <c r="H32" s="246">
        <f t="shared" si="2"/>
        <v>0</v>
      </c>
      <c r="I32" s="250">
        <v>2.7000000000000001E-3</v>
      </c>
      <c r="J32" s="251">
        <f t="shared" si="4"/>
        <v>0</v>
      </c>
      <c r="K32" s="251">
        <f t="shared" si="5"/>
        <v>0</v>
      </c>
      <c r="L32" s="251">
        <f t="shared" si="3"/>
        <v>0</v>
      </c>
    </row>
    <row r="33" spans="1:12" x14ac:dyDescent="0.2">
      <c r="A33" s="2">
        <f t="shared" si="0"/>
        <v>20</v>
      </c>
      <c r="B33" s="244"/>
      <c r="C33" s="20" t="s">
        <v>221</v>
      </c>
      <c r="D33" s="156">
        <v>2010</v>
      </c>
      <c r="E33" s="246">
        <v>0</v>
      </c>
      <c r="F33" s="248">
        <f t="shared" si="1"/>
        <v>0</v>
      </c>
      <c r="G33" s="392">
        <v>0</v>
      </c>
      <c r="H33" s="246">
        <f t="shared" si="2"/>
        <v>0</v>
      </c>
      <c r="I33" s="250">
        <v>2.7000000000000001E-3</v>
      </c>
      <c r="J33" s="251">
        <f t="shared" si="4"/>
        <v>0</v>
      </c>
      <c r="K33" s="251">
        <f t="shared" si="5"/>
        <v>0</v>
      </c>
      <c r="L33" s="251">
        <f t="shared" si="3"/>
        <v>0</v>
      </c>
    </row>
    <row r="34" spans="1:12" x14ac:dyDescent="0.2">
      <c r="A34" s="2">
        <f t="shared" si="0"/>
        <v>21</v>
      </c>
      <c r="B34" s="244"/>
      <c r="C34" s="20" t="s">
        <v>220</v>
      </c>
      <c r="D34" s="156">
        <v>2010</v>
      </c>
      <c r="E34" s="246">
        <v>0</v>
      </c>
      <c r="F34" s="248">
        <f t="shared" si="1"/>
        <v>0</v>
      </c>
      <c r="G34" s="392">
        <v>0</v>
      </c>
      <c r="H34" s="246">
        <f t="shared" si="2"/>
        <v>0</v>
      </c>
      <c r="I34" s="250">
        <v>2.7000000000000001E-3</v>
      </c>
      <c r="J34" s="251">
        <f t="shared" si="4"/>
        <v>0</v>
      </c>
      <c r="K34" s="251">
        <f t="shared" si="5"/>
        <v>0</v>
      </c>
      <c r="L34" s="251">
        <f t="shared" si="3"/>
        <v>0</v>
      </c>
    </row>
    <row r="35" spans="1:12" x14ac:dyDescent="0.2">
      <c r="A35" s="2">
        <f t="shared" si="0"/>
        <v>22</v>
      </c>
      <c r="B35" s="244"/>
      <c r="C35" s="21" t="s">
        <v>210</v>
      </c>
      <c r="D35" s="156">
        <v>2010</v>
      </c>
      <c r="E35" s="246">
        <v>0</v>
      </c>
      <c r="F35" s="48">
        <f t="shared" si="1"/>
        <v>0</v>
      </c>
      <c r="G35" s="392">
        <v>0</v>
      </c>
      <c r="H35" s="246">
        <f>E35-F35+G35</f>
        <v>0</v>
      </c>
      <c r="I35" s="250">
        <v>2.7000000000000001E-3</v>
      </c>
      <c r="J35" s="251">
        <f t="shared" si="4"/>
        <v>0</v>
      </c>
      <c r="K35" s="251">
        <f t="shared" si="5"/>
        <v>0</v>
      </c>
      <c r="L35" s="251">
        <f t="shared" si="3"/>
        <v>0</v>
      </c>
    </row>
    <row r="36" spans="1:12" x14ac:dyDescent="0.2">
      <c r="A36" s="2">
        <f t="shared" si="0"/>
        <v>23</v>
      </c>
      <c r="B36" s="244"/>
      <c r="C36" s="20" t="s">
        <v>211</v>
      </c>
      <c r="D36" s="156">
        <v>2011</v>
      </c>
      <c r="E36" s="252" t="s">
        <v>88</v>
      </c>
      <c r="F36" s="252" t="s">
        <v>88</v>
      </c>
      <c r="G36" s="409">
        <v>0</v>
      </c>
      <c r="H36" s="246">
        <f>+G36</f>
        <v>0</v>
      </c>
      <c r="I36" s="250">
        <v>2.7000000000000001E-3</v>
      </c>
      <c r="J36" s="251">
        <f t="shared" si="4"/>
        <v>0</v>
      </c>
      <c r="K36" s="251">
        <f t="shared" si="5"/>
        <v>0</v>
      </c>
      <c r="L36" s="251">
        <f t="shared" si="3"/>
        <v>0</v>
      </c>
    </row>
    <row r="37" spans="1:12" x14ac:dyDescent="0.2">
      <c r="A37" s="2">
        <f t="shared" si="0"/>
        <v>24</v>
      </c>
      <c r="B37" s="244"/>
      <c r="C37" s="21" t="s">
        <v>212</v>
      </c>
      <c r="D37" s="156">
        <v>2011</v>
      </c>
      <c r="E37" s="252" t="s">
        <v>88</v>
      </c>
      <c r="F37" s="252" t="s">
        <v>88</v>
      </c>
      <c r="G37" s="409">
        <v>0</v>
      </c>
      <c r="H37" s="246">
        <f t="shared" ref="H37:H44" si="6">+G37</f>
        <v>0</v>
      </c>
      <c r="I37" s="250">
        <v>2.7000000000000001E-3</v>
      </c>
      <c r="J37" s="251">
        <f t="shared" si="4"/>
        <v>0</v>
      </c>
      <c r="K37" s="251">
        <f t="shared" si="5"/>
        <v>0</v>
      </c>
      <c r="L37" s="251">
        <f t="shared" si="3"/>
        <v>0</v>
      </c>
    </row>
    <row r="38" spans="1:12" x14ac:dyDescent="0.2">
      <c r="A38" s="2">
        <f t="shared" si="0"/>
        <v>25</v>
      </c>
      <c r="B38" s="244"/>
      <c r="C38" s="21" t="s">
        <v>225</v>
      </c>
      <c r="D38" s="156">
        <v>2011</v>
      </c>
      <c r="E38" s="252" t="s">
        <v>88</v>
      </c>
      <c r="F38" s="252" t="s">
        <v>88</v>
      </c>
      <c r="G38" s="409">
        <v>0</v>
      </c>
      <c r="H38" s="246">
        <f t="shared" si="6"/>
        <v>0</v>
      </c>
      <c r="I38" s="250">
        <v>2.7000000000000001E-3</v>
      </c>
      <c r="J38" s="251">
        <f t="shared" si="4"/>
        <v>0</v>
      </c>
      <c r="K38" s="251">
        <f t="shared" si="5"/>
        <v>0</v>
      </c>
      <c r="L38" s="251">
        <f t="shared" si="3"/>
        <v>0</v>
      </c>
    </row>
    <row r="39" spans="1:12" x14ac:dyDescent="0.2">
      <c r="A39" s="2">
        <f t="shared" si="0"/>
        <v>26</v>
      </c>
      <c r="B39" s="244"/>
      <c r="C39" s="20" t="s">
        <v>213</v>
      </c>
      <c r="D39" s="156">
        <v>2011</v>
      </c>
      <c r="E39" s="252" t="s">
        <v>88</v>
      </c>
      <c r="F39" s="252" t="s">
        <v>88</v>
      </c>
      <c r="G39" s="409">
        <v>0</v>
      </c>
      <c r="H39" s="246">
        <f t="shared" si="6"/>
        <v>0</v>
      </c>
      <c r="I39" s="250">
        <v>2.7000000000000001E-3</v>
      </c>
      <c r="J39" s="251">
        <f t="shared" si="4"/>
        <v>0</v>
      </c>
      <c r="K39" s="251">
        <f t="shared" si="5"/>
        <v>0</v>
      </c>
      <c r="L39" s="251">
        <f t="shared" si="3"/>
        <v>0</v>
      </c>
    </row>
    <row r="40" spans="1:12" x14ac:dyDescent="0.2">
      <c r="A40" s="2">
        <f t="shared" si="0"/>
        <v>27</v>
      </c>
      <c r="B40" s="244"/>
      <c r="C40" s="21" t="s">
        <v>214</v>
      </c>
      <c r="D40" s="156">
        <v>2011</v>
      </c>
      <c r="E40" s="252" t="s">
        <v>88</v>
      </c>
      <c r="F40" s="252" t="s">
        <v>88</v>
      </c>
      <c r="G40" s="409">
        <v>0</v>
      </c>
      <c r="H40" s="246">
        <f t="shared" si="6"/>
        <v>0</v>
      </c>
      <c r="I40" s="250">
        <v>2.7000000000000001E-3</v>
      </c>
      <c r="J40" s="251">
        <f t="shared" si="4"/>
        <v>0</v>
      </c>
      <c r="K40" s="251">
        <f t="shared" si="5"/>
        <v>0</v>
      </c>
      <c r="L40" s="251">
        <f t="shared" si="3"/>
        <v>0</v>
      </c>
    </row>
    <row r="41" spans="1:12" x14ac:dyDescent="0.2">
      <c r="A41" s="2">
        <f t="shared" si="0"/>
        <v>28</v>
      </c>
      <c r="B41" s="244"/>
      <c r="C41" s="21" t="s">
        <v>215</v>
      </c>
      <c r="D41" s="156">
        <v>2011</v>
      </c>
      <c r="E41" s="252" t="s">
        <v>88</v>
      </c>
      <c r="F41" s="252" t="s">
        <v>88</v>
      </c>
      <c r="G41" s="409">
        <v>0</v>
      </c>
      <c r="H41" s="246">
        <f t="shared" si="6"/>
        <v>0</v>
      </c>
      <c r="I41" s="250">
        <v>2.7000000000000001E-3</v>
      </c>
      <c r="J41" s="251">
        <f t="shared" si="4"/>
        <v>0</v>
      </c>
      <c r="K41" s="251">
        <f t="shared" si="5"/>
        <v>0</v>
      </c>
      <c r="L41" s="251">
        <f t="shared" si="3"/>
        <v>0</v>
      </c>
    </row>
    <row r="42" spans="1:12" x14ac:dyDescent="0.2">
      <c r="A42" s="2">
        <f t="shared" si="0"/>
        <v>29</v>
      </c>
      <c r="B42" s="244"/>
      <c r="C42" s="20" t="s">
        <v>216</v>
      </c>
      <c r="D42" s="156">
        <v>2011</v>
      </c>
      <c r="E42" s="252" t="s">
        <v>88</v>
      </c>
      <c r="F42" s="252" t="s">
        <v>88</v>
      </c>
      <c r="G42" s="409">
        <v>0</v>
      </c>
      <c r="H42" s="246">
        <f t="shared" si="6"/>
        <v>0</v>
      </c>
      <c r="I42" s="250">
        <v>2.7000000000000001E-3</v>
      </c>
      <c r="J42" s="251">
        <f t="shared" si="4"/>
        <v>0</v>
      </c>
      <c r="K42" s="251">
        <f t="shared" si="5"/>
        <v>0</v>
      </c>
      <c r="L42" s="251">
        <f t="shared" si="3"/>
        <v>0</v>
      </c>
    </row>
    <row r="43" spans="1:12" x14ac:dyDescent="0.2">
      <c r="A43" s="2">
        <f t="shared" si="0"/>
        <v>30</v>
      </c>
      <c r="B43" s="244"/>
      <c r="C43" s="21" t="s">
        <v>217</v>
      </c>
      <c r="D43" s="156">
        <v>2011</v>
      </c>
      <c r="E43" s="252" t="s">
        <v>88</v>
      </c>
      <c r="F43" s="252" t="s">
        <v>88</v>
      </c>
      <c r="G43" s="409">
        <v>0</v>
      </c>
      <c r="H43" s="246">
        <f t="shared" si="6"/>
        <v>0</v>
      </c>
      <c r="I43" s="250">
        <v>2.7000000000000001E-3</v>
      </c>
      <c r="J43" s="251">
        <f t="shared" si="4"/>
        <v>0</v>
      </c>
      <c r="K43" s="251">
        <f t="shared" si="5"/>
        <v>0</v>
      </c>
      <c r="L43" s="251">
        <f t="shared" si="3"/>
        <v>0</v>
      </c>
    </row>
    <row r="44" spans="1:12" x14ac:dyDescent="0.2">
      <c r="A44" s="2">
        <f t="shared" si="0"/>
        <v>31</v>
      </c>
      <c r="B44" s="244"/>
      <c r="C44" s="21" t="s">
        <v>218</v>
      </c>
      <c r="D44" s="156">
        <v>2011</v>
      </c>
      <c r="E44" s="252" t="s">
        <v>88</v>
      </c>
      <c r="F44" s="252" t="s">
        <v>88</v>
      </c>
      <c r="G44" s="409">
        <v>0</v>
      </c>
      <c r="H44" s="246">
        <f t="shared" si="6"/>
        <v>0</v>
      </c>
      <c r="I44" s="250">
        <v>2.7000000000000001E-3</v>
      </c>
      <c r="J44" s="251">
        <f t="shared" si="4"/>
        <v>0</v>
      </c>
      <c r="K44" s="251">
        <f t="shared" si="5"/>
        <v>0</v>
      </c>
      <c r="L44" s="251">
        <f t="shared" si="3"/>
        <v>0</v>
      </c>
    </row>
    <row r="45" spans="1:12" x14ac:dyDescent="0.2">
      <c r="A45" s="2">
        <f t="shared" si="0"/>
        <v>32</v>
      </c>
      <c r="B45" s="244"/>
      <c r="C45" s="21"/>
      <c r="D45" s="24"/>
      <c r="E45" s="253"/>
      <c r="F45" s="253"/>
      <c r="G45" s="254"/>
      <c r="H45" s="248"/>
      <c r="I45" s="255"/>
      <c r="J45" s="251"/>
      <c r="K45" s="251"/>
      <c r="L45" s="251"/>
    </row>
    <row r="46" spans="1:12" x14ac:dyDescent="0.2">
      <c r="A46" s="2">
        <f t="shared" si="0"/>
        <v>33</v>
      </c>
      <c r="B46" s="22" t="s">
        <v>1068</v>
      </c>
      <c r="D46" s="24"/>
      <c r="E46" s="253"/>
      <c r="F46" s="253"/>
      <c r="G46" s="254"/>
      <c r="H46" s="248"/>
      <c r="I46" s="255"/>
      <c r="J46" s="251"/>
      <c r="K46" s="251"/>
      <c r="L46" s="251"/>
    </row>
    <row r="47" spans="1:12" x14ac:dyDescent="0.2">
      <c r="A47" s="2">
        <f t="shared" si="0"/>
        <v>34</v>
      </c>
      <c r="B47" s="22"/>
      <c r="D47" s="88" t="s">
        <v>406</v>
      </c>
      <c r="E47" s="88" t="s">
        <v>390</v>
      </c>
      <c r="F47" s="88" t="s">
        <v>391</v>
      </c>
      <c r="G47" s="88" t="s">
        <v>392</v>
      </c>
      <c r="H47" s="88" t="s">
        <v>393</v>
      </c>
      <c r="I47" s="88" t="s">
        <v>394</v>
      </c>
      <c r="J47" s="88" t="s">
        <v>395</v>
      </c>
      <c r="K47" s="88" t="s">
        <v>610</v>
      </c>
      <c r="L47" s="251"/>
    </row>
    <row r="48" spans="1:12" x14ac:dyDescent="0.2">
      <c r="A48" s="2">
        <f t="shared" si="0"/>
        <v>35</v>
      </c>
      <c r="B48" s="22"/>
      <c r="D48" s="88"/>
      <c r="E48" s="91" t="s">
        <v>1173</v>
      </c>
      <c r="F48" s="91" t="s">
        <v>1174</v>
      </c>
      <c r="G48" s="91" t="s">
        <v>1175</v>
      </c>
      <c r="H48" s="100" t="s">
        <v>1176</v>
      </c>
      <c r="I48" s="91" t="s">
        <v>1177</v>
      </c>
      <c r="J48" s="100" t="s">
        <v>1178</v>
      </c>
      <c r="K48" s="252" t="s">
        <v>1179</v>
      </c>
      <c r="L48" s="251"/>
    </row>
    <row r="49" spans="1:12" ht="15" x14ac:dyDescent="0.25">
      <c r="A49" s="2">
        <f t="shared" si="0"/>
        <v>36</v>
      </c>
      <c r="B49" s="22"/>
      <c r="D49" s="88"/>
      <c r="E49" s="91"/>
      <c r="F49" s="91"/>
      <c r="G49" s="257"/>
      <c r="H49" s="257" t="s">
        <v>222</v>
      </c>
      <c r="I49" s="91"/>
      <c r="J49" s="251"/>
      <c r="K49" s="257" t="s">
        <v>318</v>
      </c>
      <c r="L49" s="251"/>
    </row>
    <row r="50" spans="1:12" ht="15" x14ac:dyDescent="0.25">
      <c r="A50" s="2">
        <f t="shared" si="0"/>
        <v>37</v>
      </c>
      <c r="B50" s="244"/>
      <c r="C50" s="21"/>
      <c r="D50" s="24"/>
      <c r="E50" s="2" t="s">
        <v>20</v>
      </c>
      <c r="F50" s="256" t="s">
        <v>222</v>
      </c>
      <c r="G50" s="257"/>
      <c r="H50" s="256" t="s">
        <v>1070</v>
      </c>
      <c r="I50" s="247" t="s">
        <v>24</v>
      </c>
      <c r="J50" s="257" t="s">
        <v>222</v>
      </c>
      <c r="K50" s="257" t="s">
        <v>187</v>
      </c>
      <c r="L50" s="251"/>
    </row>
    <row r="51" spans="1:12" ht="15" x14ac:dyDescent="0.25">
      <c r="A51" s="2">
        <f t="shared" si="0"/>
        <v>38</v>
      </c>
      <c r="B51" s="244"/>
      <c r="D51" s="24"/>
      <c r="E51" s="2" t="s">
        <v>24</v>
      </c>
      <c r="F51" s="256" t="s">
        <v>1069</v>
      </c>
      <c r="G51" s="257"/>
      <c r="H51" s="256" t="s">
        <v>1071</v>
      </c>
      <c r="I51" s="2" t="s">
        <v>1171</v>
      </c>
      <c r="J51" s="256" t="s">
        <v>1070</v>
      </c>
      <c r="K51" s="257" t="s">
        <v>1180</v>
      </c>
      <c r="L51" s="251"/>
    </row>
    <row r="52" spans="1:12" ht="15" x14ac:dyDescent="0.25">
      <c r="A52" s="2">
        <f t="shared" si="0"/>
        <v>39</v>
      </c>
      <c r="B52" s="244"/>
      <c r="C52" s="21"/>
      <c r="D52" s="25" t="s">
        <v>223</v>
      </c>
      <c r="E52" s="3" t="s">
        <v>14</v>
      </c>
      <c r="F52" s="258" t="s">
        <v>1071</v>
      </c>
      <c r="G52" s="259" t="s">
        <v>1181</v>
      </c>
      <c r="H52" s="259" t="s">
        <v>1065</v>
      </c>
      <c r="I52" s="3" t="s">
        <v>222</v>
      </c>
      <c r="J52" s="258" t="s">
        <v>1071</v>
      </c>
      <c r="K52" s="259" t="s">
        <v>1182</v>
      </c>
      <c r="L52" s="251"/>
    </row>
    <row r="53" spans="1:12" x14ac:dyDescent="0.2">
      <c r="A53" s="2">
        <f t="shared" si="0"/>
        <v>40</v>
      </c>
      <c r="B53" s="244"/>
      <c r="C53" s="20" t="s">
        <v>221</v>
      </c>
      <c r="D53" s="156">
        <v>2011</v>
      </c>
      <c r="E53" s="255">
        <f>AVERAGE($I$33:$I$44)</f>
        <v>2.7000000000000006E-3</v>
      </c>
      <c r="F53" s="251">
        <f>L44</f>
        <v>0</v>
      </c>
      <c r="G53" s="7">
        <f>$I$67/12</f>
        <v>0</v>
      </c>
      <c r="H53" s="7">
        <f>F53+G53</f>
        <v>0</v>
      </c>
      <c r="I53" s="7">
        <f>((F53+H53)/2)*E53</f>
        <v>0</v>
      </c>
      <c r="J53" s="7">
        <f>H53+I53</f>
        <v>0</v>
      </c>
      <c r="K53" s="7">
        <f>-G53</f>
        <v>0</v>
      </c>
      <c r="L53" s="251"/>
    </row>
    <row r="54" spans="1:12" x14ac:dyDescent="0.2">
      <c r="A54" s="2">
        <f t="shared" si="0"/>
        <v>41</v>
      </c>
      <c r="B54" s="244"/>
      <c r="C54" s="20" t="s">
        <v>220</v>
      </c>
      <c r="D54" s="156">
        <v>2011</v>
      </c>
      <c r="E54" s="255">
        <f t="shared" ref="E54:E64" si="7">AVERAGE($I$33:$I$44)</f>
        <v>2.7000000000000006E-3</v>
      </c>
      <c r="F54" s="251">
        <f>J53</f>
        <v>0</v>
      </c>
      <c r="G54" s="7">
        <f t="shared" ref="G54:G64" si="8">$I$67/12</f>
        <v>0</v>
      </c>
      <c r="H54" s="7">
        <f t="shared" ref="H54:H64" si="9">F54+G54</f>
        <v>0</v>
      </c>
      <c r="I54" s="7">
        <f t="shared" ref="I54:I64" si="10">((F54+H54)/2)*E54</f>
        <v>0</v>
      </c>
      <c r="J54" s="7">
        <f t="shared" ref="J54:J64" si="11">H54+I54</f>
        <v>0</v>
      </c>
      <c r="K54" s="7">
        <f t="shared" ref="K54:K64" si="12">-G54</f>
        <v>0</v>
      </c>
      <c r="L54" s="251"/>
    </row>
    <row r="55" spans="1:12" x14ac:dyDescent="0.2">
      <c r="A55" s="2">
        <f t="shared" si="0"/>
        <v>42</v>
      </c>
      <c r="B55" s="244"/>
      <c r="C55" s="21" t="s">
        <v>210</v>
      </c>
      <c r="D55" s="156">
        <v>2011</v>
      </c>
      <c r="E55" s="255">
        <f t="shared" si="7"/>
        <v>2.7000000000000006E-3</v>
      </c>
      <c r="F55" s="251">
        <f t="shared" ref="F55:F64" si="13">J54</f>
        <v>0</v>
      </c>
      <c r="G55" s="7">
        <f t="shared" si="8"/>
        <v>0</v>
      </c>
      <c r="H55" s="7">
        <f t="shared" si="9"/>
        <v>0</v>
      </c>
      <c r="I55" s="7">
        <f t="shared" si="10"/>
        <v>0</v>
      </c>
      <c r="J55" s="7">
        <f t="shared" si="11"/>
        <v>0</v>
      </c>
      <c r="K55" s="7">
        <f t="shared" si="12"/>
        <v>0</v>
      </c>
      <c r="L55" s="251"/>
    </row>
    <row r="56" spans="1:12" x14ac:dyDescent="0.2">
      <c r="A56" s="2">
        <f t="shared" si="0"/>
        <v>43</v>
      </c>
      <c r="B56" s="244"/>
      <c r="C56" s="20" t="s">
        <v>211</v>
      </c>
      <c r="D56" s="156">
        <v>2012</v>
      </c>
      <c r="E56" s="255">
        <f t="shared" si="7"/>
        <v>2.7000000000000006E-3</v>
      </c>
      <c r="F56" s="251">
        <f t="shared" si="13"/>
        <v>0</v>
      </c>
      <c r="G56" s="7">
        <f t="shared" si="8"/>
        <v>0</v>
      </c>
      <c r="H56" s="7">
        <f t="shared" si="9"/>
        <v>0</v>
      </c>
      <c r="I56" s="7">
        <f t="shared" si="10"/>
        <v>0</v>
      </c>
      <c r="J56" s="7">
        <f t="shared" si="11"/>
        <v>0</v>
      </c>
      <c r="K56" s="7">
        <f t="shared" si="12"/>
        <v>0</v>
      </c>
      <c r="L56" s="251"/>
    </row>
    <row r="57" spans="1:12" x14ac:dyDescent="0.2">
      <c r="A57" s="2">
        <f t="shared" si="0"/>
        <v>44</v>
      </c>
      <c r="B57" s="244"/>
      <c r="C57" s="21" t="s">
        <v>212</v>
      </c>
      <c r="D57" s="156">
        <v>2012</v>
      </c>
      <c r="E57" s="255">
        <f t="shared" si="7"/>
        <v>2.7000000000000006E-3</v>
      </c>
      <c r="F57" s="251">
        <f t="shared" si="13"/>
        <v>0</v>
      </c>
      <c r="G57" s="7">
        <f t="shared" si="8"/>
        <v>0</v>
      </c>
      <c r="H57" s="7">
        <f t="shared" si="9"/>
        <v>0</v>
      </c>
      <c r="I57" s="7">
        <f t="shared" si="10"/>
        <v>0</v>
      </c>
      <c r="J57" s="7">
        <f t="shared" si="11"/>
        <v>0</v>
      </c>
      <c r="K57" s="7">
        <f t="shared" si="12"/>
        <v>0</v>
      </c>
      <c r="L57" s="251"/>
    </row>
    <row r="58" spans="1:12" x14ac:dyDescent="0.2">
      <c r="A58" s="2">
        <f t="shared" si="0"/>
        <v>45</v>
      </c>
      <c r="B58" s="244"/>
      <c r="C58" s="21" t="s">
        <v>225</v>
      </c>
      <c r="D58" s="156">
        <v>2012</v>
      </c>
      <c r="E58" s="255">
        <f t="shared" si="7"/>
        <v>2.7000000000000006E-3</v>
      </c>
      <c r="F58" s="251">
        <f t="shared" si="13"/>
        <v>0</v>
      </c>
      <c r="G58" s="7">
        <f t="shared" si="8"/>
        <v>0</v>
      </c>
      <c r="H58" s="7">
        <f t="shared" si="9"/>
        <v>0</v>
      </c>
      <c r="I58" s="7">
        <f t="shared" si="10"/>
        <v>0</v>
      </c>
      <c r="J58" s="7">
        <f t="shared" si="11"/>
        <v>0</v>
      </c>
      <c r="K58" s="7">
        <f t="shared" si="12"/>
        <v>0</v>
      </c>
      <c r="L58" s="251"/>
    </row>
    <row r="59" spans="1:12" x14ac:dyDescent="0.2">
      <c r="A59" s="2">
        <f t="shared" si="0"/>
        <v>46</v>
      </c>
      <c r="B59" s="244"/>
      <c r="C59" s="20" t="s">
        <v>213</v>
      </c>
      <c r="D59" s="156">
        <v>2012</v>
      </c>
      <c r="E59" s="255">
        <f t="shared" si="7"/>
        <v>2.7000000000000006E-3</v>
      </c>
      <c r="F59" s="251">
        <f t="shared" si="13"/>
        <v>0</v>
      </c>
      <c r="G59" s="7">
        <f t="shared" si="8"/>
        <v>0</v>
      </c>
      <c r="H59" s="7">
        <f t="shared" si="9"/>
        <v>0</v>
      </c>
      <c r="I59" s="7">
        <f t="shared" si="10"/>
        <v>0</v>
      </c>
      <c r="J59" s="7">
        <f t="shared" si="11"/>
        <v>0</v>
      </c>
      <c r="K59" s="7">
        <f t="shared" si="12"/>
        <v>0</v>
      </c>
      <c r="L59" s="251"/>
    </row>
    <row r="60" spans="1:12" x14ac:dyDescent="0.2">
      <c r="A60" s="2">
        <f t="shared" si="0"/>
        <v>47</v>
      </c>
      <c r="B60" s="244"/>
      <c r="C60" s="21" t="s">
        <v>214</v>
      </c>
      <c r="D60" s="156">
        <v>2012</v>
      </c>
      <c r="E60" s="255">
        <f t="shared" si="7"/>
        <v>2.7000000000000006E-3</v>
      </c>
      <c r="F60" s="251">
        <f t="shared" si="13"/>
        <v>0</v>
      </c>
      <c r="G60" s="7">
        <f t="shared" si="8"/>
        <v>0</v>
      </c>
      <c r="H60" s="7">
        <f t="shared" si="9"/>
        <v>0</v>
      </c>
      <c r="I60" s="7">
        <f t="shared" si="10"/>
        <v>0</v>
      </c>
      <c r="J60" s="7">
        <f t="shared" si="11"/>
        <v>0</v>
      </c>
      <c r="K60" s="7">
        <f t="shared" si="12"/>
        <v>0</v>
      </c>
      <c r="L60" s="251"/>
    </row>
    <row r="61" spans="1:12" x14ac:dyDescent="0.2">
      <c r="A61" s="2">
        <f t="shared" si="0"/>
        <v>48</v>
      </c>
      <c r="B61" s="244"/>
      <c r="C61" s="21" t="s">
        <v>215</v>
      </c>
      <c r="D61" s="156">
        <v>2012</v>
      </c>
      <c r="E61" s="255">
        <f t="shared" si="7"/>
        <v>2.7000000000000006E-3</v>
      </c>
      <c r="F61" s="251">
        <f t="shared" si="13"/>
        <v>0</v>
      </c>
      <c r="G61" s="7">
        <f t="shared" si="8"/>
        <v>0</v>
      </c>
      <c r="H61" s="7">
        <f t="shared" si="9"/>
        <v>0</v>
      </c>
      <c r="I61" s="7">
        <f t="shared" si="10"/>
        <v>0</v>
      </c>
      <c r="J61" s="7">
        <f t="shared" si="11"/>
        <v>0</v>
      </c>
      <c r="K61" s="7">
        <f t="shared" si="12"/>
        <v>0</v>
      </c>
      <c r="L61" s="251"/>
    </row>
    <row r="62" spans="1:12" x14ac:dyDescent="0.2">
      <c r="A62" s="2">
        <f t="shared" si="0"/>
        <v>49</v>
      </c>
      <c r="B62" s="244"/>
      <c r="C62" s="20" t="s">
        <v>216</v>
      </c>
      <c r="D62" s="156">
        <v>2012</v>
      </c>
      <c r="E62" s="255">
        <f t="shared" si="7"/>
        <v>2.7000000000000006E-3</v>
      </c>
      <c r="F62" s="251">
        <f t="shared" si="13"/>
        <v>0</v>
      </c>
      <c r="G62" s="7">
        <f t="shared" si="8"/>
        <v>0</v>
      </c>
      <c r="H62" s="7">
        <f t="shared" si="9"/>
        <v>0</v>
      </c>
      <c r="I62" s="7">
        <f t="shared" si="10"/>
        <v>0</v>
      </c>
      <c r="J62" s="7">
        <f t="shared" si="11"/>
        <v>0</v>
      </c>
      <c r="K62" s="7">
        <f t="shared" si="12"/>
        <v>0</v>
      </c>
      <c r="L62" s="251"/>
    </row>
    <row r="63" spans="1:12" x14ac:dyDescent="0.2">
      <c r="A63" s="2">
        <f t="shared" si="0"/>
        <v>50</v>
      </c>
      <c r="B63" s="244"/>
      <c r="C63" s="21" t="s">
        <v>217</v>
      </c>
      <c r="D63" s="156">
        <v>2012</v>
      </c>
      <c r="E63" s="255">
        <f t="shared" si="7"/>
        <v>2.7000000000000006E-3</v>
      </c>
      <c r="F63" s="251">
        <f t="shared" si="13"/>
        <v>0</v>
      </c>
      <c r="G63" s="7">
        <f t="shared" si="8"/>
        <v>0</v>
      </c>
      <c r="H63" s="7">
        <f t="shared" si="9"/>
        <v>0</v>
      </c>
      <c r="I63" s="7">
        <f t="shared" si="10"/>
        <v>0</v>
      </c>
      <c r="J63" s="7">
        <f t="shared" si="11"/>
        <v>0</v>
      </c>
      <c r="K63" s="7">
        <f t="shared" si="12"/>
        <v>0</v>
      </c>
      <c r="L63" s="251"/>
    </row>
    <row r="64" spans="1:12" ht="12.75" customHeight="1" x14ac:dyDescent="0.25">
      <c r="A64" s="2">
        <f t="shared" si="0"/>
        <v>51</v>
      </c>
      <c r="B64" s="244"/>
      <c r="C64" s="21" t="s">
        <v>218</v>
      </c>
      <c r="D64" s="156">
        <v>2012</v>
      </c>
      <c r="E64" s="255">
        <f t="shared" si="7"/>
        <v>2.7000000000000006E-3</v>
      </c>
      <c r="F64" s="251">
        <f t="shared" si="13"/>
        <v>0</v>
      </c>
      <c r="G64" s="95">
        <f t="shared" si="8"/>
        <v>0</v>
      </c>
      <c r="H64" s="7">
        <f t="shared" si="9"/>
        <v>0</v>
      </c>
      <c r="I64" s="7">
        <f t="shared" si="10"/>
        <v>0</v>
      </c>
      <c r="J64" s="7">
        <f t="shared" si="11"/>
        <v>0</v>
      </c>
      <c r="K64" s="260">
        <f t="shared" si="12"/>
        <v>0</v>
      </c>
      <c r="L64" s="251"/>
    </row>
    <row r="65" spans="1:12" x14ac:dyDescent="0.2">
      <c r="A65" s="2">
        <f t="shared" si="0"/>
        <v>52</v>
      </c>
      <c r="B65" s="244"/>
      <c r="C65" s="21"/>
      <c r="D65" s="24"/>
      <c r="E65" s="253"/>
      <c r="F65" s="253"/>
      <c r="G65" s="248">
        <f>SUM(G53:G64)</f>
        <v>0</v>
      </c>
      <c r="I65" s="255"/>
      <c r="J65" s="245" t="s">
        <v>1184</v>
      </c>
      <c r="K65" s="251">
        <f>SUM(K53:K64)</f>
        <v>0</v>
      </c>
      <c r="L65" s="251"/>
    </row>
    <row r="66" spans="1:12" x14ac:dyDescent="0.2">
      <c r="A66" s="2">
        <f t="shared" si="0"/>
        <v>53</v>
      </c>
      <c r="B66" s="244"/>
      <c r="C66" s="21"/>
      <c r="D66" s="24"/>
      <c r="E66" s="253"/>
      <c r="F66" s="253"/>
      <c r="G66" s="254"/>
      <c r="H66" s="248"/>
      <c r="I66" s="255"/>
      <c r="J66" s="251"/>
      <c r="K66" s="251"/>
      <c r="L66" s="251"/>
    </row>
    <row r="67" spans="1:12" x14ac:dyDescent="0.2">
      <c r="A67" s="2">
        <f t="shared" si="0"/>
        <v>54</v>
      </c>
      <c r="B67" s="244"/>
      <c r="C67" s="21"/>
      <c r="D67" s="24"/>
      <c r="E67" s="253"/>
      <c r="F67" s="253"/>
      <c r="G67" s="254"/>
      <c r="H67" s="261" t="s">
        <v>1183</v>
      </c>
      <c r="I67" s="248">
        <v>0</v>
      </c>
      <c r="J67" s="251"/>
      <c r="K67" s="251"/>
      <c r="L67" s="251"/>
    </row>
    <row r="68" spans="1:12" x14ac:dyDescent="0.2">
      <c r="A68" s="2">
        <f t="shared" si="0"/>
        <v>55</v>
      </c>
      <c r="B68" s="244"/>
      <c r="C68" s="21"/>
      <c r="D68" s="24"/>
      <c r="E68" s="244"/>
      <c r="F68" s="262"/>
      <c r="G68" s="255"/>
      <c r="H68" s="410"/>
      <c r="I68" s="244"/>
      <c r="J68" s="244"/>
      <c r="K68" s="244"/>
      <c r="L68" s="244"/>
    </row>
    <row r="69" spans="1:12" x14ac:dyDescent="0.2">
      <c r="A69" s="2">
        <f t="shared" si="0"/>
        <v>56</v>
      </c>
      <c r="B69" s="1" t="s">
        <v>557</v>
      </c>
      <c r="C69" s="21"/>
      <c r="D69" s="24"/>
      <c r="E69" s="244"/>
      <c r="F69" s="262"/>
      <c r="G69" s="255"/>
      <c r="H69" s="262"/>
      <c r="I69" s="244"/>
      <c r="J69" s="244"/>
      <c r="K69" s="244"/>
      <c r="L69" s="244"/>
    </row>
    <row r="70" spans="1:12" x14ac:dyDescent="0.2">
      <c r="A70" s="2">
        <f t="shared" si="0"/>
        <v>57</v>
      </c>
      <c r="B70" s="1"/>
      <c r="C70" s="21"/>
      <c r="D70" s="24"/>
      <c r="E70" s="244"/>
      <c r="F70" s="735" t="s">
        <v>267</v>
      </c>
      <c r="G70" s="255"/>
      <c r="H70" s="262"/>
      <c r="I70" s="244"/>
      <c r="J70" s="244"/>
      <c r="K70" s="244"/>
      <c r="L70" s="244"/>
    </row>
    <row r="71" spans="1:12" x14ac:dyDescent="0.2">
      <c r="A71" s="117">
        <f>A70+1</f>
        <v>58</v>
      </c>
      <c r="B71" s="254"/>
      <c r="C71" s="21"/>
      <c r="D71" s="1055" t="s">
        <v>1184</v>
      </c>
      <c r="E71" s="617">
        <f>K65</f>
        <v>0</v>
      </c>
      <c r="F71" s="47" t="s">
        <v>1185</v>
      </c>
      <c r="G71" s="255"/>
      <c r="H71" s="262"/>
      <c r="I71" s="244"/>
      <c r="J71" s="244"/>
      <c r="K71" s="244"/>
      <c r="L71" s="244"/>
    </row>
    <row r="72" spans="1:12" x14ac:dyDescent="0.2">
      <c r="A72" s="117">
        <f t="shared" si="0"/>
        <v>59</v>
      </c>
      <c r="B72" s="254"/>
      <c r="C72" s="21"/>
      <c r="D72" s="89" t="s">
        <v>34</v>
      </c>
      <c r="E72" s="248">
        <f>E71</f>
        <v>0</v>
      </c>
      <c r="F72" s="155" t="str">
        <f>"Line "&amp;A71&amp;".  Positive amount is to be collected by SCE (included in Base TRR as a positive amount)."</f>
        <v>Line 58.  Positive amount is to be collected by SCE (included in Base TRR as a positive amount).</v>
      </c>
      <c r="G72" s="255"/>
      <c r="H72" s="262"/>
      <c r="I72" s="244"/>
      <c r="J72" s="244"/>
      <c r="K72" s="244"/>
      <c r="L72" s="244"/>
    </row>
    <row r="73" spans="1:12" x14ac:dyDescent="0.2">
      <c r="A73" s="117">
        <f t="shared" si="0"/>
        <v>60</v>
      </c>
      <c r="B73" s="254"/>
      <c r="C73" s="254"/>
      <c r="D73" s="254"/>
      <c r="E73" s="254"/>
      <c r="F73" s="1056" t="s">
        <v>2021</v>
      </c>
      <c r="G73" s="244"/>
      <c r="H73" s="244"/>
      <c r="I73" s="244"/>
      <c r="J73" s="244"/>
      <c r="K73" s="244"/>
      <c r="L73" s="244"/>
    </row>
    <row r="74" spans="1:12" x14ac:dyDescent="0.2">
      <c r="A74" s="117">
        <f t="shared" si="0"/>
        <v>61</v>
      </c>
      <c r="B74" s="45" t="s">
        <v>1072</v>
      </c>
      <c r="C74" s="254"/>
      <c r="D74" s="254"/>
      <c r="E74" s="254"/>
      <c r="F74" s="621"/>
      <c r="G74" s="244"/>
      <c r="H74" s="244"/>
      <c r="I74" s="244"/>
      <c r="J74" s="244"/>
      <c r="K74" s="244"/>
      <c r="L74" s="244"/>
    </row>
    <row r="75" spans="1:12" x14ac:dyDescent="0.2">
      <c r="A75" s="117">
        <f t="shared" si="0"/>
        <v>62</v>
      </c>
      <c r="B75" s="47" t="s">
        <v>422</v>
      </c>
      <c r="C75" s="254"/>
      <c r="D75" s="254"/>
      <c r="E75" s="254"/>
      <c r="F75" s="254"/>
      <c r="G75" s="244"/>
      <c r="H75" s="244"/>
      <c r="I75" s="244"/>
      <c r="J75" s="244"/>
      <c r="K75" s="244"/>
      <c r="L75" s="244"/>
    </row>
    <row r="76" spans="1:12" x14ac:dyDescent="0.2">
      <c r="A76" s="117">
        <f t="shared" si="0"/>
        <v>63</v>
      </c>
      <c r="B76" s="47" t="s">
        <v>423</v>
      </c>
      <c r="C76" s="254"/>
      <c r="D76" s="254"/>
      <c r="E76" s="254"/>
      <c r="F76" s="254"/>
      <c r="G76" s="244"/>
      <c r="H76" s="244"/>
      <c r="I76" s="244"/>
      <c r="J76" s="244"/>
      <c r="K76" s="244"/>
      <c r="L76" s="244"/>
    </row>
    <row r="77" spans="1:12" x14ac:dyDescent="0.2">
      <c r="A77" s="117">
        <f t="shared" si="0"/>
        <v>64</v>
      </c>
      <c r="B77" s="47" t="s">
        <v>424</v>
      </c>
      <c r="C77" s="254"/>
      <c r="D77" s="254"/>
      <c r="E77" s="254"/>
      <c r="F77" s="254"/>
      <c r="G77" s="244"/>
      <c r="H77" s="244"/>
      <c r="I77" s="244"/>
      <c r="J77" s="244"/>
      <c r="K77" s="244"/>
      <c r="L77" s="244"/>
    </row>
    <row r="78" spans="1:12" x14ac:dyDescent="0.2">
      <c r="A78" s="117">
        <f t="shared" si="0"/>
        <v>65</v>
      </c>
      <c r="B78" s="254"/>
      <c r="C78" s="254"/>
      <c r="D78" s="254"/>
      <c r="E78" s="254"/>
      <c r="F78" s="254"/>
      <c r="G78" s="244"/>
      <c r="H78" s="244"/>
      <c r="I78" s="244"/>
      <c r="J78" s="244"/>
      <c r="K78" s="244"/>
      <c r="L78" s="244"/>
    </row>
    <row r="79" spans="1:12" x14ac:dyDescent="0.2">
      <c r="A79" s="117">
        <f t="shared" ref="A79:A119" si="14">A78+1</f>
        <v>66</v>
      </c>
      <c r="B79" s="45" t="s">
        <v>1481</v>
      </c>
      <c r="C79" s="254"/>
      <c r="D79" s="254"/>
      <c r="E79" s="254"/>
      <c r="F79" s="254"/>
      <c r="G79" s="244"/>
      <c r="H79" s="244"/>
      <c r="I79" s="244"/>
      <c r="J79" s="244"/>
      <c r="K79" s="244"/>
      <c r="L79" s="244"/>
    </row>
    <row r="80" spans="1:12" x14ac:dyDescent="0.2">
      <c r="A80" s="117">
        <f t="shared" si="14"/>
        <v>67</v>
      </c>
      <c r="B80" s="254"/>
      <c r="C80" s="254"/>
      <c r="D80" s="610" t="s">
        <v>1311</v>
      </c>
      <c r="E80" s="254"/>
      <c r="F80" s="14"/>
      <c r="G80" s="244"/>
      <c r="H80" s="244"/>
      <c r="I80" s="244"/>
      <c r="J80" s="244"/>
      <c r="K80" s="244"/>
      <c r="L80" s="244"/>
    </row>
    <row r="81" spans="1:12" x14ac:dyDescent="0.2">
      <c r="A81" s="117">
        <f t="shared" si="14"/>
        <v>68</v>
      </c>
      <c r="B81" s="254"/>
      <c r="C81" s="29" t="s">
        <v>222</v>
      </c>
      <c r="D81" s="131" t="s">
        <v>1186</v>
      </c>
      <c r="E81" s="131" t="s">
        <v>273</v>
      </c>
      <c r="F81" s="14"/>
      <c r="G81" s="254"/>
      <c r="H81" s="254"/>
      <c r="I81" s="254"/>
      <c r="J81" s="254"/>
      <c r="K81" s="254"/>
      <c r="L81" s="254"/>
    </row>
    <row r="82" spans="1:12" x14ac:dyDescent="0.2">
      <c r="A82" s="117">
        <f t="shared" si="14"/>
        <v>69</v>
      </c>
      <c r="B82" s="254"/>
      <c r="C82" s="1057" t="s">
        <v>211</v>
      </c>
      <c r="D82" s="1051">
        <v>6.3763211440757639E-2</v>
      </c>
      <c r="E82" s="47" t="s">
        <v>1502</v>
      </c>
      <c r="F82" s="14"/>
      <c r="G82" s="254"/>
      <c r="H82" s="254"/>
      <c r="I82" s="254"/>
      <c r="J82" s="254"/>
      <c r="K82" s="254"/>
      <c r="L82" s="254"/>
    </row>
    <row r="83" spans="1:12" x14ac:dyDescent="0.2">
      <c r="A83" s="117">
        <f t="shared" si="14"/>
        <v>70</v>
      </c>
      <c r="B83" s="254"/>
      <c r="C83" s="21" t="s">
        <v>212</v>
      </c>
      <c r="D83" s="1051">
        <v>5.6553289888256801E-2</v>
      </c>
      <c r="E83" s="14"/>
      <c r="F83" s="14"/>
      <c r="G83" s="254"/>
      <c r="H83" s="254"/>
      <c r="I83" s="254"/>
      <c r="J83" s="254"/>
      <c r="K83" s="254"/>
      <c r="L83" s="254"/>
    </row>
    <row r="84" spans="1:12" x14ac:dyDescent="0.2">
      <c r="A84" s="117">
        <f t="shared" si="14"/>
        <v>71</v>
      </c>
      <c r="B84" s="254"/>
      <c r="C84" s="21" t="s">
        <v>225</v>
      </c>
      <c r="D84" s="1051">
        <v>7.1828142218240867E-2</v>
      </c>
      <c r="E84" s="47"/>
      <c r="F84" s="14"/>
      <c r="G84" s="254"/>
      <c r="H84" s="254"/>
      <c r="I84" s="254"/>
      <c r="J84" s="254"/>
      <c r="K84" s="254"/>
      <c r="L84" s="254"/>
    </row>
    <row r="85" spans="1:12" x14ac:dyDescent="0.2">
      <c r="A85" s="117">
        <f t="shared" si="14"/>
        <v>72</v>
      </c>
      <c r="B85" s="254"/>
      <c r="C85" s="1057" t="s">
        <v>213</v>
      </c>
      <c r="D85" s="1051">
        <v>8.2236801934806855E-2</v>
      </c>
      <c r="E85" s="1058"/>
      <c r="F85" s="14"/>
      <c r="G85" s="254"/>
      <c r="H85" s="254"/>
      <c r="I85" s="254"/>
      <c r="J85" s="254"/>
      <c r="K85" s="254"/>
      <c r="L85" s="254"/>
    </row>
    <row r="86" spans="1:12" x14ac:dyDescent="0.2">
      <c r="A86" s="117">
        <f t="shared" si="14"/>
        <v>73</v>
      </c>
      <c r="B86" s="254"/>
      <c r="C86" s="21" t="s">
        <v>214</v>
      </c>
      <c r="D86" s="1051">
        <v>8.01837425905748E-2</v>
      </c>
      <c r="E86" s="776"/>
      <c r="F86" s="14"/>
      <c r="G86" s="254"/>
      <c r="H86" s="254"/>
      <c r="I86" s="254"/>
      <c r="J86" s="254"/>
      <c r="K86" s="254"/>
      <c r="L86" s="254"/>
    </row>
    <row r="87" spans="1:12" x14ac:dyDescent="0.2">
      <c r="A87" s="117">
        <f t="shared" si="14"/>
        <v>74</v>
      </c>
      <c r="B87" s="254"/>
      <c r="C87" s="21" t="s">
        <v>215</v>
      </c>
      <c r="D87" s="1051">
        <v>8.9450501877561497E-2</v>
      </c>
      <c r="E87" s="776"/>
      <c r="F87" s="14"/>
      <c r="G87" s="254"/>
      <c r="H87" s="254"/>
      <c r="I87" s="254"/>
      <c r="J87" s="254"/>
      <c r="K87" s="254"/>
      <c r="L87" s="254"/>
    </row>
    <row r="88" spans="1:12" x14ac:dyDescent="0.2">
      <c r="A88" s="117">
        <f t="shared" si="14"/>
        <v>75</v>
      </c>
      <c r="B88" s="254"/>
      <c r="C88" s="1057" t="s">
        <v>216</v>
      </c>
      <c r="D88" s="1051">
        <v>9.8908415854749826E-2</v>
      </c>
      <c r="E88" s="776"/>
      <c r="F88" s="14"/>
      <c r="G88" s="254"/>
      <c r="H88" s="254"/>
      <c r="I88" s="254"/>
      <c r="J88" s="254"/>
      <c r="K88" s="254"/>
      <c r="L88" s="254"/>
    </row>
    <row r="89" spans="1:12" x14ac:dyDescent="0.2">
      <c r="A89" s="117">
        <f t="shared" si="14"/>
        <v>76</v>
      </c>
      <c r="B89" s="254"/>
      <c r="C89" s="21" t="s">
        <v>217</v>
      </c>
      <c r="D89" s="1051">
        <v>0.10141004323318151</v>
      </c>
      <c r="E89" s="776"/>
      <c r="F89" s="14"/>
      <c r="G89" s="254"/>
      <c r="H89" s="254"/>
      <c r="I89" s="254"/>
      <c r="J89" s="254"/>
      <c r="K89" s="254"/>
      <c r="L89" s="254"/>
    </row>
    <row r="90" spans="1:12" x14ac:dyDescent="0.2">
      <c r="A90" s="117">
        <f t="shared" si="14"/>
        <v>77</v>
      </c>
      <c r="B90" s="254"/>
      <c r="C90" s="21" t="s">
        <v>218</v>
      </c>
      <c r="D90" s="1051">
        <v>0.10217900008822713</v>
      </c>
      <c r="E90" s="776"/>
      <c r="F90" s="14"/>
      <c r="G90" s="254"/>
      <c r="H90" s="254"/>
      <c r="I90" s="254"/>
      <c r="J90" s="254"/>
      <c r="K90" s="254"/>
      <c r="L90" s="254"/>
    </row>
    <row r="91" spans="1:12" x14ac:dyDescent="0.2">
      <c r="A91" s="117">
        <f t="shared" si="14"/>
        <v>78</v>
      </c>
      <c r="B91" s="254"/>
      <c r="C91" s="1057" t="s">
        <v>221</v>
      </c>
      <c r="D91" s="1051">
        <v>9.1787269171678454E-2</v>
      </c>
      <c r="E91" s="776"/>
      <c r="F91" s="14"/>
      <c r="G91" s="254"/>
      <c r="H91" s="254"/>
      <c r="I91" s="254"/>
      <c r="J91" s="254"/>
      <c r="K91" s="254"/>
      <c r="L91" s="254"/>
    </row>
    <row r="92" spans="1:12" x14ac:dyDescent="0.2">
      <c r="A92" s="117">
        <f t="shared" si="14"/>
        <v>79</v>
      </c>
      <c r="B92" s="254"/>
      <c r="C92" s="1057" t="s">
        <v>220</v>
      </c>
      <c r="D92" s="1051">
        <v>7.5296938318149625E-2</v>
      </c>
      <c r="E92" s="776"/>
      <c r="F92" s="14"/>
      <c r="G92" s="244"/>
      <c r="H92" s="244"/>
      <c r="I92" s="244"/>
      <c r="J92" s="244"/>
      <c r="K92" s="244"/>
      <c r="L92" s="244"/>
    </row>
    <row r="93" spans="1:12" x14ac:dyDescent="0.2">
      <c r="A93" s="117">
        <f t="shared" si="14"/>
        <v>80</v>
      </c>
      <c r="B93" s="254"/>
      <c r="C93" s="21" t="s">
        <v>210</v>
      </c>
      <c r="D93" s="1059">
        <v>8.640264338381512E-2</v>
      </c>
      <c r="E93" s="50"/>
      <c r="F93" s="14"/>
      <c r="G93" s="244"/>
      <c r="H93" s="244"/>
      <c r="I93" s="244"/>
      <c r="J93" s="244"/>
      <c r="K93" s="244"/>
      <c r="L93" s="244"/>
    </row>
    <row r="94" spans="1:12" x14ac:dyDescent="0.2">
      <c r="A94" s="117">
        <f t="shared" si="14"/>
        <v>81</v>
      </c>
      <c r="B94" s="254"/>
      <c r="C94" s="34" t="s">
        <v>5</v>
      </c>
      <c r="D94" s="1060">
        <f>SUM(D82:D93)</f>
        <v>1.0000000000000002</v>
      </c>
      <c r="E94" s="254"/>
      <c r="F94" s="14"/>
      <c r="G94" s="244"/>
      <c r="H94" s="244"/>
      <c r="I94" s="244"/>
      <c r="J94" s="244"/>
      <c r="K94" s="244"/>
      <c r="L94" s="244"/>
    </row>
    <row r="95" spans="1:12" x14ac:dyDescent="0.2">
      <c r="A95" s="117">
        <f t="shared" si="14"/>
        <v>82</v>
      </c>
      <c r="B95" s="254"/>
      <c r="C95" s="254"/>
      <c r="D95" s="254"/>
      <c r="E95" s="254"/>
      <c r="F95" s="117"/>
      <c r="G95" s="244"/>
      <c r="H95" s="244"/>
      <c r="I95" s="244"/>
      <c r="J95" s="244"/>
      <c r="K95" s="244"/>
      <c r="L95" s="244"/>
    </row>
    <row r="96" spans="1:12" x14ac:dyDescent="0.2">
      <c r="A96" s="117">
        <f t="shared" si="14"/>
        <v>83</v>
      </c>
      <c r="B96" s="45" t="s">
        <v>1567</v>
      </c>
      <c r="C96" s="254"/>
      <c r="D96" s="254"/>
      <c r="E96" s="254"/>
      <c r="F96" s="117"/>
      <c r="G96" s="244"/>
      <c r="H96" s="244"/>
      <c r="I96" s="244"/>
      <c r="J96" s="244"/>
      <c r="K96" s="244"/>
      <c r="L96" s="244"/>
    </row>
    <row r="97" spans="1:12" x14ac:dyDescent="0.2">
      <c r="A97" s="117">
        <f t="shared" si="14"/>
        <v>84</v>
      </c>
      <c r="B97" s="254"/>
      <c r="C97" s="254"/>
      <c r="D97" s="254"/>
      <c r="E97" s="254"/>
      <c r="F97" s="117"/>
      <c r="G97" s="244"/>
      <c r="H97" s="244"/>
      <c r="I97" s="244"/>
      <c r="J97" s="244"/>
      <c r="K97" s="244"/>
      <c r="L97" s="244"/>
    </row>
    <row r="98" spans="1:12" x14ac:dyDescent="0.2">
      <c r="A98" s="117">
        <f t="shared" si="14"/>
        <v>85</v>
      </c>
      <c r="B98" s="244"/>
      <c r="C98" s="88" t="s">
        <v>406</v>
      </c>
      <c r="D98" s="88" t="s">
        <v>390</v>
      </c>
      <c r="E98" s="88" t="s">
        <v>391</v>
      </c>
      <c r="F98" s="88" t="s">
        <v>392</v>
      </c>
      <c r="G98" s="88" t="s">
        <v>393</v>
      </c>
      <c r="H98" s="88" t="s">
        <v>394</v>
      </c>
      <c r="I98" s="88" t="s">
        <v>395</v>
      </c>
      <c r="J98" s="244"/>
      <c r="K98" s="244"/>
      <c r="L98" s="244"/>
    </row>
    <row r="99" spans="1:12" x14ac:dyDescent="0.2">
      <c r="A99" s="117">
        <f t="shared" si="14"/>
        <v>86</v>
      </c>
      <c r="B99" s="244"/>
      <c r="C99" s="91" t="s">
        <v>1187</v>
      </c>
      <c r="D99" s="91" t="s">
        <v>1571</v>
      </c>
      <c r="E99" s="88"/>
      <c r="F99" s="88"/>
      <c r="G99" s="88"/>
      <c r="H99" s="88"/>
      <c r="I99" s="91" t="s">
        <v>601</v>
      </c>
      <c r="J99" s="244"/>
      <c r="K99" s="244"/>
      <c r="L99" s="244"/>
    </row>
    <row r="100" spans="1:12" x14ac:dyDescent="0.2">
      <c r="A100" s="117">
        <f t="shared" si="14"/>
        <v>87</v>
      </c>
      <c r="B100" s="244"/>
      <c r="C100" s="244"/>
      <c r="D100" s="244"/>
      <c r="E100" s="244"/>
      <c r="F100" s="2"/>
      <c r="G100" s="244"/>
      <c r="H100" s="244"/>
      <c r="I100" s="244"/>
      <c r="J100" s="244"/>
      <c r="K100" s="244"/>
      <c r="L100" s="244"/>
    </row>
    <row r="101" spans="1:12" x14ac:dyDescent="0.2">
      <c r="A101" s="117">
        <f t="shared" si="14"/>
        <v>88</v>
      </c>
      <c r="B101" s="244"/>
      <c r="C101" s="2" t="s">
        <v>574</v>
      </c>
      <c r="D101" s="244"/>
      <c r="E101" s="244"/>
      <c r="F101" s="2"/>
      <c r="G101" s="244"/>
      <c r="H101" s="244"/>
      <c r="I101" s="2" t="s">
        <v>20</v>
      </c>
      <c r="J101" s="244"/>
      <c r="K101" s="244"/>
      <c r="L101" s="244"/>
    </row>
    <row r="102" spans="1:12" x14ac:dyDescent="0.2">
      <c r="A102" s="117">
        <f t="shared" si="14"/>
        <v>89</v>
      </c>
      <c r="B102" s="247" t="s">
        <v>459</v>
      </c>
      <c r="C102" s="2" t="s">
        <v>595</v>
      </c>
      <c r="D102" s="244"/>
      <c r="E102" s="244"/>
      <c r="F102" s="88"/>
      <c r="G102" s="244"/>
      <c r="H102" s="244"/>
      <c r="I102" s="2" t="s">
        <v>226</v>
      </c>
      <c r="J102" s="244"/>
      <c r="K102" s="244"/>
      <c r="L102" s="244"/>
    </row>
    <row r="103" spans="1:12" x14ac:dyDescent="0.2">
      <c r="A103" s="117">
        <f t="shared" si="14"/>
        <v>90</v>
      </c>
      <c r="B103" s="247" t="s">
        <v>223</v>
      </c>
      <c r="C103" s="2" t="s">
        <v>349</v>
      </c>
      <c r="D103" s="2" t="s">
        <v>404</v>
      </c>
      <c r="E103" s="2"/>
      <c r="F103" s="2"/>
      <c r="G103" s="2" t="s">
        <v>593</v>
      </c>
      <c r="H103" s="2"/>
      <c r="I103" s="2" t="s">
        <v>21</v>
      </c>
      <c r="J103" s="244"/>
      <c r="K103" s="244"/>
      <c r="L103" s="244"/>
    </row>
    <row r="104" spans="1:12" x14ac:dyDescent="0.2">
      <c r="A104" s="117">
        <f t="shared" si="14"/>
        <v>91</v>
      </c>
      <c r="B104" s="3" t="s">
        <v>222</v>
      </c>
      <c r="C104" s="3" t="s">
        <v>22</v>
      </c>
      <c r="D104" s="3" t="s">
        <v>349</v>
      </c>
      <c r="E104" s="3" t="s">
        <v>348</v>
      </c>
      <c r="F104" s="3" t="s">
        <v>592</v>
      </c>
      <c r="G104" s="3" t="s">
        <v>594</v>
      </c>
      <c r="H104" s="3" t="s">
        <v>404</v>
      </c>
      <c r="I104" s="3" t="s">
        <v>89</v>
      </c>
      <c r="J104" s="244"/>
      <c r="K104" s="244"/>
      <c r="L104" s="244"/>
    </row>
    <row r="105" spans="1:12" x14ac:dyDescent="0.2">
      <c r="A105" s="117">
        <f t="shared" si="14"/>
        <v>92</v>
      </c>
      <c r="B105" s="266" t="s">
        <v>76</v>
      </c>
      <c r="C105" s="263">
        <v>0</v>
      </c>
      <c r="D105" s="263">
        <v>0</v>
      </c>
      <c r="E105" s="263">
        <v>0</v>
      </c>
      <c r="F105" s="263">
        <v>0</v>
      </c>
      <c r="G105" s="263">
        <v>0</v>
      </c>
      <c r="H105" s="263">
        <v>0</v>
      </c>
      <c r="I105" s="246">
        <f>SUM(C105:H105)</f>
        <v>0</v>
      </c>
      <c r="J105" s="244"/>
      <c r="K105" s="244"/>
      <c r="L105" s="244"/>
    </row>
    <row r="106" spans="1:12" x14ac:dyDescent="0.2">
      <c r="A106" s="117">
        <f t="shared" si="14"/>
        <v>93</v>
      </c>
      <c r="B106" s="266" t="s">
        <v>77</v>
      </c>
      <c r="C106" s="263">
        <v>0</v>
      </c>
      <c r="D106" s="263">
        <v>0</v>
      </c>
      <c r="E106" s="263">
        <v>0</v>
      </c>
      <c r="F106" s="263">
        <v>0</v>
      </c>
      <c r="G106" s="263">
        <v>0</v>
      </c>
      <c r="H106" s="263">
        <v>0</v>
      </c>
      <c r="I106" s="246">
        <f t="shared" ref="I106:I115" si="15">SUM(C106:H106)</f>
        <v>0</v>
      </c>
      <c r="J106" s="244"/>
      <c r="K106" s="244"/>
      <c r="L106" s="244"/>
    </row>
    <row r="107" spans="1:12" x14ac:dyDescent="0.2">
      <c r="A107" s="117">
        <f t="shared" si="14"/>
        <v>94</v>
      </c>
      <c r="B107" s="266" t="s">
        <v>78</v>
      </c>
      <c r="C107" s="263">
        <v>0</v>
      </c>
      <c r="D107" s="263">
        <v>0</v>
      </c>
      <c r="E107" s="263">
        <v>0</v>
      </c>
      <c r="F107" s="263">
        <v>0</v>
      </c>
      <c r="G107" s="263">
        <v>0</v>
      </c>
      <c r="H107" s="263">
        <v>0</v>
      </c>
      <c r="I107" s="246">
        <f t="shared" si="15"/>
        <v>0</v>
      </c>
      <c r="J107" s="244"/>
      <c r="K107" s="244"/>
      <c r="L107" s="244"/>
    </row>
    <row r="108" spans="1:12" x14ac:dyDescent="0.2">
      <c r="A108" s="117">
        <f t="shared" si="14"/>
        <v>95</v>
      </c>
      <c r="B108" s="266" t="s">
        <v>79</v>
      </c>
      <c r="C108" s="263">
        <v>0</v>
      </c>
      <c r="D108" s="263">
        <v>0</v>
      </c>
      <c r="E108" s="263">
        <v>0</v>
      </c>
      <c r="F108" s="263">
        <v>0</v>
      </c>
      <c r="G108" s="263">
        <v>0</v>
      </c>
      <c r="H108" s="263">
        <v>0</v>
      </c>
      <c r="I108" s="246">
        <f t="shared" si="15"/>
        <v>0</v>
      </c>
      <c r="J108" s="244"/>
      <c r="K108" s="244"/>
      <c r="L108" s="244"/>
    </row>
    <row r="109" spans="1:12" x14ac:dyDescent="0.2">
      <c r="A109" s="117">
        <f t="shared" si="14"/>
        <v>96</v>
      </c>
      <c r="B109" s="91" t="s">
        <v>214</v>
      </c>
      <c r="C109" s="263">
        <v>0</v>
      </c>
      <c r="D109" s="263">
        <v>0</v>
      </c>
      <c r="E109" s="263">
        <v>0</v>
      </c>
      <c r="F109" s="263">
        <v>0</v>
      </c>
      <c r="G109" s="263">
        <v>0</v>
      </c>
      <c r="H109" s="263">
        <v>0</v>
      </c>
      <c r="I109" s="246">
        <f t="shared" si="15"/>
        <v>0</v>
      </c>
      <c r="J109" s="244"/>
      <c r="K109" s="244"/>
      <c r="L109" s="244"/>
    </row>
    <row r="110" spans="1:12" x14ac:dyDescent="0.2">
      <c r="A110" s="117">
        <f t="shared" si="14"/>
        <v>97</v>
      </c>
      <c r="B110" s="266" t="s">
        <v>80</v>
      </c>
      <c r="C110" s="263">
        <v>0</v>
      </c>
      <c r="D110" s="263">
        <v>0</v>
      </c>
      <c r="E110" s="263">
        <v>0</v>
      </c>
      <c r="F110" s="263">
        <v>0</v>
      </c>
      <c r="G110" s="263">
        <v>0</v>
      </c>
      <c r="H110" s="263">
        <v>0</v>
      </c>
      <c r="I110" s="246">
        <f t="shared" si="15"/>
        <v>0</v>
      </c>
      <c r="J110" s="244"/>
      <c r="K110" s="244"/>
      <c r="L110" s="244"/>
    </row>
    <row r="111" spans="1:12" x14ac:dyDescent="0.2">
      <c r="A111" s="117">
        <f t="shared" si="14"/>
        <v>98</v>
      </c>
      <c r="B111" s="266" t="s">
        <v>81</v>
      </c>
      <c r="C111" s="263">
        <v>0</v>
      </c>
      <c r="D111" s="263">
        <v>0</v>
      </c>
      <c r="E111" s="263">
        <v>0</v>
      </c>
      <c r="F111" s="263">
        <v>0</v>
      </c>
      <c r="G111" s="263">
        <v>0</v>
      </c>
      <c r="H111" s="263">
        <v>0</v>
      </c>
      <c r="I111" s="246">
        <f t="shared" si="15"/>
        <v>0</v>
      </c>
      <c r="J111" s="244"/>
      <c r="K111" s="244"/>
      <c r="L111" s="244"/>
    </row>
    <row r="112" spans="1:12" x14ac:dyDescent="0.2">
      <c r="A112" s="117">
        <f t="shared" si="14"/>
        <v>99</v>
      </c>
      <c r="B112" s="266" t="s">
        <v>82</v>
      </c>
      <c r="C112" s="263">
        <v>0</v>
      </c>
      <c r="D112" s="263">
        <v>0</v>
      </c>
      <c r="E112" s="263">
        <v>0</v>
      </c>
      <c r="F112" s="263">
        <v>0</v>
      </c>
      <c r="G112" s="263">
        <v>0</v>
      </c>
      <c r="H112" s="263">
        <v>0</v>
      </c>
      <c r="I112" s="246">
        <f t="shared" si="15"/>
        <v>0</v>
      </c>
      <c r="J112" s="244"/>
      <c r="K112" s="244"/>
      <c r="L112" s="244"/>
    </row>
    <row r="113" spans="1:12" x14ac:dyDescent="0.2">
      <c r="A113" s="117">
        <f t="shared" si="14"/>
        <v>100</v>
      </c>
      <c r="B113" s="266" t="s">
        <v>83</v>
      </c>
      <c r="C113" s="263">
        <v>0</v>
      </c>
      <c r="D113" s="263">
        <v>0</v>
      </c>
      <c r="E113" s="263">
        <v>0</v>
      </c>
      <c r="F113" s="263">
        <v>0</v>
      </c>
      <c r="G113" s="263">
        <v>0</v>
      </c>
      <c r="H113" s="263">
        <v>0</v>
      </c>
      <c r="I113" s="246">
        <f t="shared" si="15"/>
        <v>0</v>
      </c>
      <c r="J113" s="244"/>
      <c r="K113" s="244"/>
      <c r="L113" s="244"/>
    </row>
    <row r="114" spans="1:12" x14ac:dyDescent="0.2">
      <c r="A114" s="117">
        <f t="shared" si="14"/>
        <v>101</v>
      </c>
      <c r="B114" s="266" t="s">
        <v>84</v>
      </c>
      <c r="C114" s="263">
        <v>0</v>
      </c>
      <c r="D114" s="263">
        <v>0</v>
      </c>
      <c r="E114" s="263">
        <v>0</v>
      </c>
      <c r="F114" s="263">
        <v>0</v>
      </c>
      <c r="G114" s="263">
        <v>0</v>
      </c>
      <c r="H114" s="263">
        <v>0</v>
      </c>
      <c r="I114" s="246">
        <f t="shared" si="15"/>
        <v>0</v>
      </c>
      <c r="J114" s="244"/>
      <c r="K114" s="244"/>
      <c r="L114" s="244"/>
    </row>
    <row r="115" spans="1:12" x14ac:dyDescent="0.2">
      <c r="A115" s="117">
        <f t="shared" si="14"/>
        <v>102</v>
      </c>
      <c r="B115" s="266" t="s">
        <v>85</v>
      </c>
      <c r="C115" s="263">
        <v>0</v>
      </c>
      <c r="D115" s="263">
        <v>0</v>
      </c>
      <c r="E115" s="263">
        <v>0</v>
      </c>
      <c r="F115" s="263">
        <v>0</v>
      </c>
      <c r="G115" s="263">
        <v>0</v>
      </c>
      <c r="H115" s="263">
        <v>0</v>
      </c>
      <c r="I115" s="246">
        <f t="shared" si="15"/>
        <v>0</v>
      </c>
      <c r="J115" s="244"/>
      <c r="K115" s="244"/>
      <c r="L115" s="244"/>
    </row>
    <row r="116" spans="1:12" x14ac:dyDescent="0.2">
      <c r="A116" s="117">
        <f t="shared" si="14"/>
        <v>103</v>
      </c>
      <c r="B116" s="266" t="s">
        <v>86</v>
      </c>
      <c r="C116" s="114">
        <v>0</v>
      </c>
      <c r="D116" s="114">
        <v>0</v>
      </c>
      <c r="E116" s="114">
        <v>0</v>
      </c>
      <c r="F116" s="114">
        <v>0</v>
      </c>
      <c r="G116" s="114">
        <v>0</v>
      </c>
      <c r="H116" s="114">
        <v>0</v>
      </c>
      <c r="I116" s="95">
        <f>SUM(C116:H116)</f>
        <v>0</v>
      </c>
      <c r="J116" s="244"/>
      <c r="K116" s="244"/>
      <c r="L116" s="244"/>
    </row>
    <row r="117" spans="1:12" x14ac:dyDescent="0.2">
      <c r="A117" s="117">
        <f t="shared" si="14"/>
        <v>104</v>
      </c>
      <c r="B117" s="91" t="s">
        <v>227</v>
      </c>
      <c r="C117" s="246">
        <f t="shared" ref="C117:I117" si="16">SUM(C105:C116)</f>
        <v>0</v>
      </c>
      <c r="D117" s="246">
        <f t="shared" si="16"/>
        <v>0</v>
      </c>
      <c r="E117" s="246">
        <f t="shared" si="16"/>
        <v>0</v>
      </c>
      <c r="F117" s="246">
        <f t="shared" si="16"/>
        <v>0</v>
      </c>
      <c r="G117" s="246">
        <f t="shared" si="16"/>
        <v>0</v>
      </c>
      <c r="H117" s="246">
        <f t="shared" si="16"/>
        <v>0</v>
      </c>
      <c r="I117" s="246">
        <f t="shared" si="16"/>
        <v>0</v>
      </c>
      <c r="J117" s="244"/>
      <c r="K117" s="244"/>
      <c r="L117" s="244"/>
    </row>
    <row r="118" spans="1:12" x14ac:dyDescent="0.2">
      <c r="A118" s="117">
        <f t="shared" si="14"/>
        <v>105</v>
      </c>
      <c r="B118" s="244"/>
      <c r="C118" s="244"/>
      <c r="D118" s="244"/>
      <c r="E118" s="244"/>
      <c r="F118" s="244"/>
      <c r="G118" s="244"/>
      <c r="H118" s="98"/>
      <c r="I118" s="244"/>
      <c r="J118" s="244"/>
      <c r="K118" s="244"/>
      <c r="L118" s="244"/>
    </row>
    <row r="119" spans="1:12" x14ac:dyDescent="0.2">
      <c r="A119" s="117">
        <f t="shared" si="14"/>
        <v>106</v>
      </c>
      <c r="B119" s="244"/>
      <c r="C119" s="244"/>
      <c r="D119" s="244"/>
      <c r="E119" s="244"/>
      <c r="F119" s="244"/>
      <c r="G119" s="244"/>
      <c r="H119" s="98" t="s">
        <v>596</v>
      </c>
      <c r="I119" s="249">
        <v>10043844243</v>
      </c>
      <c r="J119" s="244"/>
      <c r="K119" s="244"/>
      <c r="L119" s="244"/>
    </row>
    <row r="120" spans="1:12" x14ac:dyDescent="0.2">
      <c r="A120" s="244"/>
      <c r="B120" s="244"/>
      <c r="C120" s="244"/>
      <c r="D120" s="244"/>
      <c r="E120" s="244"/>
      <c r="F120" s="244"/>
      <c r="G120" s="244"/>
      <c r="H120" s="244"/>
      <c r="I120" s="244"/>
      <c r="J120" s="244"/>
      <c r="K120" s="244"/>
      <c r="L120" s="244"/>
    </row>
    <row r="121" spans="1:12" x14ac:dyDescent="0.2">
      <c r="A121" s="2"/>
      <c r="B121" s="1" t="s">
        <v>433</v>
      </c>
      <c r="C121" s="244"/>
      <c r="D121" s="244"/>
      <c r="E121" s="244"/>
      <c r="F121" s="244"/>
      <c r="G121" s="244"/>
      <c r="H121" s="244"/>
      <c r="I121" s="246"/>
      <c r="J121" s="244"/>
      <c r="K121" s="244"/>
      <c r="L121" s="244"/>
    </row>
    <row r="122" spans="1:12" x14ac:dyDescent="0.2">
      <c r="A122" s="2"/>
      <c r="B122" s="47" t="s">
        <v>1188</v>
      </c>
      <c r="C122" s="254"/>
      <c r="D122" s="254"/>
      <c r="E122" s="254"/>
      <c r="F122" s="254"/>
      <c r="G122" s="254"/>
      <c r="H122" s="254"/>
      <c r="I122" s="254"/>
      <c r="J122" s="254"/>
      <c r="K122" s="254"/>
      <c r="L122" s="244"/>
    </row>
    <row r="123" spans="1:12" x14ac:dyDescent="0.2">
      <c r="A123" s="2"/>
      <c r="B123" s="47" t="s">
        <v>1189</v>
      </c>
      <c r="C123" s="254"/>
      <c r="D123" s="254"/>
      <c r="E123" s="254"/>
      <c r="F123" s="254"/>
      <c r="G123" s="254"/>
      <c r="H123" s="254"/>
      <c r="I123" s="254"/>
      <c r="J123" s="254"/>
      <c r="K123" s="254"/>
      <c r="L123" s="244"/>
    </row>
    <row r="124" spans="1:12" x14ac:dyDescent="0.2">
      <c r="A124" s="2"/>
      <c r="B124" s="160" t="s">
        <v>1190</v>
      </c>
      <c r="C124" s="254"/>
      <c r="D124" s="254"/>
      <c r="E124" s="254"/>
      <c r="F124" s="254"/>
      <c r="G124" s="254"/>
      <c r="H124" s="254"/>
      <c r="I124" s="254"/>
      <c r="J124" s="254"/>
      <c r="K124" s="254"/>
      <c r="L124" s="244"/>
    </row>
    <row r="125" spans="1:12" x14ac:dyDescent="0.2">
      <c r="A125" s="2"/>
      <c r="B125" s="47" t="s">
        <v>1073</v>
      </c>
      <c r="C125" s="254"/>
      <c r="D125" s="254"/>
      <c r="E125" s="254"/>
      <c r="F125" s="254"/>
      <c r="G125" s="254"/>
      <c r="H125" s="254"/>
      <c r="I125" s="254"/>
      <c r="J125" s="254"/>
      <c r="K125" s="254"/>
      <c r="L125" s="244"/>
    </row>
    <row r="126" spans="1:12" x14ac:dyDescent="0.2">
      <c r="A126" s="2"/>
      <c r="B126" s="1061" t="s">
        <v>2022</v>
      </c>
      <c r="C126" s="254"/>
      <c r="D126" s="254"/>
      <c r="E126" s="254"/>
      <c r="F126" s="254"/>
      <c r="G126" s="254"/>
      <c r="H126" s="254"/>
      <c r="I126" s="254"/>
      <c r="J126" s="254"/>
      <c r="K126" s="254"/>
      <c r="L126" s="244"/>
    </row>
    <row r="127" spans="1:12" x14ac:dyDescent="0.2">
      <c r="A127" s="2"/>
      <c r="B127" s="47" t="s">
        <v>1191</v>
      </c>
      <c r="C127" s="254"/>
      <c r="D127" s="254"/>
      <c r="E127" s="254"/>
      <c r="F127" s="254"/>
      <c r="G127" s="254"/>
      <c r="H127" s="254"/>
      <c r="I127" s="254"/>
      <c r="J127" s="254"/>
      <c r="K127" s="254"/>
      <c r="L127" s="244"/>
    </row>
    <row r="128" spans="1:12" x14ac:dyDescent="0.2">
      <c r="A128" s="2"/>
      <c r="B128" s="1062" t="s">
        <v>1192</v>
      </c>
      <c r="C128" s="254"/>
      <c r="D128" s="254"/>
      <c r="E128" s="254"/>
      <c r="F128" s="254"/>
      <c r="G128" s="254"/>
      <c r="H128" s="254"/>
      <c r="I128" s="254"/>
      <c r="J128" s="254"/>
      <c r="K128" s="254"/>
      <c r="L128" s="244"/>
    </row>
    <row r="129" spans="1:12" x14ac:dyDescent="0.2">
      <c r="A129" s="839"/>
      <c r="B129" s="1063" t="str">
        <f>"This instruction requires that the amount on Line "&amp;A67&amp;" Column 6 be calculated so that any over or under collection at the beginning of the Rate Effective Period"</f>
        <v>This instruction requires that the amount on Line 54 Column 6 be calculated so that any over or under collection at the beginning of the Rate Effective Period</v>
      </c>
      <c r="C129" s="254"/>
      <c r="D129" s="254"/>
      <c r="E129" s="254"/>
      <c r="F129" s="254"/>
      <c r="G129" s="254"/>
      <c r="H129" s="254"/>
      <c r="I129" s="254"/>
      <c r="J129" s="254"/>
      <c r="K129" s="254"/>
    </row>
    <row r="130" spans="1:12" x14ac:dyDescent="0.2">
      <c r="A130" s="839"/>
      <c r="B130" s="1063" t="str">
        <f>"is completely amortized over the following 12 months, as reflected by the Line "&amp;A64&amp;", Column 7 amount being equal to zero.  It may be necessary to iterate for"</f>
        <v>is completely amortized over the following 12 months, as reflected by the Line 51, Column 7 amount being equal to zero.  It may be necessary to iterate for</v>
      </c>
      <c r="C130" s="254"/>
      <c r="D130" s="254"/>
      <c r="E130" s="254"/>
      <c r="F130" s="254"/>
      <c r="G130" s="254"/>
      <c r="H130" s="254"/>
      <c r="I130" s="254"/>
      <c r="J130" s="254"/>
      <c r="K130" s="254"/>
      <c r="L130" s="244"/>
    </row>
    <row r="131" spans="1:12" x14ac:dyDescent="0.2">
      <c r="A131" s="839"/>
      <c r="B131" s="1061" t="s">
        <v>2793</v>
      </c>
      <c r="C131" s="14"/>
      <c r="D131" s="254"/>
      <c r="E131" s="254"/>
      <c r="F131" s="254"/>
      <c r="G131" s="254"/>
      <c r="H131" s="254"/>
      <c r="I131" s="254"/>
      <c r="J131" s="254"/>
      <c r="K131" s="254"/>
      <c r="L131" s="244"/>
    </row>
    <row r="132" spans="1:12" x14ac:dyDescent="0.2">
      <c r="A132" s="2"/>
      <c r="B132" s="648" t="s">
        <v>3141</v>
      </c>
      <c r="C132" s="254"/>
      <c r="D132" s="254"/>
      <c r="E132" s="254"/>
      <c r="F132" s="254"/>
      <c r="G132" s="254"/>
      <c r="H132" s="254"/>
      <c r="I132" s="254"/>
      <c r="J132" s="254"/>
      <c r="K132" s="254"/>
      <c r="L132" s="244"/>
    </row>
    <row r="133" spans="1:12" x14ac:dyDescent="0.2">
      <c r="A133" s="2"/>
      <c r="B133" s="613" t="s">
        <v>2501</v>
      </c>
      <c r="C133" s="254"/>
      <c r="D133" s="254"/>
      <c r="E133" s="254"/>
      <c r="F133" s="254"/>
      <c r="G133" s="254"/>
      <c r="H133" s="254"/>
      <c r="I133" s="254"/>
      <c r="J133" s="254"/>
      <c r="K133" s="254"/>
      <c r="L133" s="244"/>
    </row>
    <row r="134" spans="1:12" x14ac:dyDescent="0.2">
      <c r="A134" s="2"/>
      <c r="B134" s="408" t="s">
        <v>558</v>
      </c>
      <c r="C134" s="254"/>
      <c r="D134" s="254"/>
      <c r="E134" s="254"/>
      <c r="F134" s="254"/>
      <c r="G134" s="254"/>
      <c r="H134" s="254"/>
      <c r="I134" s="254"/>
      <c r="J134" s="254"/>
      <c r="K134" s="254"/>
      <c r="L134" s="244"/>
    </row>
    <row r="135" spans="1:12" x14ac:dyDescent="0.2">
      <c r="A135" s="2"/>
      <c r="B135" s="1064" t="s">
        <v>1976</v>
      </c>
      <c r="C135" s="254"/>
      <c r="D135" s="254"/>
      <c r="E135" s="254"/>
      <c r="F135" s="254"/>
      <c r="G135" s="254"/>
      <c r="H135" s="254"/>
      <c r="I135" s="254"/>
      <c r="J135" s="254"/>
      <c r="K135" s="254"/>
      <c r="L135" s="244"/>
    </row>
    <row r="136" spans="1:12" x14ac:dyDescent="0.2">
      <c r="A136" s="2"/>
      <c r="B136" s="1065" t="s">
        <v>1193</v>
      </c>
      <c r="C136" s="254"/>
      <c r="D136" s="254"/>
      <c r="E136" s="254"/>
      <c r="F136" s="254"/>
      <c r="G136" s="254"/>
      <c r="H136" s="254"/>
      <c r="I136" s="254"/>
      <c r="J136" s="254"/>
      <c r="K136" s="254"/>
      <c r="L136" s="244"/>
    </row>
    <row r="137" spans="1:12" x14ac:dyDescent="0.2">
      <c r="A137" s="2"/>
      <c r="B137" s="1065" t="str">
        <f>"Entering on Line "&amp;A24&amp;" ensures these One Time Adjustments are recovered from or returned to customers."</f>
        <v>Entering on Line 11 ensures these One Time Adjustments are recovered from or returned to customers.</v>
      </c>
      <c r="C137" s="254"/>
      <c r="D137" s="254"/>
      <c r="E137" s="254"/>
      <c r="F137" s="254"/>
      <c r="G137" s="254"/>
      <c r="H137" s="254"/>
      <c r="I137" s="254"/>
      <c r="J137" s="254"/>
      <c r="K137" s="254"/>
      <c r="L137" s="244"/>
    </row>
    <row r="138" spans="1:12" x14ac:dyDescent="0.2">
      <c r="A138" s="2"/>
      <c r="B138" s="408" t="s">
        <v>1469</v>
      </c>
      <c r="C138" s="1066"/>
      <c r="D138" s="254"/>
      <c r="E138" s="254"/>
      <c r="F138" s="254"/>
      <c r="G138" s="254"/>
      <c r="H138" s="254"/>
      <c r="I138" s="254"/>
      <c r="J138" s="254"/>
      <c r="K138" s="254"/>
      <c r="L138" s="244"/>
    </row>
    <row r="139" spans="1:12" x14ac:dyDescent="0.2">
      <c r="A139" s="2"/>
      <c r="B139" s="648" t="s">
        <v>3142</v>
      </c>
      <c r="C139" s="254"/>
      <c r="D139" s="254"/>
      <c r="E139" s="254"/>
      <c r="F139" s="254"/>
      <c r="G139" s="254"/>
      <c r="H139" s="254"/>
      <c r="I139" s="254"/>
      <c r="J139" s="14"/>
      <c r="K139" s="254"/>
      <c r="L139" s="244"/>
    </row>
    <row r="140" spans="1:12" x14ac:dyDescent="0.2">
      <c r="A140" s="2"/>
      <c r="B140" s="648" t="s">
        <v>3143</v>
      </c>
      <c r="C140" s="254"/>
      <c r="D140" s="254"/>
      <c r="E140" s="254"/>
      <c r="F140" s="254"/>
      <c r="G140" s="254"/>
      <c r="H140" s="254"/>
      <c r="I140" s="254"/>
      <c r="J140" s="254"/>
      <c r="K140" s="254"/>
      <c r="L140" s="244"/>
    </row>
    <row r="141" spans="1:12" x14ac:dyDescent="0.2">
      <c r="A141" s="2"/>
      <c r="B141" s="648" t="s">
        <v>1977</v>
      </c>
      <c r="C141" s="254"/>
      <c r="D141" s="254"/>
      <c r="E141" s="254"/>
      <c r="F141" s="254"/>
      <c r="G141" s="254"/>
      <c r="H141" s="254"/>
      <c r="I141" s="254"/>
      <c r="J141" s="254"/>
      <c r="K141" s="254"/>
      <c r="L141" s="244"/>
    </row>
    <row r="142" spans="1:12" x14ac:dyDescent="0.2">
      <c r="A142" s="2"/>
      <c r="B142" s="406" t="s">
        <v>1194</v>
      </c>
      <c r="C142" s="254"/>
      <c r="D142" s="254"/>
      <c r="E142" s="254"/>
      <c r="F142" s="254"/>
      <c r="G142" s="254"/>
      <c r="H142" s="254"/>
      <c r="I142" s="254"/>
      <c r="J142" s="254"/>
      <c r="K142" s="254"/>
      <c r="L142" s="244"/>
    </row>
    <row r="143" spans="1:12" x14ac:dyDescent="0.2">
      <c r="A143" s="2"/>
      <c r="B143" s="1067" t="s">
        <v>267</v>
      </c>
      <c r="C143" s="254"/>
      <c r="D143" s="254"/>
      <c r="E143" s="254"/>
      <c r="F143" s="254"/>
      <c r="G143" s="254"/>
      <c r="H143" s="254"/>
      <c r="I143" s="254"/>
      <c r="J143" s="254"/>
      <c r="K143" s="254"/>
      <c r="L143" s="244"/>
    </row>
    <row r="144" spans="1:12" x14ac:dyDescent="0.2">
      <c r="A144" s="2"/>
      <c r="B144" s="648" t="s">
        <v>1974</v>
      </c>
      <c r="C144" s="254"/>
      <c r="D144" s="254"/>
      <c r="E144" s="254"/>
      <c r="F144" s="254"/>
      <c r="G144" s="254"/>
      <c r="H144" s="254"/>
      <c r="I144" s="254"/>
      <c r="J144" s="254"/>
      <c r="K144" s="254"/>
      <c r="L144" s="244"/>
    </row>
    <row r="145" spans="1:12" x14ac:dyDescent="0.2">
      <c r="A145" s="2"/>
      <c r="B145" s="729" t="s">
        <v>1975</v>
      </c>
      <c r="C145" s="254"/>
      <c r="D145" s="254"/>
      <c r="E145" s="254"/>
      <c r="F145" s="254"/>
      <c r="G145" s="254"/>
      <c r="H145" s="254"/>
      <c r="I145" s="254"/>
      <c r="J145" s="254"/>
      <c r="K145" s="254"/>
      <c r="L145" s="244"/>
    </row>
    <row r="146" spans="1:12" x14ac:dyDescent="0.2">
      <c r="A146" s="2"/>
      <c r="B146" s="160" t="str">
        <f>"a Partial Year True Up, use the Partial Year TRR Attribution Allocation Factors on Lines "&amp;A82&amp;" to "&amp;A93&amp;" for each month of Partial Year True Up  ."</f>
        <v>a Partial Year True Up, use the Partial Year TRR Attribution Allocation Factors on Lines 69 to 80 for each month of Partial Year True Up  .</v>
      </c>
      <c r="C146" s="254"/>
      <c r="D146" s="254"/>
      <c r="E146" s="254"/>
      <c r="F146" s="254"/>
      <c r="G146" s="254"/>
      <c r="H146" s="254"/>
      <c r="I146" s="254"/>
      <c r="J146" s="254"/>
      <c r="K146" s="254"/>
      <c r="L146" s="244"/>
    </row>
    <row r="147" spans="1:12" x14ac:dyDescent="0.2">
      <c r="A147" s="734"/>
      <c r="B147" s="160" t="str">
        <f>"Only enter in the Prior Year, Lines "&amp;A24&amp;" to "&amp;A35&amp;", or portion of year formula was in effect in case of Partial Year True Up."</f>
        <v>Only enter in the Prior Year, Lines 11 to 22, or portion of year formula was in effect in case of Partial Year True Up.</v>
      </c>
      <c r="C147" s="254"/>
      <c r="D147" s="254"/>
      <c r="E147" s="254"/>
      <c r="F147" s="254"/>
      <c r="G147" s="254"/>
      <c r="H147" s="254"/>
      <c r="I147" s="254"/>
      <c r="J147" s="254"/>
      <c r="K147" s="254"/>
      <c r="L147" s="244"/>
    </row>
    <row r="148" spans="1:12" x14ac:dyDescent="0.2">
      <c r="A148" s="839"/>
      <c r="B148" s="856" t="s">
        <v>2755</v>
      </c>
      <c r="C148" s="254"/>
      <c r="D148" s="254"/>
      <c r="E148" s="254"/>
      <c r="F148" s="254"/>
      <c r="G148" s="254"/>
      <c r="H148" s="254"/>
      <c r="I148" s="254"/>
      <c r="J148" s="254"/>
      <c r="K148" s="254"/>
      <c r="L148" s="244"/>
    </row>
    <row r="149" spans="1:12" x14ac:dyDescent="0.2">
      <c r="A149" s="2"/>
      <c r="B149" s="157" t="s">
        <v>1195</v>
      </c>
      <c r="C149" s="254"/>
      <c r="D149" s="254"/>
      <c r="E149" s="254"/>
      <c r="F149" s="254"/>
      <c r="G149" s="254"/>
      <c r="H149" s="254"/>
      <c r="I149" s="254"/>
      <c r="J149" s="254"/>
      <c r="K149" s="254"/>
      <c r="L149" s="244"/>
    </row>
    <row r="150" spans="1:12" x14ac:dyDescent="0.2">
      <c r="A150" s="2"/>
      <c r="B150" s="160" t="str">
        <f>"as shown on Lines "&amp;A105&amp;" to"&amp;A116&amp;", Column 1."</f>
        <v>as shown on Lines 92 to103, Column 1.</v>
      </c>
      <c r="C150" s="254"/>
      <c r="D150" s="254"/>
      <c r="E150" s="254"/>
      <c r="F150" s="254"/>
      <c r="G150" s="254"/>
      <c r="H150" s="254"/>
      <c r="I150" s="254"/>
      <c r="J150" s="254"/>
      <c r="K150" s="254"/>
      <c r="L150" s="244"/>
    </row>
    <row r="151" spans="1:12" x14ac:dyDescent="0.2">
      <c r="A151" s="2"/>
      <c r="B151" s="157" t="s">
        <v>1196</v>
      </c>
      <c r="C151" s="254"/>
      <c r="D151" s="254"/>
      <c r="E151" s="254"/>
      <c r="F151" s="254"/>
      <c r="G151" s="254"/>
      <c r="H151" s="254"/>
      <c r="I151" s="254"/>
      <c r="J151" s="254"/>
      <c r="K151" s="254"/>
      <c r="L151" s="244"/>
    </row>
    <row r="152" spans="1:12" x14ac:dyDescent="0.2">
      <c r="A152" s="2"/>
      <c r="B152" s="160" t="s">
        <v>1197</v>
      </c>
      <c r="C152" s="254"/>
      <c r="D152" s="254"/>
      <c r="E152" s="254"/>
      <c r="F152" s="254"/>
      <c r="G152" s="254"/>
      <c r="H152" s="254"/>
      <c r="I152" s="254"/>
      <c r="J152" s="254"/>
      <c r="K152" s="254"/>
      <c r="L152" s="244"/>
    </row>
    <row r="153" spans="1:12" x14ac:dyDescent="0.2">
      <c r="A153" s="2"/>
      <c r="B153" s="160" t="s">
        <v>1198</v>
      </c>
      <c r="C153" s="254"/>
      <c r="D153" s="254"/>
      <c r="E153" s="254"/>
      <c r="F153" s="254"/>
      <c r="G153" s="254"/>
      <c r="H153" s="254"/>
      <c r="I153" s="254"/>
      <c r="J153" s="254"/>
      <c r="K153" s="254"/>
      <c r="L153" s="244"/>
    </row>
    <row r="154" spans="1:12" x14ac:dyDescent="0.2">
      <c r="A154" s="2"/>
      <c r="B154" s="856" t="s">
        <v>2500</v>
      </c>
      <c r="C154" s="254"/>
      <c r="D154" s="254"/>
      <c r="E154" s="254"/>
      <c r="F154" s="254"/>
      <c r="G154" s="254"/>
      <c r="H154" s="254"/>
      <c r="I154" s="254"/>
      <c r="J154" s="254"/>
      <c r="K154" s="254"/>
      <c r="L154" s="244"/>
    </row>
    <row r="155" spans="1:12" x14ac:dyDescent="0.2">
      <c r="A155" s="2"/>
      <c r="B155" s="729" t="s">
        <v>2304</v>
      </c>
      <c r="C155" s="254"/>
      <c r="D155" s="254"/>
      <c r="E155" s="254"/>
      <c r="F155" s="254"/>
      <c r="G155" s="254"/>
      <c r="H155" s="254"/>
      <c r="I155" s="254"/>
      <c r="J155" s="254"/>
      <c r="K155" s="254"/>
      <c r="L155" s="244"/>
    </row>
    <row r="156" spans="1:12" x14ac:dyDescent="0.2">
      <c r="A156" s="2"/>
      <c r="B156" s="47" t="s">
        <v>1199</v>
      </c>
      <c r="C156" s="254"/>
      <c r="D156" s="254"/>
      <c r="E156" s="254"/>
      <c r="F156" s="254"/>
      <c r="G156" s="254"/>
      <c r="H156" s="254"/>
      <c r="I156" s="254"/>
      <c r="J156" s="254"/>
      <c r="K156" s="254"/>
      <c r="L156" s="244"/>
    </row>
    <row r="157" spans="1:12" x14ac:dyDescent="0.2">
      <c r="A157" s="2"/>
      <c r="B157" s="406" t="s">
        <v>1200</v>
      </c>
      <c r="C157" s="254"/>
      <c r="D157" s="254"/>
      <c r="E157" s="254"/>
      <c r="F157" s="254"/>
      <c r="G157" s="254"/>
      <c r="H157" s="254"/>
      <c r="I157" s="254"/>
      <c r="J157" s="254"/>
      <c r="K157" s="254"/>
      <c r="L157" s="244"/>
    </row>
    <row r="158" spans="1:12" x14ac:dyDescent="0.2">
      <c r="A158" s="2"/>
      <c r="B158" s="47" t="s">
        <v>1201</v>
      </c>
      <c r="C158" s="254"/>
      <c r="D158" s="254"/>
      <c r="E158" s="254"/>
      <c r="F158" s="254"/>
      <c r="G158" s="254"/>
      <c r="H158" s="254"/>
      <c r="I158" s="254"/>
      <c r="J158" s="254"/>
      <c r="K158" s="254"/>
      <c r="L158" s="244"/>
    </row>
    <row r="159" spans="1:12" x14ac:dyDescent="0.2">
      <c r="A159" s="2"/>
      <c r="B159" s="1062" t="s">
        <v>1202</v>
      </c>
      <c r="C159" s="254"/>
      <c r="D159" s="254"/>
      <c r="E159" s="254"/>
      <c r="F159" s="254"/>
      <c r="G159" s="254"/>
      <c r="H159" s="254"/>
      <c r="I159" s="254"/>
      <c r="J159" s="254"/>
      <c r="K159" s="254"/>
      <c r="L159" s="244"/>
    </row>
    <row r="160" spans="1:12" x14ac:dyDescent="0.2">
      <c r="A160" s="2"/>
      <c r="B160" s="47" t="s">
        <v>1203</v>
      </c>
      <c r="C160" s="254"/>
      <c r="D160" s="254"/>
      <c r="E160" s="254"/>
      <c r="F160" s="254"/>
      <c r="G160" s="254"/>
      <c r="H160" s="254"/>
      <c r="I160" s="254"/>
      <c r="J160" s="254"/>
      <c r="K160" s="254"/>
      <c r="L160" s="244"/>
    </row>
    <row r="161" spans="1:12" x14ac:dyDescent="0.2">
      <c r="A161" s="2"/>
      <c r="B161" s="72" t="s">
        <v>1204</v>
      </c>
      <c r="C161" s="254"/>
      <c r="D161" s="254"/>
      <c r="E161" s="254"/>
      <c r="F161" s="254"/>
      <c r="G161" s="254"/>
      <c r="H161" s="254"/>
      <c r="I161" s="254"/>
      <c r="J161" s="254"/>
      <c r="K161" s="254"/>
      <c r="L161" s="244"/>
    </row>
    <row r="162" spans="1:12" x14ac:dyDescent="0.2">
      <c r="A162" s="2"/>
      <c r="B162" s="621" t="s">
        <v>1482</v>
      </c>
      <c r="C162" s="254"/>
      <c r="D162" s="254"/>
      <c r="E162" s="254"/>
      <c r="F162" s="254"/>
      <c r="G162" s="254"/>
      <c r="H162" s="254"/>
      <c r="I162" s="254"/>
      <c r="J162" s="254"/>
      <c r="K162" s="254"/>
      <c r="L162" s="244"/>
    </row>
    <row r="163" spans="1:12" x14ac:dyDescent="0.2">
      <c r="A163" s="244"/>
      <c r="B163" s="621" t="s">
        <v>2023</v>
      </c>
      <c r="C163" s="254"/>
      <c r="D163" s="254"/>
      <c r="E163" s="254"/>
      <c r="F163" s="254"/>
      <c r="G163" s="254"/>
      <c r="H163" s="254"/>
      <c r="I163" s="254"/>
      <c r="J163" s="254"/>
      <c r="K163" s="254"/>
      <c r="L163" s="244"/>
    </row>
    <row r="164" spans="1:12" x14ac:dyDescent="0.2">
      <c r="A164" s="244"/>
      <c r="B164" s="47" t="s">
        <v>1570</v>
      </c>
      <c r="C164" s="254"/>
      <c r="D164" s="254"/>
      <c r="E164" s="254"/>
      <c r="F164" s="254"/>
      <c r="G164" s="254"/>
      <c r="H164" s="254"/>
      <c r="I164" s="254"/>
      <c r="J164" s="254"/>
      <c r="K164" s="254"/>
      <c r="L164" s="244"/>
    </row>
    <row r="165" spans="1:12" x14ac:dyDescent="0.2">
      <c r="A165" s="244"/>
      <c r="B165" s="47" t="s">
        <v>1568</v>
      </c>
      <c r="C165" s="254"/>
      <c r="D165" s="254"/>
      <c r="E165" s="254"/>
      <c r="F165" s="254"/>
      <c r="G165" s="254"/>
      <c r="H165" s="254"/>
      <c r="I165" s="254"/>
      <c r="J165" s="254"/>
      <c r="K165" s="254"/>
      <c r="L165" s="244"/>
    </row>
    <row r="166" spans="1:12" x14ac:dyDescent="0.2">
      <c r="A166" s="244"/>
      <c r="B166" s="406" t="s">
        <v>600</v>
      </c>
      <c r="C166" s="254"/>
      <c r="D166" s="254"/>
      <c r="E166" s="254"/>
      <c r="F166" s="254"/>
      <c r="G166" s="254"/>
      <c r="H166" s="254"/>
      <c r="I166" s="254"/>
      <c r="J166" s="254"/>
      <c r="K166" s="254"/>
      <c r="L166" s="244"/>
    </row>
    <row r="167" spans="1:12" x14ac:dyDescent="0.2">
      <c r="A167" s="244"/>
      <c r="B167" s="1061" t="s">
        <v>2834</v>
      </c>
      <c r="C167" s="254"/>
      <c r="D167" s="254"/>
      <c r="E167" s="254"/>
      <c r="F167" s="254"/>
      <c r="G167" s="254"/>
      <c r="H167" s="254"/>
      <c r="I167" s="254"/>
      <c r="J167" s="254"/>
      <c r="K167" s="254"/>
      <c r="L167" s="244"/>
    </row>
    <row r="168" spans="1:12" x14ac:dyDescent="0.2">
      <c r="A168" s="244"/>
      <c r="B168" s="1061" t="s">
        <v>2835</v>
      </c>
      <c r="C168" s="254"/>
      <c r="D168" s="254"/>
      <c r="E168" s="254"/>
      <c r="F168" s="254"/>
      <c r="G168" s="254"/>
      <c r="H168" s="254"/>
      <c r="I168" s="254"/>
      <c r="J168" s="254"/>
      <c r="K168" s="254"/>
      <c r="L168" s="244"/>
    </row>
    <row r="169" spans="1:12" x14ac:dyDescent="0.2">
      <c r="A169" s="244"/>
      <c r="B169" s="47" t="s">
        <v>1569</v>
      </c>
      <c r="C169" s="254"/>
      <c r="D169" s="254"/>
      <c r="E169" s="254"/>
      <c r="F169" s="254"/>
      <c r="G169" s="254"/>
      <c r="H169" s="254"/>
      <c r="I169" s="254"/>
      <c r="J169" s="254"/>
      <c r="K169" s="254"/>
      <c r="L169" s="244"/>
    </row>
    <row r="170" spans="1:12" x14ac:dyDescent="0.2">
      <c r="A170" s="244"/>
      <c r="B170" s="1061" t="s">
        <v>3146</v>
      </c>
      <c r="C170" s="254"/>
      <c r="D170" s="254"/>
      <c r="E170" s="254"/>
      <c r="F170" s="254"/>
      <c r="G170" s="254"/>
      <c r="H170" s="254"/>
      <c r="I170" s="254"/>
      <c r="J170" s="254"/>
      <c r="K170" s="254"/>
      <c r="L170" s="244"/>
    </row>
    <row r="171" spans="1:12" x14ac:dyDescent="0.2">
      <c r="A171" s="244"/>
      <c r="B171" s="1061" t="s">
        <v>3145</v>
      </c>
      <c r="C171" s="254"/>
      <c r="D171" s="254"/>
      <c r="E171" s="254"/>
      <c r="F171" s="254"/>
      <c r="G171" s="254"/>
      <c r="H171" s="254"/>
      <c r="I171" s="254"/>
      <c r="J171" s="254"/>
      <c r="K171" s="254"/>
      <c r="L171" s="244"/>
    </row>
    <row r="172" spans="1:12" x14ac:dyDescent="0.2">
      <c r="A172" s="244"/>
      <c r="B172" s="1061" t="s">
        <v>3144</v>
      </c>
      <c r="C172" s="254"/>
      <c r="D172" s="254"/>
      <c r="E172" s="254"/>
      <c r="F172" s="254"/>
      <c r="G172" s="254"/>
      <c r="H172" s="254"/>
      <c r="I172" s="254"/>
      <c r="J172" s="254"/>
      <c r="K172" s="254"/>
      <c r="L172" s="244"/>
    </row>
    <row r="173" spans="1:12" x14ac:dyDescent="0.2">
      <c r="A173" s="244"/>
      <c r="B173" s="406" t="s">
        <v>1074</v>
      </c>
      <c r="C173" s="254"/>
      <c r="D173" s="254"/>
      <c r="E173" s="254"/>
      <c r="F173" s="254"/>
      <c r="G173" s="254"/>
      <c r="H173" s="254"/>
      <c r="I173" s="254"/>
      <c r="J173" s="254"/>
      <c r="K173" s="254"/>
      <c r="L173" s="244"/>
    </row>
    <row r="174" spans="1:12" x14ac:dyDescent="0.2">
      <c r="A174" s="244"/>
      <c r="C174" s="244"/>
      <c r="D174" s="244"/>
      <c r="E174" s="244"/>
      <c r="F174" s="244"/>
      <c r="G174" s="244"/>
      <c r="H174" s="244"/>
      <c r="I174" s="244"/>
      <c r="J174" s="244"/>
      <c r="K174" s="244"/>
      <c r="L174" s="244"/>
    </row>
    <row r="175" spans="1:12" x14ac:dyDescent="0.2">
      <c r="A175" s="244"/>
      <c r="B175" s="244"/>
      <c r="C175" s="244"/>
      <c r="D175" s="244"/>
      <c r="E175" s="244"/>
      <c r="F175" s="244"/>
      <c r="G175" s="244"/>
      <c r="H175" s="244"/>
      <c r="I175" s="244"/>
      <c r="J175" s="244"/>
      <c r="K175" s="244"/>
      <c r="L175" s="244"/>
    </row>
    <row r="176" spans="1:12" x14ac:dyDescent="0.2">
      <c r="A176" s="244"/>
      <c r="B176" s="244"/>
      <c r="C176" s="244"/>
      <c r="D176" s="244"/>
      <c r="E176" s="244"/>
      <c r="F176" s="244"/>
      <c r="G176" s="244"/>
      <c r="H176" s="244"/>
      <c r="I176" s="244"/>
      <c r="J176" s="244"/>
      <c r="K176" s="244"/>
      <c r="L176" s="244"/>
    </row>
    <row r="177" spans="1:12" x14ac:dyDescent="0.2">
      <c r="A177" s="244"/>
      <c r="B177" s="244"/>
      <c r="C177" s="244"/>
      <c r="D177" s="244"/>
      <c r="E177" s="244"/>
      <c r="F177" s="244"/>
      <c r="G177" s="244"/>
      <c r="H177" s="244"/>
      <c r="I177" s="244"/>
      <c r="J177" s="244"/>
      <c r="K177" s="244"/>
      <c r="L177" s="244"/>
    </row>
    <row r="178" spans="1:12" x14ac:dyDescent="0.2">
      <c r="A178" s="244"/>
      <c r="B178" s="244"/>
      <c r="C178" s="244"/>
      <c r="D178" s="244"/>
      <c r="E178" s="244"/>
      <c r="F178" s="244"/>
      <c r="G178" s="244"/>
      <c r="H178" s="244"/>
      <c r="I178" s="244"/>
      <c r="J178" s="244"/>
      <c r="K178" s="244"/>
      <c r="L178" s="244"/>
    </row>
    <row r="179" spans="1:12" x14ac:dyDescent="0.2">
      <c r="A179" s="244"/>
      <c r="B179" s="244"/>
      <c r="C179" s="244"/>
      <c r="D179" s="244"/>
      <c r="E179" s="244"/>
      <c r="F179" s="244"/>
      <c r="G179" s="244"/>
      <c r="H179" s="244"/>
      <c r="I179" s="244"/>
      <c r="J179" s="244"/>
      <c r="K179" s="244"/>
      <c r="L179" s="244"/>
    </row>
    <row r="180" spans="1:12" x14ac:dyDescent="0.2">
      <c r="A180" s="244"/>
      <c r="B180" s="244"/>
      <c r="C180" s="244"/>
      <c r="D180" s="244"/>
      <c r="E180" s="244"/>
      <c r="F180" s="244"/>
      <c r="G180" s="244"/>
      <c r="H180" s="244"/>
      <c r="I180" s="244"/>
      <c r="J180" s="244"/>
      <c r="K180" s="244"/>
      <c r="L180" s="244"/>
    </row>
    <row r="181" spans="1:12" x14ac:dyDescent="0.2">
      <c r="A181" s="244"/>
      <c r="B181" s="244"/>
      <c r="C181" s="244"/>
      <c r="D181" s="244"/>
      <c r="E181" s="244"/>
      <c r="F181" s="244"/>
      <c r="G181" s="244"/>
      <c r="H181" s="244"/>
      <c r="I181" s="244"/>
      <c r="J181" s="244"/>
      <c r="K181" s="244"/>
      <c r="L181" s="244"/>
    </row>
    <row r="182" spans="1:12" x14ac:dyDescent="0.2">
      <c r="A182" s="244"/>
      <c r="B182" s="244"/>
      <c r="C182" s="244"/>
      <c r="D182" s="244"/>
      <c r="E182" s="244"/>
      <c r="F182" s="244"/>
      <c r="G182" s="244"/>
      <c r="H182" s="244"/>
      <c r="I182" s="244"/>
      <c r="J182" s="244"/>
      <c r="K182" s="244"/>
      <c r="L182" s="244"/>
    </row>
    <row r="183" spans="1:12" x14ac:dyDescent="0.2">
      <c r="A183" s="244"/>
      <c r="B183" s="244"/>
      <c r="C183" s="244"/>
      <c r="D183" s="244"/>
      <c r="E183" s="244"/>
      <c r="F183" s="244"/>
      <c r="G183" s="244"/>
      <c r="H183" s="244"/>
      <c r="I183" s="244"/>
      <c r="J183" s="244"/>
      <c r="K183" s="244"/>
      <c r="L183" s="244"/>
    </row>
    <row r="184" spans="1:12" x14ac:dyDescent="0.2">
      <c r="A184" s="244"/>
      <c r="B184" s="244"/>
      <c r="C184" s="244"/>
      <c r="D184" s="244"/>
      <c r="E184" s="244"/>
      <c r="F184" s="244"/>
      <c r="G184" s="244"/>
      <c r="H184" s="244"/>
      <c r="I184" s="244"/>
      <c r="J184" s="244"/>
      <c r="K184" s="244"/>
      <c r="L184" s="244"/>
    </row>
    <row r="185" spans="1:12" x14ac:dyDescent="0.2">
      <c r="A185" s="244"/>
      <c r="B185" s="244"/>
      <c r="C185" s="244"/>
      <c r="D185" s="244"/>
      <c r="E185" s="244"/>
      <c r="F185" s="244"/>
      <c r="G185" s="244"/>
      <c r="H185" s="244"/>
      <c r="I185" s="244"/>
      <c r="J185" s="244"/>
      <c r="K185" s="244"/>
      <c r="L185" s="244"/>
    </row>
    <row r="186" spans="1:12" x14ac:dyDescent="0.2">
      <c r="A186" s="244"/>
      <c r="B186" s="244"/>
      <c r="C186" s="244"/>
      <c r="D186" s="244"/>
      <c r="E186" s="244"/>
      <c r="F186" s="244"/>
      <c r="G186" s="244"/>
      <c r="H186" s="244"/>
      <c r="I186" s="244"/>
      <c r="J186" s="244"/>
      <c r="K186" s="244"/>
      <c r="L186" s="244"/>
    </row>
    <row r="187" spans="1:12" x14ac:dyDescent="0.2">
      <c r="A187" s="244"/>
      <c r="B187" s="244"/>
      <c r="C187" s="244"/>
      <c r="D187" s="244"/>
      <c r="E187" s="244"/>
      <c r="F187" s="244"/>
      <c r="G187" s="244"/>
      <c r="H187" s="244"/>
      <c r="I187" s="244"/>
      <c r="J187" s="244"/>
      <c r="K187" s="244"/>
      <c r="L187" s="244"/>
    </row>
    <row r="188" spans="1:12" x14ac:dyDescent="0.2">
      <c r="A188" s="244"/>
      <c r="B188" s="244"/>
      <c r="C188" s="244"/>
      <c r="D188" s="244"/>
      <c r="E188" s="244"/>
      <c r="F188" s="244"/>
      <c r="G188" s="244"/>
      <c r="H188" s="244"/>
      <c r="I188" s="244"/>
      <c r="J188" s="244"/>
      <c r="K188" s="244"/>
      <c r="L188" s="244"/>
    </row>
    <row r="189" spans="1:12" x14ac:dyDescent="0.2">
      <c r="A189" s="244"/>
      <c r="B189" s="244"/>
      <c r="C189" s="244"/>
      <c r="D189" s="244"/>
      <c r="E189" s="244"/>
      <c r="F189" s="244"/>
      <c r="G189" s="244"/>
      <c r="H189" s="244"/>
      <c r="I189" s="244"/>
      <c r="J189" s="244"/>
      <c r="K189" s="244"/>
      <c r="L189" s="244"/>
    </row>
    <row r="190" spans="1:12" x14ac:dyDescent="0.2">
      <c r="A190" s="244"/>
      <c r="B190" s="244"/>
      <c r="C190" s="244"/>
      <c r="D190" s="244"/>
      <c r="E190" s="244"/>
      <c r="F190" s="244"/>
      <c r="G190" s="244"/>
      <c r="H190" s="244"/>
      <c r="I190" s="244"/>
      <c r="J190" s="244"/>
      <c r="K190" s="244"/>
      <c r="L190" s="244"/>
    </row>
    <row r="191" spans="1:12" x14ac:dyDescent="0.2">
      <c r="A191" s="244"/>
      <c r="B191" s="244"/>
      <c r="C191" s="244"/>
      <c r="D191" s="244"/>
      <c r="E191" s="244"/>
      <c r="F191" s="244"/>
      <c r="G191" s="244"/>
      <c r="H191" s="244"/>
      <c r="I191" s="244"/>
      <c r="J191" s="244"/>
      <c r="K191" s="244"/>
      <c r="L191" s="244"/>
    </row>
    <row r="192" spans="1:12" x14ac:dyDescent="0.2">
      <c r="A192" s="244"/>
      <c r="B192" s="244"/>
      <c r="C192" s="244"/>
      <c r="D192" s="244"/>
      <c r="E192" s="244"/>
      <c r="F192" s="244"/>
      <c r="G192" s="244"/>
      <c r="H192" s="244"/>
      <c r="I192" s="244"/>
      <c r="J192" s="244"/>
      <c r="K192" s="244"/>
      <c r="L192" s="244"/>
    </row>
    <row r="193" spans="1:12" x14ac:dyDescent="0.2">
      <c r="A193" s="244"/>
      <c r="B193" s="244"/>
      <c r="C193" s="244"/>
      <c r="D193" s="244"/>
      <c r="E193" s="244"/>
      <c r="F193" s="244"/>
      <c r="G193" s="244"/>
      <c r="H193" s="244"/>
      <c r="I193" s="244"/>
      <c r="J193" s="244"/>
      <c r="K193" s="244"/>
      <c r="L193" s="244"/>
    </row>
    <row r="194" spans="1:12" x14ac:dyDescent="0.2">
      <c r="A194" s="244"/>
      <c r="B194" s="244"/>
      <c r="C194" s="244"/>
      <c r="D194" s="244"/>
      <c r="E194" s="244"/>
      <c r="F194" s="244"/>
      <c r="G194" s="244"/>
      <c r="H194" s="244"/>
      <c r="I194" s="244"/>
      <c r="J194" s="244"/>
      <c r="K194" s="244"/>
      <c r="L194" s="244"/>
    </row>
    <row r="195" spans="1:12" x14ac:dyDescent="0.2">
      <c r="A195" s="244"/>
      <c r="B195" s="244"/>
      <c r="C195" s="244"/>
      <c r="D195" s="244"/>
      <c r="E195" s="244"/>
      <c r="F195" s="244"/>
      <c r="G195" s="244"/>
      <c r="H195" s="244"/>
      <c r="I195" s="244"/>
      <c r="J195" s="244"/>
      <c r="K195" s="244"/>
      <c r="L195" s="244"/>
    </row>
    <row r="196" spans="1:12" x14ac:dyDescent="0.2">
      <c r="A196" s="244"/>
      <c r="B196" s="244"/>
      <c r="C196" s="244"/>
      <c r="D196" s="244"/>
      <c r="E196" s="244"/>
      <c r="F196" s="244"/>
      <c r="G196" s="244"/>
      <c r="H196" s="244"/>
      <c r="I196" s="244"/>
      <c r="J196" s="244"/>
      <c r="K196" s="244"/>
      <c r="L196" s="244"/>
    </row>
    <row r="197" spans="1:12" x14ac:dyDescent="0.2">
      <c r="A197" s="244"/>
      <c r="B197" s="244"/>
      <c r="C197" s="244"/>
      <c r="D197" s="244"/>
      <c r="E197" s="244"/>
      <c r="F197" s="244"/>
      <c r="G197" s="244"/>
      <c r="H197" s="244"/>
      <c r="I197" s="244"/>
      <c r="J197" s="244"/>
      <c r="K197" s="244"/>
      <c r="L197" s="244"/>
    </row>
    <row r="198" spans="1:12" x14ac:dyDescent="0.2">
      <c r="A198" s="244"/>
      <c r="B198" s="244"/>
      <c r="C198" s="244"/>
      <c r="D198" s="244"/>
      <c r="E198" s="244"/>
      <c r="F198" s="244"/>
      <c r="G198" s="244"/>
      <c r="H198" s="244"/>
      <c r="I198" s="244"/>
      <c r="J198" s="244"/>
      <c r="K198" s="244"/>
      <c r="L198" s="244"/>
    </row>
  </sheetData>
  <pageMargins left="0.7" right="0.7" top="0.75" bottom="0.75" header="0.3" footer="0.3"/>
  <pageSetup scale="75" orientation="landscape" cellComments="asDisplayed" r:id="rId1"/>
  <headerFooter>
    <oddHeader>&amp;CSchedule 3
True Up Adjustment
&amp;"Arial,Bold"Exhibit G-1</oddHeader>
    <oddFooter>&amp;R3-TrueUpAdjust</oddFooter>
  </headerFooter>
  <rowBreaks count="3" manualBreakCount="3">
    <brk id="45" max="16383" man="1"/>
    <brk id="78" max="16383" man="1"/>
    <brk id="12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zoomScale="90" zoomScaleNormal="9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 t="s">
        <v>2456</v>
      </c>
    </row>
    <row r="2" spans="1:10" x14ac:dyDescent="0.2">
      <c r="H2" s="14"/>
    </row>
    <row r="3" spans="1:10" x14ac:dyDescent="0.2">
      <c r="A3" s="14"/>
      <c r="B3" s="1068" t="s">
        <v>1966</v>
      </c>
      <c r="C3" s="14"/>
      <c r="D3" s="14"/>
      <c r="E3" s="14"/>
      <c r="F3" s="14"/>
      <c r="G3" s="14"/>
      <c r="H3" s="14"/>
      <c r="I3" s="14"/>
      <c r="J3" s="14"/>
    </row>
    <row r="4" spans="1:10" x14ac:dyDescent="0.2">
      <c r="A4" s="14"/>
      <c r="B4" s="1068"/>
      <c r="C4" s="14"/>
      <c r="D4" s="14"/>
      <c r="E4" s="14"/>
      <c r="F4" s="117" t="s">
        <v>174</v>
      </c>
      <c r="G4" s="117"/>
      <c r="H4" s="117" t="s">
        <v>199</v>
      </c>
      <c r="I4" s="14"/>
      <c r="J4" s="14"/>
    </row>
    <row r="5" spans="1:10" x14ac:dyDescent="0.2">
      <c r="A5" s="811" t="s">
        <v>362</v>
      </c>
      <c r="B5" s="120"/>
      <c r="C5" s="1067" t="s">
        <v>172</v>
      </c>
      <c r="D5" s="14"/>
      <c r="E5" s="14"/>
      <c r="F5" s="131" t="s">
        <v>173</v>
      </c>
      <c r="G5" s="131" t="s">
        <v>198</v>
      </c>
      <c r="H5" s="131" t="s">
        <v>200</v>
      </c>
      <c r="I5" s="14"/>
      <c r="J5" s="131" t="s">
        <v>205</v>
      </c>
    </row>
    <row r="6" spans="1:10" x14ac:dyDescent="0.2">
      <c r="A6" s="117">
        <v>1</v>
      </c>
      <c r="B6" s="14"/>
      <c r="C6" s="116" t="s">
        <v>1161</v>
      </c>
      <c r="D6" s="14"/>
      <c r="E6" s="14"/>
      <c r="F6" s="14" t="s">
        <v>11</v>
      </c>
      <c r="G6" s="14"/>
      <c r="H6" s="116" t="str">
        <f>"6-PlantInService, Line "&amp;'6-PlantInService'!A42&amp;""</f>
        <v>6-PlantInService, Line 18</v>
      </c>
      <c r="I6" s="14"/>
      <c r="J6" s="65">
        <f>'6-PlantInService'!D42</f>
        <v>3113050886.7701139</v>
      </c>
    </row>
    <row r="7" spans="1:10" x14ac:dyDescent="0.2">
      <c r="A7" s="117">
        <f>A6+1</f>
        <v>2</v>
      </c>
      <c r="B7" s="14"/>
      <c r="C7" s="116" t="s">
        <v>1475</v>
      </c>
      <c r="D7" s="14"/>
      <c r="E7" s="14"/>
      <c r="F7" s="14" t="s">
        <v>175</v>
      </c>
      <c r="G7" s="14"/>
      <c r="H7" s="116" t="str">
        <f>"6-PlantInService, Line "&amp;'6-PlantInService'!A58&amp;""</f>
        <v>6-PlantInService, Line 24</v>
      </c>
      <c r="I7" s="14"/>
      <c r="J7" s="65">
        <f>'6-PlantInService'!F58</f>
        <v>116694571.25580987</v>
      </c>
    </row>
    <row r="8" spans="1:10" x14ac:dyDescent="0.2">
      <c r="A8" s="117">
        <f>A7+1</f>
        <v>3</v>
      </c>
      <c r="B8" s="14"/>
      <c r="C8" s="116" t="s">
        <v>185</v>
      </c>
      <c r="D8" s="14"/>
      <c r="E8" s="14"/>
      <c r="F8" s="14" t="s">
        <v>175</v>
      </c>
      <c r="G8" s="14"/>
      <c r="H8" s="14" t="str">
        <f>"11-PHFU, Line "&amp;'11-PHFU'!A41&amp;""</f>
        <v>11-PHFU, Line 9</v>
      </c>
      <c r="I8" s="14"/>
      <c r="J8" s="65">
        <f>'11-PHFU'!D41</f>
        <v>0</v>
      </c>
    </row>
    <row r="9" spans="1:10" x14ac:dyDescent="0.2">
      <c r="A9" s="117">
        <f>A8+1</f>
        <v>4</v>
      </c>
      <c r="B9" s="14"/>
      <c r="C9" s="116" t="s">
        <v>355</v>
      </c>
      <c r="D9" s="14"/>
      <c r="E9" s="14"/>
      <c r="F9" s="14" t="s">
        <v>175</v>
      </c>
      <c r="G9" s="14"/>
      <c r="H9" s="15" t="str">
        <f>"12-AbandonedPlant Line "&amp;'12-AbandonedPlant'!A21&amp;""</f>
        <v>12-AbandonedPlant Line 4</v>
      </c>
      <c r="I9" s="14"/>
      <c r="J9" s="65">
        <f>'12-AbandonedPlant'!G21</f>
        <v>0</v>
      </c>
    </row>
    <row r="10" spans="1:10" x14ac:dyDescent="0.2">
      <c r="A10" s="117"/>
      <c r="B10" s="14"/>
      <c r="C10" s="116"/>
      <c r="D10" s="14"/>
      <c r="E10" s="14"/>
      <c r="F10" s="14"/>
      <c r="G10" s="14"/>
      <c r="H10" s="14"/>
      <c r="I10" s="14"/>
      <c r="J10" s="65"/>
    </row>
    <row r="11" spans="1:10" x14ac:dyDescent="0.2">
      <c r="A11" s="117"/>
      <c r="B11" s="14"/>
      <c r="C11" s="46" t="s">
        <v>316</v>
      </c>
      <c r="D11" s="14"/>
      <c r="E11" s="14"/>
      <c r="F11" s="14"/>
      <c r="G11" s="14"/>
      <c r="H11" s="14"/>
      <c r="I11" s="14"/>
      <c r="J11" s="65"/>
    </row>
    <row r="12" spans="1:10" x14ac:dyDescent="0.2">
      <c r="A12" s="117">
        <f>A9+1</f>
        <v>5</v>
      </c>
      <c r="B12" s="14"/>
      <c r="C12" s="47" t="s">
        <v>105</v>
      </c>
      <c r="D12" s="14"/>
      <c r="E12" s="14"/>
      <c r="F12" s="14" t="s">
        <v>11</v>
      </c>
      <c r="G12" s="14"/>
      <c r="H12" s="116" t="str">
        <f>"13-WorkCap, Line "&amp;'13-WorkCap'!A27&amp;""</f>
        <v>13-WorkCap, Line 17</v>
      </c>
      <c r="I12" s="14"/>
      <c r="J12" s="65">
        <f>'13-WorkCap'!F27</f>
        <v>12344387.814827686</v>
      </c>
    </row>
    <row r="13" spans="1:10" x14ac:dyDescent="0.2">
      <c r="A13" s="117">
        <f>A12+1</f>
        <v>6</v>
      </c>
      <c r="B13" s="14"/>
      <c r="C13" s="120" t="s">
        <v>106</v>
      </c>
      <c r="D13" s="14"/>
      <c r="E13" s="14"/>
      <c r="F13" s="14" t="s">
        <v>11</v>
      </c>
      <c r="G13" s="14"/>
      <c r="H13" s="116" t="str">
        <f>"13-WorkCap, Line "&amp;'13-WorkCap'!A51&amp;""</f>
        <v>13-WorkCap, Line 33</v>
      </c>
      <c r="I13" s="14"/>
      <c r="J13" s="65">
        <f>'13-WorkCap'!F51</f>
        <v>1726388.4337129684</v>
      </c>
    </row>
    <row r="14" spans="1:10" x14ac:dyDescent="0.2">
      <c r="A14" s="117">
        <f>A13+1</f>
        <v>7</v>
      </c>
      <c r="B14" s="14"/>
      <c r="C14" s="47" t="s">
        <v>202</v>
      </c>
      <c r="D14" s="14"/>
      <c r="E14" s="14"/>
      <c r="F14" s="651" t="s">
        <v>3179</v>
      </c>
      <c r="G14" s="14"/>
      <c r="H14" s="14" t="str">
        <f>"1-Base TRR Line "&amp;'1-BaseTRR'!A17&amp;""</f>
        <v>1-Base TRR Line 7</v>
      </c>
      <c r="I14" s="14"/>
      <c r="J14" s="108">
        <f>'1-BaseTRR'!K17</f>
        <v>8251195.6711942162</v>
      </c>
    </row>
    <row r="15" spans="1:10" x14ac:dyDescent="0.2">
      <c r="A15" s="117">
        <f>A14+1</f>
        <v>8</v>
      </c>
      <c r="B15" s="14"/>
      <c r="C15" s="47" t="s">
        <v>104</v>
      </c>
      <c r="D15" s="14"/>
      <c r="E15" s="14"/>
      <c r="F15" s="14"/>
      <c r="G15" s="14"/>
      <c r="H15" s="14" t="str">
        <f>"Line "&amp;A12&amp;" + Line "&amp;A13&amp;" + Line "&amp;A14&amp;""</f>
        <v>Line 5 + Line 6 + Line 7</v>
      </c>
      <c r="I15" s="14"/>
      <c r="J15" s="65">
        <f>SUM(J12:J14)</f>
        <v>22321971.919734873</v>
      </c>
    </row>
    <row r="16" spans="1:10" x14ac:dyDescent="0.2">
      <c r="A16" s="117"/>
      <c r="B16" s="14"/>
      <c r="C16" s="47"/>
      <c r="D16" s="14"/>
      <c r="E16" s="14"/>
      <c r="F16" s="14"/>
      <c r="G16" s="14"/>
      <c r="H16" s="14"/>
      <c r="I16" s="14"/>
      <c r="J16" s="65"/>
    </row>
    <row r="17" spans="1:10" x14ac:dyDescent="0.2">
      <c r="A17" s="117"/>
      <c r="B17" s="14"/>
      <c r="C17" s="1049" t="s">
        <v>317</v>
      </c>
      <c r="D17" s="14"/>
      <c r="E17" s="14"/>
      <c r="F17" s="14"/>
      <c r="G17" s="14"/>
      <c r="H17" s="14"/>
      <c r="I17" s="14"/>
      <c r="J17" s="65"/>
    </row>
    <row r="18" spans="1:10" x14ac:dyDescent="0.2">
      <c r="A18" s="117">
        <f>A15+1</f>
        <v>9</v>
      </c>
      <c r="B18" s="14"/>
      <c r="C18" s="648" t="s">
        <v>2408</v>
      </c>
      <c r="D18" s="14"/>
      <c r="E18" s="14"/>
      <c r="F18" s="14" t="s">
        <v>11</v>
      </c>
      <c r="G18" s="14" t="s">
        <v>171</v>
      </c>
      <c r="H18" s="116" t="str">
        <f>"8-AccDep, Line "&amp;'8-AccDep'!A25&amp;", Col. 12"</f>
        <v>8-AccDep, Line 14, Col. 12</v>
      </c>
      <c r="I18" s="14"/>
      <c r="J18" s="65">
        <f>-'8-AccDep'!N25</f>
        <v>-957628762.96233928</v>
      </c>
    </row>
    <row r="19" spans="1:10" x14ac:dyDescent="0.2">
      <c r="A19" s="117">
        <f>A18+1</f>
        <v>10</v>
      </c>
      <c r="B19" s="14"/>
      <c r="C19" s="648" t="s">
        <v>2409</v>
      </c>
      <c r="D19" s="14"/>
      <c r="E19" s="14"/>
      <c r="F19" s="14" t="s">
        <v>175</v>
      </c>
      <c r="G19" s="14" t="s">
        <v>171</v>
      </c>
      <c r="H19" s="116" t="str">
        <f>"8-AccDep, Line "&amp;'8-AccDep'!A35&amp;", Col. 5"</f>
        <v>8-AccDep, Line 17, Col. 5</v>
      </c>
      <c r="I19" s="14"/>
      <c r="J19" s="65">
        <f>-'8-AccDep'!G35</f>
        <v>-4301714.9897743994</v>
      </c>
    </row>
    <row r="20" spans="1:10" x14ac:dyDescent="0.2">
      <c r="A20" s="117">
        <f>A19+1</f>
        <v>11</v>
      </c>
      <c r="B20" s="14"/>
      <c r="C20" s="47" t="s">
        <v>350</v>
      </c>
      <c r="D20" s="22"/>
      <c r="E20" s="14"/>
      <c r="F20" s="14" t="s">
        <v>175</v>
      </c>
      <c r="G20" s="14" t="s">
        <v>171</v>
      </c>
      <c r="H20" s="116" t="str">
        <f>"8-AccDep, Line "&amp;'8-AccDep'!A53&amp;""</f>
        <v>8-AccDep, Line 23</v>
      </c>
      <c r="I20" s="14"/>
      <c r="J20" s="108">
        <f>-'8-AccDep'!F53</f>
        <v>-48592064.312632672</v>
      </c>
    </row>
    <row r="21" spans="1:10" x14ac:dyDescent="0.2">
      <c r="A21" s="117">
        <f>A20+1</f>
        <v>12</v>
      </c>
      <c r="B21" s="14"/>
      <c r="C21" s="1050" t="s">
        <v>192</v>
      </c>
      <c r="D21" s="22"/>
      <c r="E21" s="14"/>
      <c r="F21" s="14"/>
      <c r="G21" s="14"/>
      <c r="H21" s="14" t="str">
        <f>"Line "&amp;A18&amp;" + Line "&amp;A19&amp;" + Line "&amp;A20&amp;""</f>
        <v>Line 9 + Line 10 + Line 11</v>
      </c>
      <c r="I21" s="14"/>
      <c r="J21" s="65">
        <f>SUM(J18:J20)</f>
        <v>-1010522542.2647463</v>
      </c>
    </row>
    <row r="22" spans="1:10" x14ac:dyDescent="0.2">
      <c r="A22" s="117"/>
      <c r="B22" s="14"/>
      <c r="C22" s="15"/>
      <c r="D22" s="14"/>
      <c r="E22" s="14"/>
      <c r="F22" s="14"/>
      <c r="G22" s="14"/>
      <c r="H22" s="14"/>
      <c r="I22" s="14"/>
      <c r="J22" s="65"/>
    </row>
    <row r="23" spans="1:10" x14ac:dyDescent="0.2">
      <c r="A23" s="117">
        <f>A21+1</f>
        <v>13</v>
      </c>
      <c r="B23" s="14"/>
      <c r="C23" s="1048" t="s">
        <v>193</v>
      </c>
      <c r="D23" s="14"/>
      <c r="E23" s="14"/>
      <c r="F23" s="14" t="s">
        <v>175</v>
      </c>
      <c r="G23" s="14"/>
      <c r="H23" s="116" t="str">
        <f>"9-ADIT, Line "&amp;'9-ADIT'!A24&amp;""</f>
        <v>9-ADIT, Line 15</v>
      </c>
      <c r="I23" s="14"/>
      <c r="J23" s="65">
        <f>'9-ADIT'!D24</f>
        <v>-391890283.7076602</v>
      </c>
    </row>
    <row r="24" spans="1:10" x14ac:dyDescent="0.2">
      <c r="A24" s="117">
        <f>A23+1</f>
        <v>14</v>
      </c>
      <c r="B24" s="14"/>
      <c r="C24" s="116" t="s">
        <v>277</v>
      </c>
      <c r="D24" s="14"/>
      <c r="E24" s="14"/>
      <c r="F24" s="14" t="s">
        <v>11</v>
      </c>
      <c r="G24" s="14"/>
      <c r="H24" s="116" t="str">
        <f>"14-IncentivePlant, L "&amp;'14-IncentivePlant'!A37&amp;", C2"</f>
        <v>14-IncentivePlant, L 12, C2</v>
      </c>
      <c r="I24" s="14"/>
      <c r="J24" s="65">
        <f>'14-IncentivePlant'!F37</f>
        <v>336108252.85461545</v>
      </c>
    </row>
    <row r="25" spans="1:10" x14ac:dyDescent="0.2">
      <c r="A25" s="117">
        <f>A24+1</f>
        <v>15</v>
      </c>
      <c r="B25" s="14"/>
      <c r="C25" s="1048" t="s">
        <v>66</v>
      </c>
      <c r="D25" s="14"/>
      <c r="E25" s="14"/>
      <c r="F25" s="14" t="s">
        <v>175</v>
      </c>
      <c r="G25" s="14" t="s">
        <v>171</v>
      </c>
      <c r="H25" s="116" t="str">
        <f>"22-NUCs, Line "&amp;'22-NUCs'!A17&amp;""</f>
        <v>22-NUCs, Line 9</v>
      </c>
      <c r="I25" s="14"/>
      <c r="J25" s="65">
        <f>-'22-NUCs'!E17</f>
        <v>-25822023.5</v>
      </c>
    </row>
    <row r="26" spans="1:10" x14ac:dyDescent="0.2">
      <c r="A26" s="117" t="s">
        <v>916</v>
      </c>
      <c r="B26" s="14"/>
      <c r="C26" s="720" t="s">
        <v>3015</v>
      </c>
      <c r="D26" s="14"/>
      <c r="E26" s="14"/>
      <c r="F26" s="14"/>
      <c r="G26" s="14"/>
      <c r="H26" s="15" t="str">
        <f>"34-UnfundedReserves, Line "&amp;'34-UnfundedReserves'!A10&amp;""</f>
        <v>34-UnfundedReserves, Line 7</v>
      </c>
      <c r="I26" s="14"/>
      <c r="J26" s="65">
        <f>'34-UnfundedReserves'!K10</f>
        <v>-8519161.0837768912</v>
      </c>
    </row>
    <row r="27" spans="1:10" x14ac:dyDescent="0.2">
      <c r="A27" s="117">
        <v>16</v>
      </c>
      <c r="B27" s="14"/>
      <c r="C27" s="1048" t="s">
        <v>410</v>
      </c>
      <c r="D27" s="14"/>
      <c r="E27" s="14"/>
      <c r="F27" s="14" t="s">
        <v>175</v>
      </c>
      <c r="G27" s="14"/>
      <c r="H27" s="116" t="str">
        <f>"23-RegAssets, Line "&amp;'23-RegAssets'!A18&amp;""</f>
        <v>23-RegAssets, Line 15</v>
      </c>
      <c r="I27" s="14"/>
      <c r="J27" s="65">
        <f>'23-RegAssets'!E18</f>
        <v>0</v>
      </c>
    </row>
    <row r="28" spans="1:10" x14ac:dyDescent="0.2">
      <c r="A28" s="117"/>
      <c r="B28" s="14"/>
      <c r="C28" s="1048"/>
      <c r="D28" s="14"/>
      <c r="E28" s="14"/>
      <c r="F28" s="14"/>
      <c r="G28" s="14"/>
      <c r="H28" s="14"/>
      <c r="I28" s="14"/>
      <c r="J28" s="14"/>
    </row>
    <row r="29" spans="1:10" x14ac:dyDescent="0.2">
      <c r="A29" s="117">
        <v>17</v>
      </c>
      <c r="B29" s="14"/>
      <c r="C29" s="14" t="s">
        <v>203</v>
      </c>
      <c r="D29" s="14"/>
      <c r="E29" s="14"/>
      <c r="F29" s="14"/>
      <c r="G29" s="14"/>
      <c r="H29" s="14" t="str">
        <f>"L"&amp;A6&amp;"+L"&amp;A7&amp;"+L"&amp;A8&amp;"+L"&amp;A9&amp;"+L"&amp;A15&amp;"+L"&amp;A21&amp;"+"</f>
        <v>L1+L2+L3+L4+L8+L12+</v>
      </c>
      <c r="I29" s="14"/>
      <c r="J29" s="65">
        <f>J6+ J7+J8+J9+J15+J21+J23+J24+J25+J26+J27</f>
        <v>2151421672.2440906</v>
      </c>
    </row>
    <row r="30" spans="1:10" x14ac:dyDescent="0.2">
      <c r="A30" s="117"/>
      <c r="B30" s="14"/>
      <c r="C30" s="14"/>
      <c r="D30" s="14"/>
      <c r="E30" s="14"/>
      <c r="F30" s="14"/>
      <c r="G30" s="14"/>
      <c r="H30" s="14" t="str">
        <f>"L"&amp;A23&amp;"+L"&amp;A24&amp;"+L"&amp;A25&amp;"+L"&amp;A26&amp;"+L"&amp;A27&amp;""</f>
        <v>L13+L14+L15+L15a+L16</v>
      </c>
      <c r="I30" s="14"/>
      <c r="J30" s="65"/>
    </row>
    <row r="31" spans="1:10" x14ac:dyDescent="0.2">
      <c r="A31" s="117"/>
      <c r="B31" s="14"/>
      <c r="C31" s="45" t="s">
        <v>98</v>
      </c>
      <c r="D31" s="14"/>
      <c r="E31" s="14"/>
      <c r="F31" s="14"/>
      <c r="G31" s="14"/>
      <c r="H31" s="14"/>
      <c r="I31" s="14"/>
      <c r="J31" s="65"/>
    </row>
    <row r="32" spans="1:10" x14ac:dyDescent="0.2">
      <c r="A32" s="811" t="s">
        <v>362</v>
      </c>
      <c r="B32" s="14"/>
      <c r="C32" s="45"/>
      <c r="D32" s="14"/>
      <c r="E32" s="14"/>
      <c r="F32" s="14"/>
      <c r="G32" s="14"/>
      <c r="H32" s="14"/>
      <c r="I32" s="14"/>
      <c r="J32" s="65"/>
    </row>
    <row r="33" spans="1:10" x14ac:dyDescent="0.2">
      <c r="A33" s="117">
        <f>A29+1</f>
        <v>18</v>
      </c>
      <c r="B33" s="14"/>
      <c r="C33" s="14" t="s">
        <v>64</v>
      </c>
      <c r="D33" s="14"/>
      <c r="E33" s="14"/>
      <c r="F33" s="14"/>
      <c r="G33" s="651" t="s">
        <v>2783</v>
      </c>
      <c r="H33" s="651" t="str">
        <f>"Instruction 1, Line "&amp;B97&amp;""</f>
        <v>Instruction 1, Line j</v>
      </c>
      <c r="I33" s="14"/>
      <c r="J33" s="479">
        <f>E97</f>
        <v>7.7382952013147724E-2</v>
      </c>
    </row>
    <row r="34" spans="1:10" x14ac:dyDescent="0.2">
      <c r="A34" s="117">
        <f>A33+1</f>
        <v>19</v>
      </c>
      <c r="B34" s="14"/>
      <c r="C34" s="15" t="s">
        <v>65</v>
      </c>
      <c r="D34" s="15"/>
      <c r="E34" s="15"/>
      <c r="F34" s="15"/>
      <c r="G34" s="15"/>
      <c r="H34" s="14" t="str">
        <f>"Line "&amp;A29&amp;" * Line "&amp;A33&amp;""</f>
        <v>Line 17 * Line 18</v>
      </c>
      <c r="I34" s="14"/>
      <c r="J34" s="48">
        <f>J29*J33</f>
        <v>166483360.02331048</v>
      </c>
    </row>
    <row r="35" spans="1:10" x14ac:dyDescent="0.2">
      <c r="A35" s="2"/>
      <c r="B35" s="16"/>
    </row>
    <row r="36" spans="1:10" x14ac:dyDescent="0.2">
      <c r="A36" s="117"/>
      <c r="B36" s="120"/>
      <c r="C36" s="45" t="s">
        <v>99</v>
      </c>
      <c r="D36" s="14"/>
      <c r="E36" s="14"/>
      <c r="F36" s="14"/>
      <c r="G36" s="14"/>
      <c r="H36" s="14"/>
      <c r="I36" s="14"/>
      <c r="J36" s="14"/>
    </row>
    <row r="37" spans="1:10" x14ac:dyDescent="0.2">
      <c r="A37" s="117"/>
      <c r="B37" s="120"/>
      <c r="C37" s="14"/>
      <c r="D37" s="14"/>
      <c r="E37" s="14"/>
      <c r="F37" s="14"/>
      <c r="G37" s="14"/>
      <c r="H37" s="14"/>
      <c r="I37" s="14"/>
      <c r="J37" s="14"/>
    </row>
    <row r="38" spans="1:10" x14ac:dyDescent="0.2">
      <c r="A38" s="117">
        <f>A34+1</f>
        <v>20</v>
      </c>
      <c r="B38" s="14"/>
      <c r="C38" s="651" t="s">
        <v>3180</v>
      </c>
      <c r="D38" s="14"/>
      <c r="E38" s="14"/>
      <c r="F38" s="14"/>
      <c r="G38" s="14"/>
      <c r="H38" s="14"/>
      <c r="I38" s="14"/>
      <c r="J38" s="65">
        <f>(((J29*J42) + J45) *(J43/(1-J43)))+(J44/(1-J43))</f>
        <v>81020039.93784675</v>
      </c>
    </row>
    <row r="39" spans="1:10" x14ac:dyDescent="0.2">
      <c r="A39" s="117"/>
      <c r="B39" s="14"/>
      <c r="C39" s="14"/>
      <c r="D39" s="14"/>
      <c r="E39" s="14"/>
      <c r="F39" s="14"/>
      <c r="G39" s="14"/>
      <c r="H39" s="14"/>
      <c r="I39" s="14"/>
      <c r="J39" s="15"/>
    </row>
    <row r="40" spans="1:10" x14ac:dyDescent="0.2">
      <c r="A40" s="117"/>
      <c r="B40" s="14"/>
      <c r="C40" s="14"/>
      <c r="D40" s="14" t="s">
        <v>251</v>
      </c>
      <c r="E40" s="14"/>
      <c r="F40" s="14"/>
      <c r="G40" s="14"/>
      <c r="H40" s="14"/>
      <c r="I40" s="14"/>
      <c r="J40" s="14"/>
    </row>
    <row r="41" spans="1:10" x14ac:dyDescent="0.2">
      <c r="A41" s="117">
        <f>A38+1</f>
        <v>21</v>
      </c>
      <c r="B41" s="14"/>
      <c r="C41" s="14"/>
      <c r="D41" s="120" t="s">
        <v>252</v>
      </c>
      <c r="E41" s="14"/>
      <c r="F41" s="14"/>
      <c r="G41" s="14"/>
      <c r="H41" s="14" t="str">
        <f>"Line "&amp;A29&amp;""</f>
        <v>Line 17</v>
      </c>
      <c r="I41" s="14"/>
      <c r="J41" s="65">
        <f>J29</f>
        <v>2151421672.2440906</v>
      </c>
    </row>
    <row r="42" spans="1:10" x14ac:dyDescent="0.2">
      <c r="A42" s="117">
        <f>A41+1</f>
        <v>22</v>
      </c>
      <c r="B42" s="14"/>
      <c r="C42" s="14"/>
      <c r="D42" s="648" t="s">
        <v>2520</v>
      </c>
      <c r="E42" s="14"/>
      <c r="F42" s="14"/>
      <c r="G42" s="651" t="s">
        <v>2480</v>
      </c>
      <c r="H42" s="651" t="str">
        <f>"Instruction 1, Line "&amp;B102&amp;""</f>
        <v>Instruction 1, Line k</v>
      </c>
      <c r="I42" s="14"/>
      <c r="J42" s="70">
        <f>E102</f>
        <v>5.173296743140101E-2</v>
      </c>
    </row>
    <row r="43" spans="1:10" x14ac:dyDescent="0.2">
      <c r="A43" s="117">
        <f>A42+1</f>
        <v>23</v>
      </c>
      <c r="B43" s="14"/>
      <c r="C43" s="14"/>
      <c r="D43" s="120" t="s">
        <v>253</v>
      </c>
      <c r="E43" s="14"/>
      <c r="F43" s="14"/>
      <c r="G43" s="14"/>
      <c r="H43" s="14" t="str">
        <f>"1-Base TRR L "&amp;'1-BaseTRR'!A102&amp;""</f>
        <v>1-Base TRR L 58</v>
      </c>
      <c r="I43" s="14"/>
      <c r="J43" s="70">
        <f>'1-BaseTRR'!K102</f>
        <v>0.40741296259622478</v>
      </c>
    </row>
    <row r="44" spans="1:10" x14ac:dyDescent="0.2">
      <c r="A44" s="117">
        <f>A43+1</f>
        <v>24</v>
      </c>
      <c r="B44" s="14"/>
      <c r="C44" s="14"/>
      <c r="D44" s="120" t="s">
        <v>254</v>
      </c>
      <c r="E44" s="14"/>
      <c r="F44" s="14"/>
      <c r="G44" s="14"/>
      <c r="H44" s="14" t="str">
        <f>"1-Base TRR L "&amp;'1-BaseTRR'!A108&amp;""</f>
        <v>1-Base TRR L 62</v>
      </c>
      <c r="I44" s="14"/>
      <c r="J44" s="65">
        <f>'1-BaseTRR'!K108</f>
        <v>2086200</v>
      </c>
    </row>
    <row r="45" spans="1:10" x14ac:dyDescent="0.2">
      <c r="A45" s="117">
        <f>A44+1</f>
        <v>25</v>
      </c>
      <c r="B45" s="14"/>
      <c r="C45" s="14"/>
      <c r="D45" s="120" t="s">
        <v>2516</v>
      </c>
      <c r="E45" s="14"/>
      <c r="F45" s="14"/>
      <c r="G45" s="14"/>
      <c r="H45" s="14" t="str">
        <f>"1-Base TRR L "&amp;'1-BaseTRR'!A112&amp;""</f>
        <v>1-Base TRR L 64</v>
      </c>
      <c r="I45" s="14"/>
      <c r="J45" s="709">
        <f>'1-BaseTRR'!K119</f>
        <v>1424589</v>
      </c>
    </row>
    <row r="46" spans="1:10" x14ac:dyDescent="0.2">
      <c r="A46" s="117"/>
      <c r="B46" s="120"/>
      <c r="C46" s="14"/>
      <c r="D46" s="14"/>
      <c r="E46" s="14"/>
      <c r="F46" s="14"/>
      <c r="G46" s="14"/>
      <c r="H46" s="14"/>
      <c r="I46" s="14"/>
      <c r="J46" s="14"/>
    </row>
    <row r="47" spans="1:10" x14ac:dyDescent="0.2">
      <c r="A47" s="117"/>
      <c r="B47" s="120"/>
      <c r="C47" s="45" t="s">
        <v>1967</v>
      </c>
      <c r="D47" s="14"/>
      <c r="E47" s="14"/>
      <c r="F47" s="14"/>
      <c r="G47" s="14"/>
      <c r="H47" s="14"/>
      <c r="I47" s="14"/>
      <c r="J47" s="14"/>
    </row>
    <row r="48" spans="1:10" x14ac:dyDescent="0.2">
      <c r="A48" s="117">
        <f>A45+1</f>
        <v>26</v>
      </c>
      <c r="B48" s="120"/>
      <c r="C48" s="14" t="s">
        <v>115</v>
      </c>
      <c r="D48" s="14"/>
      <c r="E48" s="14"/>
      <c r="F48" s="14"/>
      <c r="G48" s="14"/>
      <c r="H48" s="14" t="str">
        <f>"1-Base TRR L "&amp;'1-BaseTRR'!A124&amp;""</f>
        <v>1-Base TRR L 65</v>
      </c>
      <c r="I48" s="14"/>
      <c r="J48" s="65">
        <f>'1-BaseTRR'!K124</f>
        <v>95947585.989189789</v>
      </c>
    </row>
    <row r="49" spans="1:10" x14ac:dyDescent="0.2">
      <c r="A49" s="117">
        <f t="shared" ref="A49:A59" si="0">A48+1</f>
        <v>27</v>
      </c>
      <c r="B49" s="120"/>
      <c r="C49" s="15" t="s">
        <v>301</v>
      </c>
      <c r="D49" s="14"/>
      <c r="E49" s="14"/>
      <c r="F49" s="14"/>
      <c r="G49" s="14"/>
      <c r="H49" s="14" t="str">
        <f>"1-Base TRR L "&amp;'1-BaseTRR'!A125&amp;""</f>
        <v>1-Base TRR L 66</v>
      </c>
      <c r="I49" s="14"/>
      <c r="J49" s="65">
        <f>'1-BaseTRR'!K125</f>
        <v>36071544.749917664</v>
      </c>
    </row>
    <row r="50" spans="1:10" x14ac:dyDescent="0.2">
      <c r="A50" s="117">
        <f t="shared" si="0"/>
        <v>28</v>
      </c>
      <c r="B50" s="120"/>
      <c r="C50" s="14" t="s">
        <v>67</v>
      </c>
      <c r="D50" s="14"/>
      <c r="E50" s="14"/>
      <c r="F50" s="14"/>
      <c r="G50" s="14"/>
      <c r="H50" s="14" t="str">
        <f>"1-Base TRR L "&amp;'1-BaseTRR'!A126&amp;""</f>
        <v>1-Base TRR L 67</v>
      </c>
      <c r="I50" s="14"/>
      <c r="J50" s="65">
        <f>'1-BaseTRR'!K126</f>
        <v>1581641</v>
      </c>
    </row>
    <row r="51" spans="1:10" x14ac:dyDescent="0.2">
      <c r="A51" s="117">
        <f t="shared" si="0"/>
        <v>29</v>
      </c>
      <c r="B51" s="120"/>
      <c r="C51" s="15" t="s">
        <v>287</v>
      </c>
      <c r="D51" s="14"/>
      <c r="E51" s="14"/>
      <c r="F51" s="14"/>
      <c r="G51" s="14"/>
      <c r="H51" s="14" t="str">
        <f>"1-Base TRR L "&amp;'1-BaseTRR'!A127&amp;""</f>
        <v>1-Base TRR L 68</v>
      </c>
      <c r="I51" s="14"/>
      <c r="J51" s="65">
        <f>'1-BaseTRR'!K127</f>
        <v>88698940.517104849</v>
      </c>
    </row>
    <row r="52" spans="1:10" x14ac:dyDescent="0.2">
      <c r="A52" s="117">
        <f t="shared" si="0"/>
        <v>30</v>
      </c>
      <c r="B52" s="120"/>
      <c r="C52" s="15" t="s">
        <v>334</v>
      </c>
      <c r="D52" s="14"/>
      <c r="E52" s="14"/>
      <c r="F52" s="14"/>
      <c r="G52" s="14"/>
      <c r="H52" s="14" t="str">
        <f>"1-Base TRR L "&amp;'1-BaseTRR'!A128&amp;""</f>
        <v>1-Base TRR L 69</v>
      </c>
      <c r="I52" s="14"/>
      <c r="J52" s="65">
        <f>'1-BaseTRR'!K128</f>
        <v>0</v>
      </c>
    </row>
    <row r="53" spans="1:10" x14ac:dyDescent="0.2">
      <c r="A53" s="117">
        <f t="shared" si="0"/>
        <v>31</v>
      </c>
      <c r="B53" s="120"/>
      <c r="C53" s="15" t="s">
        <v>91</v>
      </c>
      <c r="D53" s="14"/>
      <c r="E53" s="14"/>
      <c r="F53" s="14"/>
      <c r="G53" s="14"/>
      <c r="H53" s="14" t="str">
        <f>"1-Base TRR L "&amp;'1-BaseTRR'!A129&amp;""</f>
        <v>1-Base TRR L 70</v>
      </c>
      <c r="I53" s="14"/>
      <c r="J53" s="65">
        <f>'1-BaseTRR'!K129</f>
        <v>20753661.302795991</v>
      </c>
    </row>
    <row r="54" spans="1:10" x14ac:dyDescent="0.2">
      <c r="A54" s="117">
        <f t="shared" si="0"/>
        <v>32</v>
      </c>
      <c r="B54" s="120"/>
      <c r="C54" s="14" t="s">
        <v>12</v>
      </c>
      <c r="D54" s="14"/>
      <c r="E54" s="14"/>
      <c r="F54" s="14"/>
      <c r="G54" s="15"/>
      <c r="H54" s="14" t="str">
        <f>"1-Base TRR L "&amp;'1-BaseTRR'!A130&amp;""</f>
        <v>1-Base TRR L 71</v>
      </c>
      <c r="I54" s="14"/>
      <c r="J54" s="65">
        <f>'1-BaseTRR'!K130</f>
        <v>-39482221.858384289</v>
      </c>
    </row>
    <row r="55" spans="1:10" x14ac:dyDescent="0.2">
      <c r="A55" s="117">
        <f t="shared" si="0"/>
        <v>33</v>
      </c>
      <c r="B55" s="120"/>
      <c r="C55" s="14" t="s">
        <v>100</v>
      </c>
      <c r="D55" s="14"/>
      <c r="E55" s="14"/>
      <c r="F55" s="14"/>
      <c r="G55" s="14"/>
      <c r="H55" s="14" t="str">
        <f>"Line "&amp;A34&amp;""</f>
        <v>Line 19</v>
      </c>
      <c r="I55" s="14"/>
      <c r="J55" s="65">
        <f>J34</f>
        <v>166483360.02331048</v>
      </c>
    </row>
    <row r="56" spans="1:10" x14ac:dyDescent="0.2">
      <c r="A56" s="117">
        <f t="shared" si="0"/>
        <v>34</v>
      </c>
      <c r="B56" s="120"/>
      <c r="C56" s="14" t="s">
        <v>6</v>
      </c>
      <c r="D56" s="14"/>
      <c r="E56" s="14"/>
      <c r="F56" s="14"/>
      <c r="G56" s="14"/>
      <c r="H56" s="14" t="str">
        <f>"Line "&amp;A38&amp;""</f>
        <v>Line 20</v>
      </c>
      <c r="I56" s="14"/>
      <c r="J56" s="48">
        <f>J38</f>
        <v>81020039.93784675</v>
      </c>
    </row>
    <row r="57" spans="1:10" x14ac:dyDescent="0.2">
      <c r="A57" s="117">
        <f t="shared" si="0"/>
        <v>35</v>
      </c>
      <c r="B57" s="120"/>
      <c r="C57" s="15" t="s">
        <v>405</v>
      </c>
      <c r="D57" s="14"/>
      <c r="E57" s="14"/>
      <c r="F57" s="14"/>
      <c r="G57" s="14"/>
      <c r="H57" s="14" t="str">
        <f>"1-Base TRR L "&amp;'1-BaseTRR'!A133&amp;""</f>
        <v>1-Base TRR L 74</v>
      </c>
      <c r="I57" s="14"/>
      <c r="J57" s="48">
        <f>'1-BaseTRR'!K133</f>
        <v>0</v>
      </c>
    </row>
    <row r="58" spans="1:10" x14ac:dyDescent="0.2">
      <c r="A58" s="117">
        <f t="shared" si="0"/>
        <v>36</v>
      </c>
      <c r="B58" s="120"/>
      <c r="C58" s="855" t="s">
        <v>2498</v>
      </c>
      <c r="D58" s="1001"/>
      <c r="E58" s="14"/>
      <c r="F58" s="14"/>
      <c r="G58" s="14"/>
      <c r="H58" s="14" t="str">
        <f>"1-Base TRR L "&amp;'1-BaseTRR'!A134&amp;""</f>
        <v>1-Base TRR L 75</v>
      </c>
      <c r="I58" s="14"/>
      <c r="J58" s="108">
        <f>'1-BaseTRR'!K134</f>
        <v>0</v>
      </c>
    </row>
    <row r="59" spans="1:10" x14ac:dyDescent="0.2">
      <c r="A59" s="117">
        <f t="shared" si="0"/>
        <v>37</v>
      </c>
      <c r="B59" s="120"/>
      <c r="C59" s="651" t="s">
        <v>1968</v>
      </c>
      <c r="D59" s="14"/>
      <c r="E59" s="14"/>
      <c r="F59" s="14"/>
      <c r="G59" s="14"/>
      <c r="H59" s="14" t="str">
        <f>"Sum Line "&amp;A48&amp;" to Line "&amp;A58&amp;""</f>
        <v>Sum Line 26 to Line 36</v>
      </c>
      <c r="I59" s="14"/>
      <c r="J59" s="65">
        <f>SUM(J48:J58)</f>
        <v>451074551.66178131</v>
      </c>
    </row>
    <row r="60" spans="1:10" x14ac:dyDescent="0.2">
      <c r="A60" s="117"/>
      <c r="B60" s="120"/>
      <c r="C60" s="14"/>
      <c r="D60" s="14"/>
      <c r="E60" s="14"/>
      <c r="F60" s="14"/>
      <c r="G60" s="14"/>
      <c r="H60" s="14"/>
      <c r="I60" s="14"/>
      <c r="J60" s="65"/>
    </row>
    <row r="61" spans="1:10" ht="12.75" customHeight="1" x14ac:dyDescent="0.2">
      <c r="A61" s="117">
        <f>A59+1</f>
        <v>38</v>
      </c>
      <c r="B61" s="120"/>
      <c r="C61" s="651" t="s">
        <v>1911</v>
      </c>
      <c r="D61" s="14"/>
      <c r="E61" s="14"/>
      <c r="F61" s="14"/>
      <c r="G61" s="14"/>
      <c r="H61" s="14" t="str">
        <f>"15-IncentiveAdder L "&amp;'15-IncentiveAdder'!A59&amp;""</f>
        <v>15-IncentiveAdder L 20</v>
      </c>
      <c r="I61" s="14"/>
      <c r="J61" s="65">
        <f>'15-IncentiveAdder'!G59</f>
        <v>8361612.6916739093</v>
      </c>
    </row>
    <row r="62" spans="1:10" x14ac:dyDescent="0.2">
      <c r="A62" s="117"/>
      <c r="B62" s="120"/>
      <c r="C62" s="15"/>
      <c r="D62" s="14"/>
      <c r="E62" s="14"/>
      <c r="F62" s="14"/>
      <c r="G62" s="14"/>
      <c r="H62" s="14"/>
      <c r="I62" s="14"/>
      <c r="J62" s="65"/>
    </row>
    <row r="63" spans="1:10" x14ac:dyDescent="0.2">
      <c r="A63" s="117">
        <f>A61+1</f>
        <v>39</v>
      </c>
      <c r="B63" s="120"/>
      <c r="C63" s="651" t="s">
        <v>3190</v>
      </c>
      <c r="D63" s="14"/>
      <c r="E63" s="14"/>
      <c r="F63" s="14"/>
      <c r="G63" s="14"/>
      <c r="H63" s="14" t="str">
        <f>"Line "&amp;A59&amp;" + Line "&amp;A61&amp;""</f>
        <v>Line 37 + Line 38</v>
      </c>
      <c r="I63" s="14"/>
      <c r="J63" s="65">
        <f>J59+J61</f>
        <v>459436164.35345525</v>
      </c>
    </row>
    <row r="64" spans="1:10" x14ac:dyDescent="0.2">
      <c r="A64" s="117"/>
      <c r="B64" s="120"/>
      <c r="C64" s="15"/>
      <c r="D64" s="14"/>
      <c r="E64" s="14"/>
      <c r="F64" s="14"/>
      <c r="G64" s="14"/>
      <c r="H64" s="14"/>
      <c r="I64" s="14"/>
      <c r="J64" s="65"/>
    </row>
    <row r="65" spans="1:10" x14ac:dyDescent="0.2">
      <c r="A65" s="117"/>
      <c r="B65" s="438" t="s">
        <v>2512</v>
      </c>
      <c r="C65" s="15"/>
      <c r="D65" s="14"/>
      <c r="E65" s="14"/>
      <c r="F65" s="14"/>
      <c r="G65" s="14"/>
      <c r="H65" s="14"/>
      <c r="I65" s="14"/>
      <c r="J65" s="65"/>
    </row>
    <row r="66" spans="1:10" x14ac:dyDescent="0.2">
      <c r="A66" s="55" t="s">
        <v>362</v>
      </c>
      <c r="B66" s="67"/>
      <c r="G66" s="53" t="s">
        <v>1286</v>
      </c>
    </row>
    <row r="67" spans="1:10" x14ac:dyDescent="0.2">
      <c r="A67" s="117">
        <f>A63+1</f>
        <v>40</v>
      </c>
      <c r="B67" s="1048"/>
      <c r="C67" s="14"/>
      <c r="D67" s="1052" t="s">
        <v>1969</v>
      </c>
      <c r="E67" s="65">
        <f>J63</f>
        <v>459436164.35345525</v>
      </c>
      <c r="F67" s="14"/>
      <c r="G67" s="14" t="str">
        <f>"Line "&amp;A63&amp;""</f>
        <v>Line 39</v>
      </c>
      <c r="H67" s="14"/>
      <c r="I67" s="14"/>
      <c r="J67" s="14"/>
    </row>
    <row r="68" spans="1:10" x14ac:dyDescent="0.2">
      <c r="A68" s="117">
        <f>A67+1</f>
        <v>41</v>
      </c>
      <c r="B68" s="1048"/>
      <c r="C68" s="14"/>
      <c r="D68" s="390" t="s">
        <v>1285</v>
      </c>
      <c r="E68" s="1054">
        <f>'28-FFU'!D22</f>
        <v>9.1388000000000007E-3</v>
      </c>
      <c r="F68" s="14"/>
      <c r="G68" s="14" t="str">
        <f>"28-FFU, L "&amp;'28-FFU'!A22&amp;""</f>
        <v>28-FFU, L 5</v>
      </c>
      <c r="H68" s="14"/>
      <c r="I68" s="14"/>
      <c r="J68" s="14"/>
    </row>
    <row r="69" spans="1:10" x14ac:dyDescent="0.2">
      <c r="A69" s="117">
        <f>A68+1</f>
        <v>42</v>
      </c>
      <c r="B69" s="1048"/>
      <c r="C69" s="14"/>
      <c r="D69" s="82" t="s">
        <v>268</v>
      </c>
      <c r="E69" s="65">
        <f>E67*'28-FFU'!D22</f>
        <v>4198695.2187933568</v>
      </c>
      <c r="F69" s="14"/>
      <c r="G69" s="14" t="str">
        <f>"Line "&amp;A67&amp;" * Line "&amp;A68&amp;""</f>
        <v>Line 40 * Line 41</v>
      </c>
      <c r="H69" s="14"/>
      <c r="I69" s="14"/>
      <c r="J69" s="14"/>
    </row>
    <row r="70" spans="1:10" x14ac:dyDescent="0.2">
      <c r="A70" s="117">
        <f>A69+1</f>
        <v>43</v>
      </c>
      <c r="B70" s="1048"/>
      <c r="C70" s="14"/>
      <c r="D70" s="1052" t="s">
        <v>2513</v>
      </c>
      <c r="E70" s="1054">
        <f>'28-FFU'!E22</f>
        <v>2.4058E-3</v>
      </c>
      <c r="F70" s="14"/>
      <c r="G70" s="14" t="str">
        <f>"28-FFU, L "&amp;'28-FFU'!A22&amp;""</f>
        <v>28-FFU, L 5</v>
      </c>
      <c r="H70" s="14"/>
      <c r="I70" s="14"/>
      <c r="J70" s="14"/>
    </row>
    <row r="71" spans="1:10" x14ac:dyDescent="0.2">
      <c r="A71" s="117">
        <f>A70+1</f>
        <v>44</v>
      </c>
      <c r="B71" s="1048"/>
      <c r="C71" s="14"/>
      <c r="D71" s="1052" t="s">
        <v>1802</v>
      </c>
      <c r="E71" s="65">
        <f>E67*'28-FFU'!E22</f>
        <v>1105311.5242015426</v>
      </c>
      <c r="F71" s="14"/>
      <c r="G71" s="14" t="str">
        <f>"Line "&amp;A69&amp;" * Line "&amp;A70&amp;""</f>
        <v>Line 42 * Line 43</v>
      </c>
      <c r="H71" s="14"/>
      <c r="I71" s="14"/>
      <c r="J71" s="14"/>
    </row>
    <row r="72" spans="1:10" x14ac:dyDescent="0.2">
      <c r="A72" s="117">
        <f>A71+1</f>
        <v>45</v>
      </c>
      <c r="B72" s="1048"/>
      <c r="C72" s="14"/>
      <c r="D72" s="1052" t="s">
        <v>1970</v>
      </c>
      <c r="E72" s="65">
        <f>E67+E69+E71</f>
        <v>464740171.09645015</v>
      </c>
      <c r="F72" s="14"/>
      <c r="G72" s="14" t="str">
        <f>"L "&amp;A67&amp;" + L "&amp;A69&amp;" + L "&amp;A71&amp;""</f>
        <v>L 40 + L 42 + L 44</v>
      </c>
      <c r="H72" s="14"/>
      <c r="I72" s="14"/>
      <c r="J72" s="14"/>
    </row>
    <row r="73" spans="1:10" x14ac:dyDescent="0.2">
      <c r="A73" s="14"/>
      <c r="B73" s="1069" t="s">
        <v>433</v>
      </c>
      <c r="C73" s="14"/>
      <c r="D73" s="82"/>
      <c r="E73" s="65"/>
      <c r="F73" s="14"/>
      <c r="G73" s="14"/>
      <c r="H73" s="877"/>
      <c r="I73" s="14"/>
      <c r="J73" s="14"/>
    </row>
    <row r="74" spans="1:10" x14ac:dyDescent="0.2">
      <c r="A74" s="117"/>
      <c r="B74" s="651" t="s">
        <v>2481</v>
      </c>
      <c r="C74" s="438"/>
      <c r="D74" s="82"/>
      <c r="E74" s="65"/>
      <c r="F74" s="14"/>
      <c r="G74" s="14"/>
      <c r="H74" s="14"/>
      <c r="I74" s="14"/>
      <c r="J74" s="14"/>
    </row>
    <row r="75" spans="1:10" x14ac:dyDescent="0.2">
      <c r="A75" s="117"/>
      <c r="B75" s="651" t="s">
        <v>2482</v>
      </c>
      <c r="C75" s="438"/>
      <c r="D75" s="82"/>
      <c r="E75" s="65"/>
      <c r="F75" s="14"/>
      <c r="G75" s="14"/>
      <c r="H75" s="14"/>
      <c r="I75" s="14"/>
      <c r="J75" s="14"/>
    </row>
    <row r="76" spans="1:10" x14ac:dyDescent="0.2">
      <c r="A76" s="117"/>
      <c r="B76" s="720" t="s">
        <v>2483</v>
      </c>
      <c r="C76" s="15"/>
      <c r="D76" s="82"/>
      <c r="E76" s="65"/>
      <c r="F76" s="14"/>
      <c r="G76" s="14"/>
      <c r="H76" s="14"/>
      <c r="I76" s="14"/>
      <c r="J76" s="14"/>
    </row>
    <row r="77" spans="1:10" x14ac:dyDescent="0.2">
      <c r="A77" s="117"/>
      <c r="B77" s="720" t="s">
        <v>2554</v>
      </c>
      <c r="C77" s="14"/>
      <c r="D77" s="82"/>
      <c r="E77" s="65"/>
      <c r="F77" s="14"/>
      <c r="G77" s="14"/>
      <c r="H77" s="14"/>
      <c r="I77" s="14"/>
      <c r="J77" s="14"/>
    </row>
    <row r="78" spans="1:10" x14ac:dyDescent="0.2">
      <c r="A78" s="117"/>
      <c r="B78" s="14"/>
      <c r="C78" s="14"/>
      <c r="D78" s="14"/>
      <c r="E78" s="14"/>
      <c r="F78" s="14"/>
      <c r="G78" s="14"/>
      <c r="H78" s="14"/>
      <c r="I78" s="14"/>
      <c r="J78" s="14"/>
    </row>
    <row r="79" spans="1:10" x14ac:dyDescent="0.2">
      <c r="A79" s="117"/>
      <c r="B79" s="651" t="s">
        <v>2778</v>
      </c>
      <c r="C79" s="14"/>
      <c r="D79" s="14"/>
      <c r="E79" s="14"/>
      <c r="F79" s="14"/>
      <c r="G79" s="14"/>
      <c r="H79" s="14"/>
      <c r="I79" s="14"/>
      <c r="J79" s="14"/>
    </row>
    <row r="80" spans="1:10" x14ac:dyDescent="0.2">
      <c r="A80" s="117"/>
      <c r="B80" s="651"/>
      <c r="C80" s="651" t="s">
        <v>2784</v>
      </c>
      <c r="D80" s="14"/>
      <c r="E80" s="14"/>
      <c r="F80" s="14"/>
      <c r="G80" s="14"/>
      <c r="H80" s="14"/>
      <c r="I80" s="14"/>
      <c r="J80" s="14"/>
    </row>
    <row r="81" spans="1:12" x14ac:dyDescent="0.2">
      <c r="A81" s="117"/>
      <c r="B81" s="651"/>
      <c r="C81" s="14"/>
      <c r="D81" s="14"/>
      <c r="E81" s="14"/>
      <c r="F81" s="14"/>
      <c r="G81" s="14"/>
      <c r="H81" s="14"/>
      <c r="I81" s="14"/>
      <c r="J81" s="117" t="s">
        <v>2775</v>
      </c>
    </row>
    <row r="82" spans="1:12" x14ac:dyDescent="0.2">
      <c r="A82" s="117"/>
      <c r="B82" s="14"/>
      <c r="C82" s="14"/>
      <c r="D82" s="14"/>
      <c r="E82" s="131" t="s">
        <v>1793</v>
      </c>
      <c r="F82" s="1067" t="s">
        <v>1286</v>
      </c>
      <c r="G82" s="131" t="s">
        <v>269</v>
      </c>
      <c r="H82" s="131" t="s">
        <v>270</v>
      </c>
      <c r="I82" s="14"/>
      <c r="J82" s="131" t="s">
        <v>2774</v>
      </c>
    </row>
    <row r="83" spans="1:12" x14ac:dyDescent="0.2">
      <c r="B83" s="1071" t="s">
        <v>2462</v>
      </c>
      <c r="C83" s="651" t="s">
        <v>2773</v>
      </c>
      <c r="D83" s="14"/>
      <c r="E83" s="81">
        <f>'1-BaseTRR'!K85</f>
        <v>9.8000000000000004E-2</v>
      </c>
      <c r="F83" s="14" t="str">
        <f>"1-Base TRR L "&amp;'1-BaseTRR'!A85&amp;""</f>
        <v>1-Base TRR L 49</v>
      </c>
      <c r="G83" s="874" t="s">
        <v>2771</v>
      </c>
      <c r="H83" s="783" t="s">
        <v>2772</v>
      </c>
      <c r="I83" s="15"/>
      <c r="J83" s="122">
        <v>365</v>
      </c>
      <c r="K83" s="15"/>
      <c r="L83" s="15"/>
    </row>
    <row r="84" spans="1:12" x14ac:dyDescent="0.2">
      <c r="B84" s="1071" t="s">
        <v>2463</v>
      </c>
      <c r="C84" s="651" t="s">
        <v>2801</v>
      </c>
      <c r="D84" s="14"/>
      <c r="E84" s="1195">
        <v>9.8000000000000004E-2</v>
      </c>
      <c r="F84" s="1070" t="s">
        <v>2777</v>
      </c>
      <c r="G84" s="783" t="s">
        <v>30</v>
      </c>
      <c r="H84" s="783" t="s">
        <v>30</v>
      </c>
      <c r="I84" s="15"/>
      <c r="J84" s="122">
        <v>0</v>
      </c>
      <c r="K84" s="15"/>
      <c r="L84" s="15"/>
    </row>
    <row r="85" spans="1:12" x14ac:dyDescent="0.2">
      <c r="B85" s="1071" t="s">
        <v>2464</v>
      </c>
      <c r="C85" s="651"/>
      <c r="D85" s="14"/>
      <c r="E85" s="1072"/>
      <c r="F85" s="1070"/>
      <c r="G85" s="784"/>
      <c r="H85" s="784"/>
      <c r="I85" s="1052" t="s">
        <v>3077</v>
      </c>
      <c r="J85" s="15">
        <f>SUM(J83:J84)</f>
        <v>365</v>
      </c>
      <c r="K85" s="15"/>
      <c r="L85" s="15"/>
    </row>
    <row r="86" spans="1:12" x14ac:dyDescent="0.2">
      <c r="A86" s="14"/>
      <c r="B86" s="1071" t="s">
        <v>2465</v>
      </c>
      <c r="C86" s="651" t="s">
        <v>2786</v>
      </c>
      <c r="D86" s="14"/>
      <c r="E86" s="81">
        <f>((E83*J83) + (E84* J84)) / J85</f>
        <v>9.8000000000000004E-2</v>
      </c>
      <c r="F86" s="651" t="s">
        <v>3078</v>
      </c>
      <c r="G86" s="14"/>
      <c r="H86" s="15"/>
      <c r="I86" s="15"/>
      <c r="J86" s="15"/>
      <c r="K86" s="15"/>
      <c r="L86" s="15"/>
    </row>
    <row r="87" spans="1:12" x14ac:dyDescent="0.2">
      <c r="A87" s="117"/>
      <c r="B87" s="651"/>
      <c r="C87" s="14"/>
      <c r="D87" s="14"/>
      <c r="E87" s="14"/>
      <c r="F87" s="14"/>
      <c r="G87" s="14"/>
      <c r="H87" s="15"/>
      <c r="I87" s="15"/>
      <c r="J87" s="15"/>
      <c r="K87" s="15"/>
      <c r="L87" s="15"/>
    </row>
    <row r="88" spans="1:12" x14ac:dyDescent="0.2">
      <c r="A88" s="117"/>
      <c r="B88" s="651" t="s">
        <v>2776</v>
      </c>
      <c r="C88" s="14"/>
      <c r="D88" s="14"/>
      <c r="E88" s="14"/>
      <c r="F88" s="14"/>
      <c r="G88" s="14"/>
      <c r="H88" s="15"/>
      <c r="I88" s="15"/>
      <c r="J88" s="15"/>
      <c r="K88" s="15"/>
      <c r="L88" s="15"/>
    </row>
    <row r="89" spans="1:12" x14ac:dyDescent="0.2">
      <c r="A89" s="117"/>
      <c r="B89" s="651"/>
      <c r="C89" s="14"/>
      <c r="D89" s="14"/>
      <c r="E89" s="1067" t="s">
        <v>1286</v>
      </c>
      <c r="F89" s="14"/>
      <c r="G89" s="14"/>
      <c r="H89" s="15"/>
      <c r="I89" s="15"/>
      <c r="J89" s="15"/>
      <c r="K89" s="15"/>
      <c r="L89" s="15"/>
    </row>
    <row r="90" spans="1:12" x14ac:dyDescent="0.2">
      <c r="A90" s="14"/>
      <c r="B90" s="1071" t="s">
        <v>2466</v>
      </c>
      <c r="C90" s="651" t="s">
        <v>2803</v>
      </c>
      <c r="D90" s="14"/>
      <c r="E90" s="101" t="s">
        <v>3202</v>
      </c>
      <c r="F90" s="101"/>
      <c r="G90" s="101"/>
      <c r="H90" s="122"/>
      <c r="I90" s="122"/>
      <c r="J90" s="122"/>
      <c r="K90" s="15"/>
      <c r="L90" s="15"/>
    </row>
    <row r="91" spans="1:12" x14ac:dyDescent="0.2">
      <c r="B91" s="1071" t="s">
        <v>2467</v>
      </c>
      <c r="C91" s="651" t="s">
        <v>2802</v>
      </c>
      <c r="D91" s="14"/>
      <c r="E91" s="101" t="s">
        <v>3202</v>
      </c>
      <c r="F91" s="101"/>
      <c r="G91" s="101"/>
      <c r="H91" s="122"/>
      <c r="I91" s="122"/>
      <c r="J91" s="122"/>
      <c r="K91" s="15"/>
      <c r="L91" s="15"/>
    </row>
    <row r="92" spans="1:12" x14ac:dyDescent="0.2">
      <c r="B92" s="14"/>
      <c r="C92" s="651"/>
      <c r="D92" s="14"/>
      <c r="E92" s="784"/>
      <c r="F92" s="14"/>
      <c r="G92" s="14"/>
      <c r="H92" s="14"/>
      <c r="I92" s="15"/>
      <c r="J92" s="15"/>
      <c r="K92" s="15"/>
      <c r="L92" s="15"/>
    </row>
    <row r="93" spans="1:12" x14ac:dyDescent="0.2">
      <c r="B93" s="14"/>
      <c r="C93" s="14"/>
      <c r="D93" s="14"/>
      <c r="E93" s="131" t="s">
        <v>1793</v>
      </c>
      <c r="F93" s="1067" t="s">
        <v>1286</v>
      </c>
      <c r="G93" s="14"/>
      <c r="H93" s="15"/>
      <c r="I93" s="15"/>
      <c r="J93" s="14"/>
    </row>
    <row r="94" spans="1:12" x14ac:dyDescent="0.2">
      <c r="B94" s="1071" t="s">
        <v>2469</v>
      </c>
      <c r="C94" s="651" t="s">
        <v>2787</v>
      </c>
      <c r="D94" s="15"/>
      <c r="E94" s="70">
        <f>'1-BaseTRR'!K88</f>
        <v>2.5649984581746711E-2</v>
      </c>
      <c r="F94" s="14" t="str">
        <f>"1-Base TRR L "&amp;'1-BaseTRR'!A88&amp;""</f>
        <v>1-Base TRR L 50</v>
      </c>
      <c r="G94" s="14"/>
      <c r="H94" s="15"/>
      <c r="I94" s="15"/>
      <c r="J94" s="14"/>
    </row>
    <row r="95" spans="1:12" x14ac:dyDescent="0.2">
      <c r="B95" s="1071" t="s">
        <v>2779</v>
      </c>
      <c r="C95" s="651" t="s">
        <v>2788</v>
      </c>
      <c r="D95" s="14"/>
      <c r="E95" s="70">
        <f>'1-BaseTRR'!K89</f>
        <v>3.2632733079835719E-3</v>
      </c>
      <c r="F95" s="14" t="str">
        <f>"1-Base TRR L "&amp;'1-BaseTRR'!A89&amp;""</f>
        <v>1-Base TRR L 51</v>
      </c>
      <c r="G95" s="14"/>
      <c r="H95" s="15"/>
      <c r="I95" s="15"/>
      <c r="J95" s="14"/>
    </row>
    <row r="96" spans="1:12" x14ac:dyDescent="0.2">
      <c r="B96" s="1071" t="s">
        <v>2780</v>
      </c>
      <c r="C96" s="651" t="s">
        <v>2789</v>
      </c>
      <c r="D96" s="14"/>
      <c r="E96" s="50">
        <f>('1-BaseTRR'!K80) * E86</f>
        <v>4.8469694123417437E-2</v>
      </c>
      <c r="F96" s="14" t="str">
        <f>"1-Base TRR L "&amp;'1-BaseTRR'!A80&amp;" * Line d"</f>
        <v>1-Base TRR L 46 * Line d</v>
      </c>
      <c r="G96" s="15"/>
      <c r="H96" s="15"/>
      <c r="I96" s="14"/>
      <c r="J96" s="14"/>
    </row>
    <row r="97" spans="1:10" x14ac:dyDescent="0.2">
      <c r="A97" s="14"/>
      <c r="B97" s="1071" t="s">
        <v>2781</v>
      </c>
      <c r="C97" s="47" t="s">
        <v>64</v>
      </c>
      <c r="D97" s="14"/>
      <c r="E97" s="49">
        <f>SUM(E94:E96)</f>
        <v>7.7382952013147724E-2</v>
      </c>
      <c r="F97" s="65" t="str">
        <f>"Sum of Lines "&amp;B94&amp;" to "&amp;B96&amp;""</f>
        <v>Sum of Lines g to i</v>
      </c>
      <c r="G97" s="112"/>
      <c r="H97" s="14"/>
      <c r="I97" s="14"/>
      <c r="J97" s="1073"/>
    </row>
    <row r="98" spans="1:10" x14ac:dyDescent="0.2">
      <c r="A98" s="117"/>
      <c r="B98" s="14"/>
      <c r="C98" s="21"/>
      <c r="D98" s="24"/>
      <c r="E98" s="65"/>
      <c r="F98" s="65"/>
      <c r="G98" s="112"/>
      <c r="H98" s="65"/>
      <c r="I98" s="14"/>
      <c r="J98" s="1073"/>
    </row>
    <row r="99" spans="1:10" x14ac:dyDescent="0.2">
      <c r="A99" s="117"/>
      <c r="B99" s="651" t="s">
        <v>2782</v>
      </c>
      <c r="C99" s="14"/>
      <c r="D99" s="14"/>
      <c r="E99" s="14"/>
      <c r="F99" s="14"/>
      <c r="G99" s="14"/>
      <c r="H99" s="14"/>
      <c r="I99" s="14"/>
      <c r="J99" s="14"/>
    </row>
    <row r="100" spans="1:10" x14ac:dyDescent="0.2">
      <c r="A100" s="117"/>
      <c r="B100" s="14"/>
      <c r="C100" s="14"/>
      <c r="D100" s="14"/>
      <c r="E100" s="14"/>
      <c r="F100" s="14"/>
      <c r="G100" s="14"/>
      <c r="H100" s="14"/>
      <c r="I100" s="14"/>
      <c r="J100" s="14"/>
    </row>
    <row r="101" spans="1:10" x14ac:dyDescent="0.2">
      <c r="A101" s="117"/>
      <c r="B101" s="14"/>
      <c r="C101" s="14"/>
      <c r="D101" s="14"/>
      <c r="E101" s="131" t="s">
        <v>1793</v>
      </c>
      <c r="F101" s="1067" t="s">
        <v>1286</v>
      </c>
      <c r="G101" s="14"/>
      <c r="H101" s="14"/>
      <c r="I101" s="14"/>
      <c r="J101" s="14"/>
    </row>
    <row r="102" spans="1:10" x14ac:dyDescent="0.2">
      <c r="A102" s="14"/>
      <c r="B102" s="117" t="s">
        <v>3191</v>
      </c>
      <c r="C102" s="14"/>
      <c r="D102" s="14"/>
      <c r="E102" s="70">
        <f>E95+E96</f>
        <v>5.173296743140101E-2</v>
      </c>
      <c r="F102" s="65" t="str">
        <f>"Sum of Lines "&amp;B95&amp;" to "&amp;B96&amp;""</f>
        <v>Sum of Lines h to i</v>
      </c>
      <c r="G102" s="14"/>
      <c r="H102" s="14"/>
      <c r="I102" s="14"/>
      <c r="J102" s="14"/>
    </row>
    <row r="103" spans="1:10" x14ac:dyDescent="0.2">
      <c r="A103" s="117"/>
      <c r="B103" s="14"/>
      <c r="C103" s="14"/>
      <c r="D103" s="14"/>
      <c r="E103" s="70"/>
      <c r="F103" s="65"/>
      <c r="G103" s="14"/>
      <c r="H103" s="14"/>
      <c r="I103" s="14"/>
      <c r="J103" s="14"/>
    </row>
    <row r="104" spans="1:10" x14ac:dyDescent="0.2">
      <c r="A104" s="117"/>
      <c r="B104" s="720" t="s">
        <v>2756</v>
      </c>
      <c r="C104" s="14"/>
      <c r="D104" s="14"/>
      <c r="E104" s="112"/>
      <c r="F104" s="112"/>
      <c r="G104" s="112"/>
      <c r="H104" s="65"/>
      <c r="I104" s="14"/>
      <c r="J104" s="14"/>
    </row>
    <row r="105" spans="1:10" x14ac:dyDescent="0.2">
      <c r="A105" s="117"/>
      <c r="B105" s="1070" t="s">
        <v>2765</v>
      </c>
      <c r="C105" s="14"/>
      <c r="D105" s="14"/>
      <c r="E105" s="14"/>
      <c r="F105" s="14"/>
      <c r="G105" s="14"/>
      <c r="H105" s="14"/>
      <c r="I105" s="14"/>
      <c r="J105" s="14"/>
    </row>
    <row r="106" spans="1:10" x14ac:dyDescent="0.2">
      <c r="A106" s="2"/>
      <c r="B106" s="1070" t="s">
        <v>2766</v>
      </c>
      <c r="C106" s="14"/>
      <c r="D106" s="117"/>
      <c r="E106" s="117"/>
      <c r="F106" s="117"/>
      <c r="G106" s="117"/>
      <c r="H106" s="117"/>
      <c r="I106" s="14"/>
      <c r="J106" s="14"/>
    </row>
    <row r="107" spans="1:10" x14ac:dyDescent="0.2">
      <c r="A107" s="2"/>
      <c r="B107" s="720" t="s">
        <v>2768</v>
      </c>
      <c r="C107" s="14"/>
      <c r="D107" s="117"/>
      <c r="E107" s="117"/>
      <c r="F107" s="117"/>
      <c r="G107" s="117"/>
      <c r="H107" s="117"/>
      <c r="I107" s="14"/>
      <c r="J107" s="14"/>
    </row>
    <row r="108" spans="1:10" x14ac:dyDescent="0.2">
      <c r="A108" s="2"/>
      <c r="B108" s="14" t="s">
        <v>2767</v>
      </c>
      <c r="C108" s="29"/>
      <c r="D108" s="29"/>
      <c r="E108" s="131"/>
      <c r="F108" s="131"/>
      <c r="G108" s="131"/>
      <c r="H108" s="131"/>
      <c r="I108" s="14"/>
      <c r="J108" s="14"/>
    </row>
    <row r="109" spans="1:10" x14ac:dyDescent="0.2">
      <c r="A109" s="2"/>
      <c r="B109" s="14"/>
      <c r="C109" s="14"/>
      <c r="D109" s="14"/>
    </row>
    <row r="110" spans="1:10" x14ac:dyDescent="0.2">
      <c r="A110" s="2"/>
    </row>
    <row r="111" spans="1:10" x14ac:dyDescent="0.2">
      <c r="A111" s="2"/>
    </row>
    <row r="112" spans="1:10" x14ac:dyDescent="0.2">
      <c r="A112" s="2"/>
      <c r="C112" s="21"/>
      <c r="E112" s="65"/>
      <c r="F112" s="65"/>
      <c r="H112" s="7"/>
      <c r="J112" s="86"/>
    </row>
    <row r="113" spans="1:10" x14ac:dyDescent="0.2">
      <c r="A113" s="2"/>
      <c r="C113" s="21"/>
      <c r="E113" s="65"/>
      <c r="F113" s="65"/>
      <c r="H113" s="7"/>
      <c r="J113" s="86"/>
    </row>
    <row r="114" spans="1:10" x14ac:dyDescent="0.2">
      <c r="A114" s="55"/>
      <c r="C114" s="21"/>
      <c r="E114" s="65"/>
      <c r="F114" s="65"/>
      <c r="H114" s="7"/>
      <c r="J114" s="86"/>
    </row>
    <row r="115" spans="1:10" x14ac:dyDescent="0.2">
      <c r="A115" s="2"/>
      <c r="D115" s="34"/>
      <c r="E115" s="65"/>
      <c r="F115" s="65"/>
      <c r="G115" s="12"/>
      <c r="H115" s="7"/>
      <c r="J115" s="86"/>
    </row>
    <row r="116" spans="1:10" x14ac:dyDescent="0.2">
      <c r="A116" s="2"/>
      <c r="C116" s="21"/>
      <c r="D116" s="98"/>
      <c r="E116" s="95"/>
      <c r="F116" s="7"/>
      <c r="G116" s="12"/>
      <c r="H116" s="7"/>
      <c r="J116" s="86"/>
    </row>
    <row r="117" spans="1:10" x14ac:dyDescent="0.2">
      <c r="A117" s="2"/>
      <c r="C117" s="21"/>
      <c r="D117" s="98"/>
      <c r="E117" s="7"/>
      <c r="F117" s="7"/>
      <c r="G117" s="12"/>
      <c r="H117" s="7"/>
      <c r="J117" s="86"/>
    </row>
    <row r="118" spans="1:10" x14ac:dyDescent="0.2">
      <c r="A118" s="2"/>
    </row>
    <row r="119" spans="1:10" x14ac:dyDescent="0.2">
      <c r="A119" s="2"/>
      <c r="B119" s="1"/>
    </row>
    <row r="120" spans="1:10" x14ac:dyDescent="0.2">
      <c r="A120" s="2"/>
    </row>
    <row r="121" spans="1:10" x14ac:dyDescent="0.2">
      <c r="A121" s="2"/>
    </row>
    <row r="122" spans="1:10" x14ac:dyDescent="0.2">
      <c r="A122" s="2"/>
      <c r="F122" s="2"/>
    </row>
    <row r="123" spans="1:10" x14ac:dyDescent="0.2">
      <c r="A123" s="2"/>
      <c r="F123" s="2"/>
    </row>
    <row r="124" spans="1:10" x14ac:dyDescent="0.2">
      <c r="A124" s="2"/>
      <c r="D124" s="2"/>
      <c r="E124" s="2"/>
      <c r="F124" s="2"/>
      <c r="H124" s="2"/>
    </row>
    <row r="125" spans="1:10" x14ac:dyDescent="0.2">
      <c r="A125" s="2"/>
      <c r="D125" s="2"/>
      <c r="E125" s="2"/>
      <c r="F125" s="2"/>
      <c r="G125" s="2"/>
      <c r="H125" s="4"/>
    </row>
    <row r="126" spans="1:10" x14ac:dyDescent="0.2">
      <c r="A126" s="55"/>
      <c r="C126" s="25"/>
      <c r="D126" s="25"/>
      <c r="E126" s="3"/>
      <c r="F126" s="88"/>
      <c r="G126" s="3"/>
      <c r="H126" s="4"/>
    </row>
    <row r="127" spans="1:10" x14ac:dyDescent="0.2">
      <c r="A127" s="2"/>
      <c r="C127" s="20"/>
      <c r="D127" s="24"/>
      <c r="E127" s="65"/>
      <c r="F127" s="65"/>
      <c r="G127" s="81"/>
      <c r="H127" s="7"/>
    </row>
    <row r="128" spans="1:10" x14ac:dyDescent="0.2">
      <c r="A128" s="2"/>
      <c r="C128" s="21"/>
      <c r="D128" s="24"/>
      <c r="E128" s="65"/>
      <c r="F128" s="65"/>
      <c r="G128" s="81"/>
      <c r="H128" s="7"/>
    </row>
    <row r="129" spans="1:8" x14ac:dyDescent="0.2">
      <c r="A129" s="2"/>
      <c r="C129" s="21"/>
      <c r="D129" s="24"/>
      <c r="E129" s="65"/>
      <c r="F129" s="65"/>
      <c r="G129" s="81"/>
      <c r="H129" s="7"/>
    </row>
    <row r="130" spans="1:8" x14ac:dyDescent="0.2">
      <c r="A130" s="2"/>
      <c r="C130" s="20"/>
      <c r="D130" s="24"/>
      <c r="E130" s="65"/>
      <c r="F130" s="65"/>
      <c r="G130" s="81"/>
      <c r="H130" s="7"/>
    </row>
    <row r="131" spans="1:8" x14ac:dyDescent="0.2">
      <c r="A131" s="2"/>
      <c r="C131" s="21"/>
      <c r="D131" s="24"/>
      <c r="E131" s="65"/>
      <c r="F131" s="65"/>
      <c r="G131" s="81"/>
      <c r="H131" s="7"/>
    </row>
    <row r="132" spans="1:8" x14ac:dyDescent="0.2">
      <c r="A132" s="2"/>
      <c r="C132" s="21"/>
      <c r="D132" s="24"/>
      <c r="E132" s="65"/>
      <c r="F132" s="65"/>
      <c r="G132" s="81"/>
      <c r="H132" s="7"/>
    </row>
    <row r="133" spans="1:8" x14ac:dyDescent="0.2">
      <c r="A133" s="2"/>
      <c r="C133" s="20"/>
      <c r="D133" s="24"/>
      <c r="E133" s="65"/>
      <c r="F133" s="65"/>
      <c r="G133" s="81"/>
      <c r="H133" s="7"/>
    </row>
    <row r="134" spans="1:8" x14ac:dyDescent="0.2">
      <c r="A134" s="2"/>
      <c r="C134" s="21"/>
      <c r="D134" s="24"/>
      <c r="E134" s="65"/>
      <c r="F134" s="65"/>
      <c r="G134" s="81"/>
      <c r="H134" s="7"/>
    </row>
    <row r="135" spans="1:8" x14ac:dyDescent="0.2">
      <c r="A135" s="2"/>
      <c r="C135" s="21"/>
      <c r="D135" s="24"/>
      <c r="E135" s="65"/>
      <c r="F135" s="65"/>
      <c r="G135" s="81"/>
      <c r="H135" s="7"/>
    </row>
    <row r="136" spans="1:8" x14ac:dyDescent="0.2">
      <c r="A136" s="2"/>
      <c r="C136" s="20"/>
      <c r="D136" s="24"/>
      <c r="E136" s="65"/>
      <c r="F136" s="65"/>
      <c r="G136" s="81"/>
      <c r="H136" s="7"/>
    </row>
    <row r="137" spans="1:8" x14ac:dyDescent="0.2">
      <c r="A137" s="2"/>
      <c r="C137" s="20"/>
      <c r="D137" s="24"/>
      <c r="E137" s="65"/>
      <c r="F137" s="65"/>
      <c r="G137" s="81"/>
      <c r="H137" s="7"/>
    </row>
    <row r="138" spans="1:8" x14ac:dyDescent="0.2">
      <c r="A138" s="2"/>
      <c r="C138" s="21"/>
      <c r="D138" s="24"/>
      <c r="E138" s="65"/>
      <c r="F138" s="65"/>
      <c r="G138" s="81"/>
      <c r="H138" s="59"/>
    </row>
    <row r="139" spans="1:8" x14ac:dyDescent="0.2">
      <c r="A139" s="2"/>
      <c r="E139" s="14"/>
      <c r="F139" s="14"/>
      <c r="G139" s="14"/>
      <c r="H139" s="7"/>
    </row>
    <row r="140" spans="1:8" x14ac:dyDescent="0.2">
      <c r="A140" s="2"/>
      <c r="C140" s="21"/>
      <c r="D140" s="24"/>
      <c r="E140" s="14"/>
      <c r="F140" s="154"/>
      <c r="G140" s="81"/>
      <c r="H140" s="74"/>
    </row>
    <row r="141" spans="1:8" x14ac:dyDescent="0.2">
      <c r="A141" s="2"/>
      <c r="B141" s="1"/>
      <c r="C141" s="21"/>
      <c r="D141" s="24"/>
      <c r="E141" s="14"/>
      <c r="F141" s="154"/>
      <c r="G141" s="81"/>
      <c r="H141" s="74"/>
    </row>
    <row r="142" spans="1:8" x14ac:dyDescent="0.2">
      <c r="A142" s="55"/>
      <c r="B142" s="1"/>
      <c r="C142" s="21"/>
      <c r="D142" s="24"/>
      <c r="E142" s="14"/>
      <c r="F142" s="154"/>
      <c r="G142" s="81"/>
      <c r="H142" s="74"/>
    </row>
    <row r="143" spans="1:8" x14ac:dyDescent="0.2">
      <c r="A143" s="2"/>
      <c r="C143" s="21"/>
      <c r="D143" s="89"/>
      <c r="E143" s="65"/>
      <c r="F143" s="155"/>
      <c r="G143" s="81"/>
      <c r="H143" s="74"/>
    </row>
    <row r="144" spans="1:8" x14ac:dyDescent="0.2">
      <c r="A144" s="2"/>
      <c r="C144" s="21"/>
      <c r="D144" s="37"/>
      <c r="E144" s="65"/>
      <c r="F144" s="155"/>
      <c r="G144" s="81"/>
      <c r="H144" s="74"/>
    </row>
    <row r="145" spans="1:10" x14ac:dyDescent="0.2">
      <c r="A145" s="2"/>
      <c r="C145" s="21"/>
      <c r="D145" s="37"/>
      <c r="E145" s="59"/>
      <c r="F145" s="124"/>
      <c r="G145" s="81"/>
      <c r="H145" s="74"/>
    </row>
    <row r="146" spans="1:10" x14ac:dyDescent="0.2">
      <c r="A146" s="2"/>
      <c r="C146" s="21"/>
      <c r="D146" s="89"/>
      <c r="E146" s="7"/>
      <c r="F146" s="74"/>
      <c r="G146" s="81"/>
      <c r="H146" s="74"/>
    </row>
    <row r="147" spans="1:10" x14ac:dyDescent="0.2">
      <c r="A147" s="2"/>
      <c r="C147" s="21"/>
      <c r="D147" s="24"/>
      <c r="F147" s="74"/>
      <c r="G147" s="81"/>
      <c r="H147" s="74"/>
    </row>
    <row r="148" spans="1:10" x14ac:dyDescent="0.2">
      <c r="A148" s="2"/>
    </row>
    <row r="149" spans="1:10" x14ac:dyDescent="0.2">
      <c r="A149" s="2"/>
    </row>
    <row r="150" spans="1:10" x14ac:dyDescent="0.2">
      <c r="A150" s="2"/>
    </row>
    <row r="151" spans="1:10" x14ac:dyDescent="0.2">
      <c r="A151" s="2"/>
      <c r="B151" s="1"/>
    </row>
    <row r="152" spans="1:10" x14ac:dyDescent="0.2">
      <c r="A152" s="2"/>
      <c r="B152" s="12"/>
    </row>
    <row r="153" spans="1:10" x14ac:dyDescent="0.2">
      <c r="A153" s="2"/>
      <c r="B153" s="12"/>
    </row>
    <row r="154" spans="1:10" x14ac:dyDescent="0.2">
      <c r="A154" s="2"/>
      <c r="B154" s="12"/>
    </row>
    <row r="155" spans="1:10" x14ac:dyDescent="0.2">
      <c r="A155" s="2"/>
    </row>
    <row r="156" spans="1:10" x14ac:dyDescent="0.2">
      <c r="A156" s="2"/>
      <c r="B156" s="1"/>
    </row>
    <row r="157" spans="1:10" x14ac:dyDescent="0.2">
      <c r="A157" s="2"/>
    </row>
    <row r="158" spans="1:10" x14ac:dyDescent="0.2">
      <c r="A158" s="55"/>
      <c r="C158" s="25"/>
      <c r="D158" s="3"/>
      <c r="G158" s="14"/>
      <c r="H158" s="14"/>
      <c r="I158" s="14"/>
      <c r="J158" s="14"/>
    </row>
    <row r="159" spans="1:10" x14ac:dyDescent="0.2">
      <c r="A159" s="2"/>
      <c r="C159" s="20"/>
      <c r="D159" s="152"/>
      <c r="F159" s="8"/>
      <c r="G159" s="14"/>
      <c r="H159" s="14"/>
      <c r="I159" s="14"/>
      <c r="J159" s="14"/>
    </row>
    <row r="160" spans="1:10" x14ac:dyDescent="0.2">
      <c r="A160" s="2"/>
      <c r="C160" s="21"/>
      <c r="D160" s="152"/>
      <c r="F160" s="8"/>
      <c r="G160" s="14"/>
      <c r="H160" s="14"/>
      <c r="I160" s="14"/>
      <c r="J160" s="14"/>
    </row>
    <row r="161" spans="1:10" x14ac:dyDescent="0.2">
      <c r="A161" s="2"/>
      <c r="C161" s="21"/>
      <c r="D161" s="152"/>
      <c r="F161" s="8"/>
      <c r="G161" s="14"/>
      <c r="H161" s="14"/>
      <c r="I161" s="14"/>
      <c r="J161" s="14"/>
    </row>
    <row r="162" spans="1:10" x14ac:dyDescent="0.2">
      <c r="A162" s="2"/>
      <c r="C162" s="20"/>
      <c r="D162" s="152"/>
      <c r="F162" s="8"/>
      <c r="G162" s="14"/>
      <c r="H162" s="14"/>
      <c r="I162" s="14"/>
      <c r="J162" s="14"/>
    </row>
    <row r="163" spans="1:10" x14ac:dyDescent="0.2">
      <c r="A163" s="2"/>
      <c r="C163" s="21"/>
      <c r="D163" s="152"/>
      <c r="F163" s="8"/>
      <c r="G163" s="14"/>
      <c r="H163" s="14"/>
      <c r="I163" s="14"/>
      <c r="J163" s="14"/>
    </row>
    <row r="164" spans="1:10" x14ac:dyDescent="0.2">
      <c r="A164" s="2"/>
      <c r="C164" s="21"/>
      <c r="D164" s="152"/>
      <c r="F164" s="8"/>
      <c r="G164" s="14"/>
      <c r="H164" s="14"/>
      <c r="I164" s="14"/>
      <c r="J164" s="14"/>
    </row>
    <row r="165" spans="1:10" x14ac:dyDescent="0.2">
      <c r="A165" s="2"/>
      <c r="C165" s="20"/>
      <c r="D165" s="152"/>
      <c r="F165" s="8"/>
      <c r="G165" s="14"/>
      <c r="H165" s="14"/>
      <c r="I165" s="14"/>
      <c r="J165" s="14"/>
    </row>
    <row r="166" spans="1:10" x14ac:dyDescent="0.2">
      <c r="A166" s="2"/>
      <c r="C166" s="21"/>
      <c r="D166" s="152"/>
      <c r="F166" s="8"/>
      <c r="G166" s="14"/>
      <c r="H166" s="14"/>
      <c r="I166" s="14"/>
      <c r="J166" s="14"/>
    </row>
    <row r="167" spans="1:10" x14ac:dyDescent="0.2">
      <c r="A167" s="2"/>
      <c r="C167" s="21"/>
      <c r="D167" s="152"/>
      <c r="F167" s="8"/>
      <c r="G167" s="14"/>
      <c r="H167" s="14"/>
      <c r="I167" s="14"/>
      <c r="J167" s="14"/>
    </row>
    <row r="168" spans="1:10" x14ac:dyDescent="0.2">
      <c r="A168" s="2"/>
      <c r="C168" s="20"/>
      <c r="D168" s="152"/>
      <c r="F168" s="8"/>
      <c r="G168" s="14"/>
      <c r="H168" s="14"/>
      <c r="I168" s="14"/>
      <c r="J168" s="14"/>
    </row>
    <row r="169" spans="1:10" x14ac:dyDescent="0.2">
      <c r="A169" s="2"/>
      <c r="C169" s="20"/>
      <c r="D169" s="152"/>
      <c r="F169" s="8"/>
    </row>
    <row r="170" spans="1:10" x14ac:dyDescent="0.2">
      <c r="A170" s="2"/>
      <c r="C170" s="21"/>
      <c r="D170" s="153"/>
      <c r="F170" s="85"/>
    </row>
    <row r="171" spans="1:10" x14ac:dyDescent="0.2">
      <c r="A171" s="2"/>
      <c r="C171" s="34"/>
      <c r="D171" s="152"/>
    </row>
  </sheetData>
  <phoneticPr fontId="10" type="noConversion"/>
  <pageMargins left="0.75" right="0.75" top="1" bottom="1" header="0.5" footer="0.5"/>
  <pageSetup scale="80" orientation="landscape" cellComments="asDisplayed" r:id="rId1"/>
  <headerFooter alignWithMargins="0">
    <oddHeader>&amp;CSchedule 4
True Up TRR
&amp;"Arial,Bold"Exhibit G-1</oddHeader>
    <oddFooter>&amp;R&amp;A</oddFooter>
  </headerFooter>
  <rowBreaks count="4" manualBreakCount="4">
    <brk id="46" max="9" man="1"/>
    <brk id="72" max="16383" man="1"/>
    <brk id="118" max="9" man="1"/>
    <brk id="15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1"/>
  <sheetViews>
    <sheetView zoomScale="80" zoomScaleNormal="80" workbookViewId="0">
      <selection activeCell="H21" sqref="H21"/>
    </sheetView>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4" customWidth="1"/>
    <col min="15" max="28" width="14.7109375" style="14" customWidth="1"/>
  </cols>
  <sheetData>
    <row r="1" spans="1:28" x14ac:dyDescent="0.2">
      <c r="A1" s="1" t="s">
        <v>25</v>
      </c>
      <c r="J1" s="101" t="s">
        <v>344</v>
      </c>
      <c r="K1" s="14"/>
      <c r="L1" s="14"/>
    </row>
    <row r="2" spans="1:28" x14ac:dyDescent="0.2">
      <c r="B2" s="1"/>
      <c r="I2" s="801"/>
      <c r="J2" s="801" t="s">
        <v>199</v>
      </c>
      <c r="L2" s="268">
        <v>2010</v>
      </c>
    </row>
    <row r="3" spans="1:28" x14ac:dyDescent="0.2">
      <c r="I3" s="3" t="s">
        <v>198</v>
      </c>
      <c r="J3" s="3" t="s">
        <v>200</v>
      </c>
      <c r="L3" s="3" t="s">
        <v>201</v>
      </c>
    </row>
    <row r="5" spans="1:28" x14ac:dyDescent="0.2">
      <c r="A5" s="10" t="s">
        <v>207</v>
      </c>
      <c r="B5" s="127"/>
      <c r="C5" s="11"/>
      <c r="D5" s="11"/>
      <c r="E5" s="11"/>
      <c r="F5" s="11"/>
      <c r="G5" s="11"/>
      <c r="H5" s="11"/>
      <c r="I5" s="9"/>
      <c r="J5" s="9"/>
      <c r="K5" s="9"/>
      <c r="L5" s="9"/>
      <c r="N5" s="809"/>
      <c r="O5" s="810"/>
      <c r="P5" s="810"/>
      <c r="Q5" s="810"/>
      <c r="R5" s="810"/>
      <c r="S5" s="810"/>
      <c r="T5" s="810"/>
    </row>
    <row r="6" spans="1:28" x14ac:dyDescent="0.2">
      <c r="A6" s="14"/>
      <c r="B6" s="45"/>
      <c r="C6" s="651"/>
      <c r="D6" s="651"/>
      <c r="E6" s="651"/>
      <c r="F6" s="651"/>
      <c r="G6" s="651"/>
      <c r="H6" s="651"/>
      <c r="I6" s="651"/>
      <c r="J6" s="651"/>
      <c r="K6" s="651"/>
      <c r="L6" s="651"/>
      <c r="O6" s="385"/>
      <c r="P6" s="385"/>
      <c r="Q6" s="385"/>
      <c r="R6" s="385"/>
      <c r="S6" s="385"/>
      <c r="T6" s="385"/>
      <c r="U6" s="385"/>
      <c r="V6" s="385"/>
      <c r="W6" s="385"/>
      <c r="X6" s="385"/>
      <c r="Y6" s="385"/>
      <c r="Z6" s="385"/>
      <c r="AA6" s="385"/>
      <c r="AB6" s="385"/>
    </row>
    <row r="7" spans="1:28" x14ac:dyDescent="0.2">
      <c r="A7" s="811" t="s">
        <v>362</v>
      </c>
      <c r="B7" s="45"/>
      <c r="C7" s="46" t="s">
        <v>305</v>
      </c>
      <c r="D7" s="651"/>
      <c r="E7" s="651"/>
      <c r="F7" s="651"/>
      <c r="G7" s="651"/>
      <c r="H7" s="651"/>
      <c r="I7" s="651"/>
      <c r="J7" s="651"/>
      <c r="K7" s="651"/>
      <c r="L7" s="651"/>
      <c r="N7" s="811"/>
      <c r="O7" s="82"/>
      <c r="P7" s="812"/>
      <c r="Q7" s="784"/>
      <c r="R7" s="784"/>
      <c r="S7" s="784"/>
      <c r="T7" s="784"/>
      <c r="U7" s="784"/>
      <c r="V7" s="784"/>
      <c r="W7" s="784"/>
      <c r="X7" s="784"/>
      <c r="Y7" s="784"/>
      <c r="Z7" s="784"/>
      <c r="AA7" s="784"/>
      <c r="AB7" s="784"/>
    </row>
    <row r="8" spans="1:28" x14ac:dyDescent="0.2">
      <c r="A8" s="117">
        <v>1</v>
      </c>
      <c r="B8" s="45"/>
      <c r="C8" s="651" t="s">
        <v>236</v>
      </c>
      <c r="D8" s="651"/>
      <c r="E8" s="651"/>
      <c r="F8" s="651"/>
      <c r="G8" s="651"/>
      <c r="H8" s="651"/>
      <c r="I8" s="651" t="s">
        <v>2311</v>
      </c>
      <c r="J8" s="648" t="str">
        <f>"5-ROR-2, Line "&amp;'5-ROR-2'!A8&amp;""</f>
        <v>5-ROR-2, Line 1</v>
      </c>
      <c r="K8" s="651"/>
      <c r="L8" s="709">
        <f>'5-ROR-2'!C8</f>
        <v>7015906538.4615383</v>
      </c>
      <c r="N8" s="117"/>
      <c r="O8" s="709"/>
      <c r="P8" s="709"/>
      <c r="Q8" s="709"/>
      <c r="R8" s="709"/>
      <c r="S8" s="709"/>
      <c r="T8" s="709"/>
      <c r="U8" s="709"/>
      <c r="V8" s="709"/>
      <c r="W8" s="709"/>
      <c r="X8" s="709"/>
      <c r="Y8" s="709"/>
      <c r="Z8" s="709"/>
      <c r="AA8" s="709"/>
      <c r="AB8" s="709"/>
    </row>
    <row r="9" spans="1:28" x14ac:dyDescent="0.2">
      <c r="A9" s="117">
        <f>A8+1</f>
        <v>2</v>
      </c>
      <c r="B9" s="45"/>
      <c r="C9" s="651" t="s">
        <v>237</v>
      </c>
      <c r="D9" s="651"/>
      <c r="E9" s="651"/>
      <c r="F9" s="651"/>
      <c r="G9" s="651"/>
      <c r="H9" s="651"/>
      <c r="I9" s="651" t="s">
        <v>2311</v>
      </c>
      <c r="J9" s="648" t="str">
        <f>"5-ROR-2, Line "&amp;'5-ROR-2'!A10&amp;""</f>
        <v>5-ROR-2, Line 2</v>
      </c>
      <c r="K9" s="651"/>
      <c r="L9" s="709">
        <f>'5-ROR-2'!C10</f>
        <v>-379123461.53846157</v>
      </c>
      <c r="N9" s="117"/>
      <c r="O9" s="709"/>
      <c r="P9" s="709"/>
      <c r="Q9" s="709"/>
      <c r="R9" s="709"/>
      <c r="S9" s="709"/>
      <c r="T9" s="709"/>
      <c r="U9" s="709"/>
      <c r="V9" s="709"/>
      <c r="W9" s="709"/>
      <c r="X9" s="709"/>
      <c r="Y9" s="709"/>
      <c r="Z9" s="709"/>
      <c r="AA9" s="709"/>
      <c r="AB9" s="709"/>
    </row>
    <row r="10" spans="1:28" x14ac:dyDescent="0.2">
      <c r="A10" s="117" t="s">
        <v>582</v>
      </c>
      <c r="B10" s="45"/>
      <c r="C10" s="651" t="s">
        <v>2761</v>
      </c>
      <c r="D10" s="1074"/>
      <c r="E10" s="1074"/>
      <c r="F10" s="1074"/>
      <c r="G10" s="1074"/>
      <c r="H10" s="1074"/>
      <c r="I10" s="651" t="s">
        <v>2311</v>
      </c>
      <c r="J10" s="648" t="str">
        <f>"5-ROR-2, Line "&amp;'5-ROR-2'!A12&amp;""</f>
        <v>5-ROR-2, Line 2a</v>
      </c>
      <c r="K10" s="651"/>
      <c r="L10" s="709">
        <f>'5-ROR-2'!C12</f>
        <v>0</v>
      </c>
      <c r="N10" s="117"/>
      <c r="O10" s="709"/>
      <c r="P10" s="709"/>
      <c r="Q10" s="709"/>
      <c r="R10" s="709"/>
      <c r="S10" s="709"/>
      <c r="T10" s="709"/>
      <c r="U10" s="709"/>
      <c r="V10" s="709"/>
      <c r="W10" s="709"/>
      <c r="X10" s="709"/>
      <c r="Y10" s="709"/>
      <c r="Z10" s="709"/>
      <c r="AA10" s="709"/>
      <c r="AB10" s="709"/>
    </row>
    <row r="11" spans="1:28" x14ac:dyDescent="0.2">
      <c r="A11" s="117">
        <f>A9+1</f>
        <v>3</v>
      </c>
      <c r="B11" s="45"/>
      <c r="C11" s="651" t="s">
        <v>238</v>
      </c>
      <c r="D11" s="651"/>
      <c r="E11" s="651"/>
      <c r="F11" s="651"/>
      <c r="G11" s="651"/>
      <c r="H11" s="651"/>
      <c r="I11" s="651" t="s">
        <v>2311</v>
      </c>
      <c r="J11" s="648" t="str">
        <f>"5-ROR-2, Line "&amp;'5-ROR-2'!A14&amp;""</f>
        <v>5-ROR-2, Line 3</v>
      </c>
      <c r="K11" s="651"/>
      <c r="L11" s="709">
        <f>'5-ROR-2'!C14</f>
        <v>558498753.14615393</v>
      </c>
      <c r="N11" s="117"/>
      <c r="O11" s="709"/>
      <c r="P11" s="709"/>
      <c r="Q11" s="709"/>
      <c r="R11" s="709"/>
      <c r="S11" s="709"/>
      <c r="T11" s="709"/>
      <c r="U11" s="709"/>
      <c r="V11" s="709"/>
      <c r="W11" s="709"/>
      <c r="X11" s="709"/>
      <c r="Y11" s="709"/>
      <c r="Z11" s="709"/>
      <c r="AA11" s="709"/>
      <c r="AB11" s="709"/>
    </row>
    <row r="12" spans="1:28" x14ac:dyDescent="0.2">
      <c r="A12" s="117">
        <f>A11+1</f>
        <v>4</v>
      </c>
      <c r="B12" s="45"/>
      <c r="C12" s="651" t="s">
        <v>3084</v>
      </c>
      <c r="D12" s="651"/>
      <c r="E12" s="651"/>
      <c r="F12" s="651"/>
      <c r="G12" s="651"/>
      <c r="H12" s="651"/>
      <c r="I12" s="651"/>
      <c r="J12" s="648"/>
      <c r="K12" s="651"/>
      <c r="L12" s="709"/>
      <c r="N12" s="117"/>
      <c r="O12" s="709"/>
      <c r="P12" s="709"/>
      <c r="Q12" s="709"/>
      <c r="R12" s="709"/>
      <c r="S12" s="709"/>
      <c r="T12" s="709"/>
      <c r="U12" s="709"/>
      <c r="V12" s="709"/>
      <c r="W12" s="709"/>
      <c r="X12" s="709"/>
      <c r="Y12" s="709"/>
      <c r="Z12" s="709"/>
      <c r="AA12" s="709"/>
      <c r="AB12" s="709"/>
    </row>
    <row r="13" spans="1:28" x14ac:dyDescent="0.2">
      <c r="A13" s="117">
        <f>A12+1</f>
        <v>5</v>
      </c>
      <c r="B13" s="45"/>
      <c r="C13" s="651" t="s">
        <v>3084</v>
      </c>
      <c r="D13" s="651"/>
      <c r="E13" s="651"/>
      <c r="F13" s="651"/>
      <c r="G13" s="651"/>
      <c r="H13" s="651"/>
      <c r="I13" s="651"/>
      <c r="J13" s="648"/>
      <c r="K13" s="651"/>
      <c r="L13" s="709"/>
      <c r="N13" s="117"/>
      <c r="O13" s="709"/>
      <c r="P13" s="709"/>
      <c r="Q13" s="709"/>
      <c r="R13" s="709"/>
      <c r="S13" s="709"/>
      <c r="T13" s="709"/>
      <c r="U13" s="709"/>
      <c r="V13" s="709"/>
      <c r="W13" s="709"/>
      <c r="X13" s="709"/>
      <c r="Y13" s="709"/>
      <c r="Z13" s="709"/>
      <c r="AA13" s="709"/>
      <c r="AB13" s="709"/>
    </row>
    <row r="14" spans="1:28" x14ac:dyDescent="0.2">
      <c r="A14" s="117">
        <f>A13+1</f>
        <v>6</v>
      </c>
      <c r="B14" s="45"/>
      <c r="C14" s="651" t="s">
        <v>3084</v>
      </c>
      <c r="D14" s="651"/>
      <c r="E14" s="651"/>
      <c r="F14" s="651"/>
      <c r="G14" s="651"/>
      <c r="H14" s="651"/>
      <c r="I14" s="651"/>
      <c r="J14" s="648"/>
      <c r="K14" s="651"/>
      <c r="L14" s="709"/>
      <c r="N14" s="117"/>
      <c r="O14" s="709"/>
      <c r="P14" s="709"/>
      <c r="Q14" s="709"/>
      <c r="R14" s="709"/>
      <c r="S14" s="709"/>
      <c r="T14" s="709"/>
      <c r="U14" s="709"/>
      <c r="V14" s="709"/>
      <c r="W14" s="709"/>
      <c r="X14" s="709"/>
      <c r="Y14" s="709"/>
      <c r="Z14" s="709"/>
      <c r="AA14" s="709"/>
      <c r="AB14" s="709"/>
    </row>
    <row r="15" spans="1:28" x14ac:dyDescent="0.2">
      <c r="A15" s="117">
        <f t="shared" ref="A15:A16" si="0">A14+1</f>
        <v>7</v>
      </c>
      <c r="B15" s="45"/>
      <c r="C15" s="651" t="s">
        <v>3084</v>
      </c>
      <c r="D15" s="651"/>
      <c r="E15" s="651"/>
      <c r="F15" s="651"/>
      <c r="G15" s="651"/>
      <c r="H15" s="651"/>
      <c r="I15" s="651"/>
      <c r="J15" s="648"/>
      <c r="K15" s="651"/>
      <c r="L15" s="709"/>
      <c r="N15" s="117"/>
      <c r="O15" s="709"/>
      <c r="P15" s="709"/>
      <c r="Q15" s="709"/>
      <c r="R15" s="709"/>
      <c r="S15" s="709"/>
      <c r="T15" s="709"/>
      <c r="U15" s="709"/>
      <c r="V15" s="709"/>
      <c r="W15" s="709"/>
      <c r="X15" s="709"/>
      <c r="Y15" s="709"/>
      <c r="Z15" s="709"/>
      <c r="AA15" s="709"/>
      <c r="AB15" s="709"/>
    </row>
    <row r="16" spans="1:28" x14ac:dyDescent="0.2">
      <c r="A16" s="117">
        <f t="shared" si="0"/>
        <v>8</v>
      </c>
      <c r="B16" s="45"/>
      <c r="C16" s="648" t="s">
        <v>239</v>
      </c>
      <c r="D16" s="651"/>
      <c r="E16" s="651"/>
      <c r="F16" s="651"/>
      <c r="G16" s="651"/>
      <c r="H16" s="651"/>
      <c r="I16" s="14"/>
      <c r="J16" s="648" t="str">
        <f>"L"&amp;A8&amp;" + L"&amp;A9&amp;" + L"&amp;A10&amp;" + L"&amp;A11&amp;""</f>
        <v>L1 + L2 + L2a + L3</v>
      </c>
      <c r="K16" s="651"/>
      <c r="L16" s="711">
        <f>SUM(L8:L11)</f>
        <v>7195281830.069231</v>
      </c>
    </row>
    <row r="17" spans="1:28" x14ac:dyDescent="0.2">
      <c r="A17" s="14"/>
      <c r="B17" s="45"/>
      <c r="C17" s="651"/>
      <c r="D17" s="651"/>
      <c r="E17" s="651"/>
      <c r="F17" s="651"/>
      <c r="G17" s="651" t="s">
        <v>371</v>
      </c>
      <c r="H17" s="651"/>
      <c r="I17" s="651"/>
      <c r="J17" s="648"/>
      <c r="K17" s="651"/>
      <c r="L17" s="651"/>
    </row>
    <row r="18" spans="1:28" x14ac:dyDescent="0.2">
      <c r="A18" s="117"/>
      <c r="B18" s="45"/>
      <c r="C18" s="46" t="s">
        <v>306</v>
      </c>
      <c r="D18" s="651"/>
      <c r="E18" s="651"/>
      <c r="F18" s="651"/>
      <c r="G18" s="651"/>
      <c r="H18" s="651"/>
      <c r="I18" s="651"/>
      <c r="J18" s="648"/>
      <c r="K18" s="651"/>
      <c r="L18" s="651"/>
    </row>
    <row r="19" spans="1:28" x14ac:dyDescent="0.2">
      <c r="A19" s="117">
        <f>A16+1</f>
        <v>9</v>
      </c>
      <c r="B19" s="45"/>
      <c r="C19" s="651" t="s">
        <v>241</v>
      </c>
      <c r="D19" s="651"/>
      <c r="E19" s="651"/>
      <c r="F19" s="651"/>
      <c r="G19" s="651"/>
      <c r="H19" s="651"/>
      <c r="I19" s="651"/>
      <c r="J19" s="648" t="s">
        <v>415</v>
      </c>
      <c r="K19" s="651"/>
      <c r="L19" s="710">
        <v>381695303</v>
      </c>
    </row>
    <row r="20" spans="1:28" x14ac:dyDescent="0.2">
      <c r="A20" s="117">
        <f>A19+1</f>
        <v>10</v>
      </c>
      <c r="B20" s="45"/>
      <c r="C20" s="651" t="s">
        <v>240</v>
      </c>
      <c r="D20" s="651"/>
      <c r="E20" s="651"/>
      <c r="F20" s="651"/>
      <c r="G20" s="651"/>
      <c r="H20" s="651"/>
      <c r="I20" s="651"/>
      <c r="J20" s="648" t="s">
        <v>416</v>
      </c>
      <c r="K20" s="651"/>
      <c r="L20" s="710">
        <v>29746743</v>
      </c>
    </row>
    <row r="21" spans="1:28" x14ac:dyDescent="0.2">
      <c r="A21" s="117">
        <f t="shared" ref="A21:A27" si="1">A20+1</f>
        <v>11</v>
      </c>
      <c r="B21" s="45"/>
      <c r="C21" s="651" t="s">
        <v>242</v>
      </c>
      <c r="D21" s="651"/>
      <c r="E21" s="651"/>
      <c r="F21" s="651"/>
      <c r="G21" s="651"/>
      <c r="H21" s="651"/>
      <c r="I21" s="651"/>
      <c r="J21" s="648" t="s">
        <v>417</v>
      </c>
      <c r="K21" s="651"/>
      <c r="L21" s="710">
        <v>0</v>
      </c>
    </row>
    <row r="22" spans="1:28" x14ac:dyDescent="0.2">
      <c r="A22" s="117">
        <f t="shared" si="1"/>
        <v>12</v>
      </c>
      <c r="B22" s="45"/>
      <c r="C22" s="651" t="s">
        <v>308</v>
      </c>
      <c r="D22" s="651"/>
      <c r="E22" s="651"/>
      <c r="F22" s="651"/>
      <c r="G22" s="651"/>
      <c r="H22" s="651"/>
      <c r="I22" s="651" t="s">
        <v>243</v>
      </c>
      <c r="J22" s="648" t="s">
        <v>418</v>
      </c>
      <c r="K22" s="651"/>
      <c r="L22" s="710">
        <v>0</v>
      </c>
    </row>
    <row r="23" spans="1:28" x14ac:dyDescent="0.2">
      <c r="A23" s="117">
        <f t="shared" si="1"/>
        <v>13</v>
      </c>
      <c r="B23" s="45"/>
      <c r="C23" s="651" t="s">
        <v>244</v>
      </c>
      <c r="D23" s="651"/>
      <c r="E23" s="651"/>
      <c r="F23" s="651"/>
      <c r="G23" s="651"/>
      <c r="H23" s="651"/>
      <c r="I23" s="651" t="s">
        <v>243</v>
      </c>
      <c r="J23" s="648" t="s">
        <v>419</v>
      </c>
      <c r="K23" s="651"/>
      <c r="L23" s="710">
        <v>0</v>
      </c>
    </row>
    <row r="24" spans="1:28" x14ac:dyDescent="0.2">
      <c r="A24" s="117" t="s">
        <v>1356</v>
      </c>
      <c r="B24" s="45"/>
      <c r="C24" s="651" t="s">
        <v>2762</v>
      </c>
      <c r="D24" s="651"/>
      <c r="E24" s="651"/>
      <c r="F24" s="651"/>
      <c r="G24" s="651"/>
      <c r="H24" s="651"/>
      <c r="I24" s="651"/>
      <c r="J24" s="648" t="s">
        <v>2763</v>
      </c>
      <c r="K24" s="651"/>
      <c r="L24" s="710">
        <v>0</v>
      </c>
    </row>
    <row r="25" spans="1:28" x14ac:dyDescent="0.2">
      <c r="A25" s="117">
        <f>A23+1</f>
        <v>14</v>
      </c>
      <c r="B25" s="45"/>
      <c r="C25" s="651" t="s">
        <v>3084</v>
      </c>
      <c r="D25" s="651"/>
      <c r="E25" s="651"/>
      <c r="F25" s="651"/>
      <c r="G25" s="651"/>
      <c r="H25" s="651"/>
      <c r="I25" s="651"/>
      <c r="J25" s="648"/>
      <c r="K25" s="651"/>
      <c r="L25" s="709"/>
    </row>
    <row r="26" spans="1:28" x14ac:dyDescent="0.2">
      <c r="A26" s="117">
        <f t="shared" si="1"/>
        <v>15</v>
      </c>
      <c r="B26" s="45"/>
      <c r="C26" s="651" t="s">
        <v>3084</v>
      </c>
      <c r="D26" s="651"/>
      <c r="E26" s="651"/>
      <c r="F26" s="651"/>
      <c r="G26" s="651"/>
      <c r="H26" s="651"/>
      <c r="I26" s="651"/>
      <c r="J26" s="648"/>
      <c r="K26" s="651"/>
      <c r="L26" s="1075"/>
    </row>
    <row r="27" spans="1:28" x14ac:dyDescent="0.2">
      <c r="A27" s="117">
        <f t="shared" si="1"/>
        <v>16</v>
      </c>
      <c r="B27" s="45"/>
      <c r="C27" s="648" t="s">
        <v>290</v>
      </c>
      <c r="D27" s="651"/>
      <c r="E27" s="651"/>
      <c r="F27" s="651"/>
      <c r="G27" s="651"/>
      <c r="H27" s="651"/>
      <c r="I27" s="14"/>
      <c r="J27" s="648" t="str">
        <f>"Sum of Lines "&amp;A19&amp;" to "&amp;A24&amp;""</f>
        <v>Sum of Lines 9 to 13a</v>
      </c>
      <c r="K27" s="651"/>
      <c r="L27" s="711">
        <f>SUM(L19:L24)</f>
        <v>411442046</v>
      </c>
    </row>
    <row r="28" spans="1:28" x14ac:dyDescent="0.2">
      <c r="A28" s="14"/>
      <c r="B28" s="45"/>
      <c r="C28" s="651"/>
      <c r="D28" s="651"/>
      <c r="E28" s="651"/>
      <c r="F28" s="651"/>
      <c r="G28" s="651"/>
      <c r="H28" s="651"/>
      <c r="I28" s="651"/>
      <c r="J28" s="648"/>
      <c r="K28" s="651"/>
      <c r="L28" s="651"/>
    </row>
    <row r="29" spans="1:28" x14ac:dyDescent="0.2">
      <c r="A29" s="117">
        <f>A27+1</f>
        <v>17</v>
      </c>
      <c r="B29" s="45"/>
      <c r="C29" s="651" t="s">
        <v>51</v>
      </c>
      <c r="D29" s="651"/>
      <c r="E29" s="651"/>
      <c r="F29" s="651"/>
      <c r="G29" s="651"/>
      <c r="H29" s="651"/>
      <c r="I29" s="14"/>
      <c r="J29" s="648" t="str">
        <f>"Line "&amp;A27&amp;" / Line "&amp;A16&amp;""</f>
        <v>Line 16 / Line 8</v>
      </c>
      <c r="K29" s="651"/>
      <c r="L29" s="479">
        <f>L27/L16</f>
        <v>5.7182200185762734E-2</v>
      </c>
    </row>
    <row r="30" spans="1:28" x14ac:dyDescent="0.2">
      <c r="A30" s="117"/>
      <c r="B30" s="45"/>
      <c r="C30" s="651"/>
      <c r="D30" s="651"/>
      <c r="E30" s="651"/>
      <c r="F30" s="651"/>
      <c r="G30" s="651"/>
      <c r="H30" s="651"/>
      <c r="I30" s="14"/>
      <c r="J30" s="648"/>
      <c r="K30" s="651"/>
      <c r="L30" s="479"/>
    </row>
    <row r="31" spans="1:28" x14ac:dyDescent="0.2">
      <c r="A31" s="14"/>
      <c r="B31" s="45"/>
      <c r="C31" s="46" t="s">
        <v>1918</v>
      </c>
      <c r="D31" s="651"/>
      <c r="E31" s="651"/>
      <c r="F31" s="651"/>
      <c r="G31" s="651"/>
      <c r="H31" s="651"/>
      <c r="I31" s="651"/>
      <c r="J31" s="648"/>
      <c r="K31" s="651"/>
      <c r="L31" s="651"/>
    </row>
    <row r="32" spans="1:28" x14ac:dyDescent="0.2">
      <c r="A32" s="117">
        <f>A29+1</f>
        <v>18</v>
      </c>
      <c r="B32" s="45"/>
      <c r="C32" s="651" t="s">
        <v>52</v>
      </c>
      <c r="D32" s="651"/>
      <c r="E32" s="651"/>
      <c r="F32" s="651"/>
      <c r="G32" s="651"/>
      <c r="H32" s="651"/>
      <c r="I32" s="651" t="s">
        <v>2311</v>
      </c>
      <c r="J32" s="648" t="str">
        <f>"5-ROR-2, Line "&amp;'5-ROR-2'!A24&amp;""</f>
        <v>5-ROR-2, Line 18</v>
      </c>
      <c r="K32" s="651"/>
      <c r="L32" s="709">
        <f>'5-ROR-2'!C24</f>
        <v>920004950</v>
      </c>
      <c r="N32" s="117"/>
      <c r="O32" s="709"/>
      <c r="P32" s="709"/>
      <c r="Q32" s="709"/>
      <c r="R32" s="709"/>
      <c r="S32" s="709"/>
      <c r="T32" s="709"/>
      <c r="U32" s="709"/>
      <c r="V32" s="709"/>
      <c r="W32" s="709"/>
      <c r="X32" s="709"/>
      <c r="Y32" s="709"/>
      <c r="Z32" s="709"/>
      <c r="AA32" s="709"/>
      <c r="AB32" s="709"/>
    </row>
    <row r="33" spans="1:28" x14ac:dyDescent="0.2">
      <c r="A33" s="117">
        <f t="shared" ref="A33:A34" si="2">A32+1</f>
        <v>19</v>
      </c>
      <c r="B33" s="45"/>
      <c r="C33" s="651" t="s">
        <v>1914</v>
      </c>
      <c r="D33" s="651"/>
      <c r="E33" s="651"/>
      <c r="F33" s="651"/>
      <c r="G33" s="651"/>
      <c r="H33" s="651"/>
      <c r="I33" s="651" t="s">
        <v>2311</v>
      </c>
      <c r="J33" s="648" t="str">
        <f>"5-ROR-2, Line "&amp;'[1]5-ROR-2'!A26&amp;""</f>
        <v>5-ROR-2, Line 19</v>
      </c>
      <c r="K33" s="651"/>
      <c r="L33" s="709">
        <f>'[1]5-ROR-2'!C26</f>
        <v>-6184118.6553418888</v>
      </c>
      <c r="N33" s="117"/>
      <c r="O33" s="709"/>
      <c r="P33" s="709"/>
      <c r="Q33" s="709"/>
      <c r="R33" s="709"/>
      <c r="S33" s="709"/>
      <c r="T33" s="709"/>
      <c r="U33" s="709"/>
      <c r="V33" s="709"/>
      <c r="W33" s="709"/>
      <c r="X33" s="709"/>
      <c r="Y33" s="709"/>
      <c r="Z33" s="709"/>
      <c r="AA33" s="709"/>
      <c r="AB33" s="709"/>
    </row>
    <row r="34" spans="1:28" x14ac:dyDescent="0.2">
      <c r="A34" s="117">
        <f t="shared" si="2"/>
        <v>20</v>
      </c>
      <c r="B34" s="45"/>
      <c r="C34" s="651" t="s">
        <v>1312</v>
      </c>
      <c r="D34" s="651"/>
      <c r="E34" s="651"/>
      <c r="F34" s="651"/>
      <c r="G34" s="651"/>
      <c r="H34" s="651"/>
      <c r="I34" s="651" t="s">
        <v>2311</v>
      </c>
      <c r="J34" s="648" t="str">
        <f>"5-ROR-2, Line "&amp;'[1]5-ROR-2'!A28&amp;""</f>
        <v>5-ROR-2, Line 20</v>
      </c>
      <c r="K34" s="651"/>
      <c r="L34" s="712">
        <f>'[1]5-ROR-2'!C28</f>
        <v>-1984612.8672428208</v>
      </c>
      <c r="N34" s="117"/>
      <c r="O34" s="709"/>
      <c r="P34" s="709"/>
      <c r="Q34" s="709"/>
      <c r="R34" s="709"/>
      <c r="S34" s="709"/>
      <c r="T34" s="709"/>
      <c r="U34" s="709"/>
      <c r="V34" s="709"/>
      <c r="W34" s="709"/>
      <c r="X34" s="709"/>
      <c r="Y34" s="709"/>
      <c r="Z34" s="709"/>
      <c r="AA34" s="709"/>
      <c r="AB34" s="709"/>
    </row>
    <row r="35" spans="1:28" x14ac:dyDescent="0.2">
      <c r="A35" s="117">
        <f>A34+1</f>
        <v>21</v>
      </c>
      <c r="B35" s="45"/>
      <c r="C35" s="648" t="s">
        <v>58</v>
      </c>
      <c r="D35" s="651"/>
      <c r="E35" s="651"/>
      <c r="F35" s="651"/>
      <c r="G35" s="651"/>
      <c r="H35" s="651"/>
      <c r="I35" s="651"/>
      <c r="J35" s="648" t="str">
        <f>"Sum of Lines "&amp;A32&amp;" to "&amp;A34&amp;""</f>
        <v>Sum of Lines 18 to 20</v>
      </c>
      <c r="K35" s="651"/>
      <c r="L35" s="709">
        <f>SUM(L32:L34)</f>
        <v>911836218.47741532</v>
      </c>
    </row>
    <row r="36" spans="1:28" x14ac:dyDescent="0.2">
      <c r="A36" s="117"/>
      <c r="B36" s="45"/>
      <c r="C36" s="651"/>
      <c r="D36" s="651"/>
      <c r="E36" s="651"/>
      <c r="F36" s="651"/>
      <c r="G36" s="651"/>
      <c r="H36" s="651"/>
      <c r="I36" s="651"/>
      <c r="J36" s="648"/>
      <c r="K36" s="651"/>
      <c r="L36" s="709"/>
    </row>
    <row r="37" spans="1:28" x14ac:dyDescent="0.2">
      <c r="A37" s="117"/>
      <c r="B37" s="45"/>
      <c r="C37" s="46" t="s">
        <v>1919</v>
      </c>
      <c r="D37" s="651"/>
      <c r="E37" s="651"/>
      <c r="F37" s="651"/>
      <c r="G37" s="651"/>
      <c r="H37" s="651"/>
      <c r="I37" s="651"/>
      <c r="J37" s="648"/>
      <c r="K37" s="651"/>
      <c r="L37" s="709"/>
    </row>
    <row r="38" spans="1:28" x14ac:dyDescent="0.2">
      <c r="A38" s="117">
        <f>A35+1</f>
        <v>22</v>
      </c>
      <c r="B38" s="45"/>
      <c r="C38" s="651" t="s">
        <v>53</v>
      </c>
      <c r="D38" s="651"/>
      <c r="E38" s="651"/>
      <c r="F38" s="651"/>
      <c r="G38" s="651"/>
      <c r="H38" s="651"/>
      <c r="I38" s="651" t="s">
        <v>101</v>
      </c>
      <c r="J38" s="648" t="s">
        <v>420</v>
      </c>
      <c r="K38" s="651"/>
      <c r="L38" s="710">
        <v>51899012</v>
      </c>
    </row>
    <row r="39" spans="1:28" x14ac:dyDescent="0.2">
      <c r="A39" s="117">
        <f>A38+1</f>
        <v>23</v>
      </c>
      <c r="B39" s="45"/>
      <c r="C39" s="651" t="s">
        <v>1313</v>
      </c>
      <c r="D39" s="651"/>
      <c r="E39" s="651"/>
      <c r="F39" s="651"/>
      <c r="G39" s="651"/>
      <c r="H39" s="651"/>
      <c r="I39" s="651"/>
      <c r="J39" s="648" t="s">
        <v>323</v>
      </c>
      <c r="K39" s="651"/>
      <c r="L39" s="709">
        <f>'5-ROR-2'!H71</f>
        <v>205467.64705882355</v>
      </c>
    </row>
    <row r="40" spans="1:28" x14ac:dyDescent="0.2">
      <c r="A40" s="117">
        <f>A39+1</f>
        <v>24</v>
      </c>
      <c r="B40" s="45"/>
      <c r="C40" s="651" t="s">
        <v>1314</v>
      </c>
      <c r="D40" s="651"/>
      <c r="E40" s="651"/>
      <c r="F40" s="651"/>
      <c r="G40" s="651"/>
      <c r="H40" s="651"/>
      <c r="I40" s="651"/>
      <c r="J40" s="648" t="s">
        <v>1061</v>
      </c>
      <c r="K40" s="651"/>
      <c r="L40" s="709">
        <f>'5-ROR-2'!I61</f>
        <v>240497.09999999998</v>
      </c>
    </row>
    <row r="41" spans="1:28" x14ac:dyDescent="0.2">
      <c r="A41" s="117">
        <f t="shared" ref="A41" si="3">A40+1</f>
        <v>25</v>
      </c>
      <c r="B41" s="45"/>
      <c r="C41" s="648" t="s">
        <v>53</v>
      </c>
      <c r="D41" s="651"/>
      <c r="E41" s="651"/>
      <c r="F41" s="651"/>
      <c r="G41" s="651"/>
      <c r="H41" s="651"/>
      <c r="J41" s="648" t="str">
        <f>"Sum of Lines "&amp;A38&amp;" to "&amp;A40&amp;""</f>
        <v>Sum of Lines 22 to 24</v>
      </c>
      <c r="K41" s="651"/>
      <c r="L41" s="711">
        <f>SUM(L38:L40)</f>
        <v>52344976.747058824</v>
      </c>
    </row>
    <row r="42" spans="1:28" x14ac:dyDescent="0.2">
      <c r="A42" s="14"/>
      <c r="B42" s="45"/>
      <c r="C42" s="651"/>
      <c r="D42" s="651"/>
      <c r="E42" s="651"/>
      <c r="F42" s="651"/>
      <c r="G42" s="651"/>
      <c r="H42" s="651"/>
      <c r="I42" s="651"/>
      <c r="J42" s="648"/>
      <c r="K42" s="651"/>
      <c r="L42" s="709"/>
    </row>
    <row r="43" spans="1:28" x14ac:dyDescent="0.2">
      <c r="A43" s="117">
        <f>A41+1</f>
        <v>26</v>
      </c>
      <c r="B43" s="45"/>
      <c r="C43" s="651" t="s">
        <v>54</v>
      </c>
      <c r="D43" s="651"/>
      <c r="E43" s="651"/>
      <c r="F43" s="651"/>
      <c r="G43" s="651"/>
      <c r="H43" s="651"/>
      <c r="J43" s="648" t="str">
        <f>"Line "&amp;A41&amp;" / Line "&amp;A35&amp;""</f>
        <v>Line 25 / Line 21</v>
      </c>
      <c r="K43" s="651"/>
      <c r="L43" s="479">
        <f>L41/L35</f>
        <v>5.7406117114391988E-2</v>
      </c>
    </row>
    <row r="44" spans="1:28" x14ac:dyDescent="0.2">
      <c r="A44" s="14"/>
      <c r="B44" s="45"/>
      <c r="C44" s="651"/>
      <c r="D44" s="651"/>
      <c r="E44" s="651"/>
      <c r="F44" s="651"/>
      <c r="G44" s="651"/>
      <c r="H44" s="651"/>
      <c r="I44" s="651"/>
      <c r="J44" s="648"/>
      <c r="K44" s="651"/>
      <c r="L44" s="651"/>
    </row>
    <row r="45" spans="1:28" x14ac:dyDescent="0.2">
      <c r="A45" s="14"/>
      <c r="B45" s="45"/>
      <c r="C45" s="46" t="s">
        <v>307</v>
      </c>
      <c r="D45" s="651"/>
      <c r="E45" s="651"/>
      <c r="F45" s="651"/>
      <c r="G45" s="651"/>
      <c r="H45" s="651"/>
      <c r="I45" s="713"/>
      <c r="J45" s="648"/>
      <c r="K45" s="651"/>
      <c r="L45" s="651"/>
    </row>
    <row r="46" spans="1:28" x14ac:dyDescent="0.2">
      <c r="A46" s="117">
        <f>A43+1</f>
        <v>27</v>
      </c>
      <c r="B46" s="45"/>
      <c r="C46" s="651" t="s">
        <v>245</v>
      </c>
      <c r="D46" s="651"/>
      <c r="E46" s="651"/>
      <c r="F46" s="651"/>
      <c r="G46" s="651"/>
      <c r="H46" s="651"/>
      <c r="I46" s="651" t="s">
        <v>2311</v>
      </c>
      <c r="J46" s="648" t="str">
        <f>"5-ROR-2, Line "&amp;'5-ROR-2'!A30&amp;""</f>
        <v>5-ROR-2, Line 27</v>
      </c>
      <c r="K46" s="651"/>
      <c r="L46" s="709">
        <f>'5-ROR-2'!C30</f>
        <v>8836929492.9500008</v>
      </c>
      <c r="N46" s="117"/>
      <c r="O46" s="709"/>
      <c r="P46" s="709"/>
      <c r="Q46" s="709"/>
      <c r="R46" s="709"/>
      <c r="S46" s="709"/>
      <c r="T46" s="709"/>
      <c r="U46" s="709"/>
      <c r="V46" s="709"/>
      <c r="W46" s="709"/>
      <c r="X46" s="709"/>
      <c r="Y46" s="709"/>
      <c r="Z46" s="709"/>
      <c r="AA46" s="709"/>
      <c r="AB46" s="709"/>
    </row>
    <row r="47" spans="1:28" x14ac:dyDescent="0.2">
      <c r="A47" s="117">
        <f>A46+1</f>
        <v>28</v>
      </c>
      <c r="B47" s="45"/>
      <c r="C47" s="651" t="s">
        <v>56</v>
      </c>
      <c r="D47" s="651"/>
      <c r="E47" s="651"/>
      <c r="F47" s="651"/>
      <c r="G47" s="651"/>
      <c r="H47" s="651"/>
      <c r="I47" s="651" t="str">
        <f>"Same as L "&amp;A32&amp;", but negative"</f>
        <v>Same as L 18, but negative</v>
      </c>
      <c r="J47" s="648" t="str">
        <f>"5-ROR-2, Line "&amp;'5-ROR-2'!A24&amp;""</f>
        <v>5-ROR-2, Line 18</v>
      </c>
      <c r="K47" s="651"/>
      <c r="L47" s="709">
        <f>-'5-ROR-2'!C24</f>
        <v>-920004950</v>
      </c>
      <c r="N47" s="117"/>
      <c r="O47" s="709"/>
      <c r="P47" s="709"/>
      <c r="Q47" s="709"/>
      <c r="R47" s="709"/>
      <c r="S47" s="709"/>
      <c r="T47" s="709"/>
      <c r="U47" s="709"/>
      <c r="V47" s="709"/>
      <c r="W47" s="709"/>
      <c r="X47" s="709"/>
      <c r="Y47" s="709"/>
      <c r="Z47" s="709"/>
      <c r="AA47" s="709"/>
      <c r="AB47" s="709"/>
    </row>
    <row r="48" spans="1:28" x14ac:dyDescent="0.2">
      <c r="A48" s="117">
        <f t="shared" ref="A48:A50" si="4">A47+1</f>
        <v>29</v>
      </c>
      <c r="B48" s="45"/>
      <c r="C48" s="651" t="s">
        <v>1915</v>
      </c>
      <c r="D48" s="651"/>
      <c r="E48" s="651"/>
      <c r="F48" s="651"/>
      <c r="G48" s="651"/>
      <c r="H48" s="651"/>
      <c r="I48" s="651" t="str">
        <f>"Same as L "&amp;A34&amp;", but reverse sign"</f>
        <v>Same as L 20, but reverse sign</v>
      </c>
      <c r="J48" s="648" t="s">
        <v>1062</v>
      </c>
      <c r="K48" s="651"/>
      <c r="L48" s="709">
        <f>-L34</f>
        <v>1984612.8672428208</v>
      </c>
      <c r="N48" s="117"/>
      <c r="O48" s="709"/>
      <c r="P48" s="709"/>
      <c r="Q48" s="709"/>
      <c r="R48" s="709"/>
      <c r="S48" s="709"/>
      <c r="T48" s="709"/>
      <c r="U48" s="709"/>
      <c r="V48" s="709"/>
      <c r="W48" s="709"/>
      <c r="X48" s="709"/>
      <c r="Y48" s="709"/>
      <c r="Z48" s="709"/>
      <c r="AA48" s="709"/>
      <c r="AB48" s="709"/>
    </row>
    <row r="49" spans="1:28" x14ac:dyDescent="0.2">
      <c r="A49" s="117">
        <f t="shared" si="4"/>
        <v>30</v>
      </c>
      <c r="B49" s="45"/>
      <c r="C49" s="651" t="s">
        <v>1916</v>
      </c>
      <c r="D49" s="651"/>
      <c r="E49" s="651"/>
      <c r="F49" s="651"/>
      <c r="G49" s="651"/>
      <c r="H49" s="651"/>
      <c r="I49" s="651" t="s">
        <v>2311</v>
      </c>
      <c r="J49" s="648" t="str">
        <f>"5-ROR-2, Line "&amp;'5-ROR-2'!A32&amp;""</f>
        <v>5-ROR-2, Line 30</v>
      </c>
      <c r="K49" s="651"/>
      <c r="L49" s="709">
        <f>'5-ROR-2'!C32</f>
        <v>-3208582.3846153845</v>
      </c>
      <c r="N49" s="117"/>
      <c r="O49" s="709"/>
      <c r="P49" s="709"/>
      <c r="Q49" s="709"/>
      <c r="R49" s="709"/>
      <c r="S49" s="709"/>
      <c r="T49" s="709"/>
      <c r="U49" s="709"/>
      <c r="V49" s="709"/>
      <c r="W49" s="709"/>
      <c r="X49" s="709"/>
      <c r="Y49" s="709"/>
      <c r="Z49" s="709"/>
      <c r="AA49" s="709"/>
      <c r="AB49" s="709"/>
    </row>
    <row r="50" spans="1:28" x14ac:dyDescent="0.2">
      <c r="A50" s="117">
        <f t="shared" si="4"/>
        <v>31</v>
      </c>
      <c r="B50" s="45"/>
      <c r="C50" s="651" t="s">
        <v>1917</v>
      </c>
      <c r="D50" s="651"/>
      <c r="E50" s="651"/>
      <c r="F50" s="651"/>
      <c r="G50" s="651"/>
      <c r="H50" s="651"/>
      <c r="I50" s="651" t="s">
        <v>2311</v>
      </c>
      <c r="J50" s="648" t="str">
        <f>"5-ROR-2, Line "&amp;'5-ROR-2'!A34&amp;""</f>
        <v>5-ROR-2, Line 31</v>
      </c>
      <c r="K50" s="651"/>
      <c r="L50" s="709">
        <f>'5-ROR-2'!C34</f>
        <v>17816595.11923077</v>
      </c>
      <c r="N50" s="117"/>
      <c r="O50" s="709"/>
      <c r="P50" s="709"/>
      <c r="Q50" s="709"/>
      <c r="R50" s="709"/>
      <c r="S50" s="709"/>
      <c r="T50" s="709"/>
      <c r="U50" s="709"/>
      <c r="V50" s="709"/>
      <c r="W50" s="709"/>
      <c r="X50" s="709"/>
      <c r="Y50" s="709"/>
      <c r="Z50" s="709"/>
      <c r="AA50" s="709"/>
      <c r="AB50" s="709"/>
    </row>
    <row r="51" spans="1:28" x14ac:dyDescent="0.2">
      <c r="A51" s="117">
        <f>A50+1</f>
        <v>32</v>
      </c>
      <c r="B51" s="45"/>
      <c r="C51" s="651" t="s">
        <v>55</v>
      </c>
      <c r="D51" s="651"/>
      <c r="E51" s="651"/>
      <c r="F51" s="651"/>
      <c r="G51" s="651"/>
      <c r="H51" s="651"/>
      <c r="I51" s="651"/>
      <c r="J51" s="648" t="str">
        <f>"Sum of Lines "&amp;A46&amp;" to "&amp;A50&amp;""</f>
        <v>Sum of Lines 27 to 31</v>
      </c>
      <c r="K51" s="651"/>
      <c r="L51" s="711">
        <f>SUM(L46:L50)</f>
        <v>7933517168.5518599</v>
      </c>
    </row>
    <row r="52" spans="1:28" x14ac:dyDescent="0.2">
      <c r="A52" s="14"/>
      <c r="B52" s="1067" t="s">
        <v>267</v>
      </c>
      <c r="C52" s="651"/>
      <c r="D52" s="651"/>
      <c r="E52" s="651"/>
      <c r="F52" s="651"/>
      <c r="G52" s="651"/>
      <c r="H52" s="651"/>
      <c r="I52" s="651"/>
      <c r="J52" s="651"/>
      <c r="K52" s="649"/>
      <c r="L52" s="649"/>
    </row>
    <row r="53" spans="1:28" x14ac:dyDescent="0.2">
      <c r="A53" s="14"/>
      <c r="B53" s="651" t="s">
        <v>3147</v>
      </c>
      <c r="C53" s="14"/>
      <c r="D53" s="14"/>
      <c r="E53" s="14"/>
      <c r="F53" s="14"/>
      <c r="G53" s="14"/>
      <c r="H53" s="14"/>
      <c r="I53" s="14"/>
      <c r="J53" s="651"/>
    </row>
    <row r="54" spans="1:28" x14ac:dyDescent="0.2">
      <c r="A54" s="14"/>
      <c r="B54" s="651" t="s">
        <v>3148</v>
      </c>
      <c r="C54" s="14"/>
      <c r="D54" s="14"/>
      <c r="E54" s="14"/>
      <c r="F54" s="14"/>
      <c r="G54" s="14"/>
      <c r="H54" s="14"/>
      <c r="I54" s="14"/>
      <c r="J54" s="651"/>
    </row>
    <row r="55" spans="1:28" x14ac:dyDescent="0.2">
      <c r="A55" s="14"/>
      <c r="B55" s="651" t="s">
        <v>3159</v>
      </c>
      <c r="C55" s="14"/>
      <c r="D55" s="14"/>
      <c r="E55" s="14"/>
      <c r="F55" s="14"/>
      <c r="G55" s="14"/>
      <c r="H55" s="14"/>
      <c r="I55" s="14"/>
      <c r="J55" s="651"/>
    </row>
    <row r="56" spans="1:28" x14ac:dyDescent="0.2">
      <c r="A56" s="14"/>
      <c r="B56" s="651" t="s">
        <v>3160</v>
      </c>
      <c r="C56" s="14"/>
      <c r="D56" s="14"/>
      <c r="E56" s="14"/>
      <c r="F56" s="14"/>
      <c r="G56" s="14"/>
      <c r="H56" s="14"/>
      <c r="I56" s="14"/>
      <c r="J56" s="14"/>
    </row>
    <row r="57" spans="1:28" x14ac:dyDescent="0.2">
      <c r="A57" s="14"/>
      <c r="B57" s="868" t="str">
        <f>"5) Negative of Line "&amp;A34&amp;""&amp;", charge to common equity reversed for ratemaking."</f>
        <v>5) Negative of Line 20, charge to common equity reversed for ratemaking.</v>
      </c>
      <c r="C57" s="14"/>
      <c r="D57" s="14"/>
      <c r="E57" s="14"/>
      <c r="F57" s="14"/>
      <c r="G57" s="14"/>
      <c r="H57" s="14"/>
      <c r="I57" s="14"/>
      <c r="J57" s="14"/>
    </row>
    <row r="58" spans="1:28" x14ac:dyDescent="0.2">
      <c r="A58" s="14"/>
      <c r="B58" s="651"/>
      <c r="C58" s="14"/>
      <c r="D58" s="14"/>
      <c r="E58" s="14"/>
      <c r="F58" s="14"/>
      <c r="G58" s="14"/>
      <c r="H58" s="14"/>
      <c r="I58" s="14"/>
      <c r="J58" s="14"/>
    </row>
    <row r="59" spans="1:28" x14ac:dyDescent="0.2">
      <c r="B59" s="653"/>
    </row>
    <row r="60" spans="1:28" x14ac:dyDescent="0.2">
      <c r="B60" s="649"/>
    </row>
    <row r="61" spans="1:28" x14ac:dyDescent="0.2">
      <c r="B61" s="653"/>
    </row>
  </sheetData>
  <phoneticPr fontId="10" type="noConversion"/>
  <pageMargins left="0.75" right="0.75" top="1" bottom="1" header="0.5" footer="0.5"/>
  <pageSetup scale="66" orientation="landscape" cellComments="asDisplayed" r:id="rId1"/>
  <headerFooter alignWithMargins="0">
    <oddHeader xml:space="preserve">&amp;CSchedule 5 ROR-1
Return and Capitalization
&amp;"Arial,Bold"Exhibit G-1&amp;"Arial,Regular"
</oddHeader>
    <oddFooter>&amp;R&amp;A</oddFooter>
  </headerFooter>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40</vt:i4>
      </vt:variant>
    </vt:vector>
  </HeadingPairs>
  <TitlesOfParts>
    <vt:vector size="81" baseType="lpstr">
      <vt:lpstr>WIT</vt: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Sheet1</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'34-UnfundedReserves'!Print_Area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Heading!Print_Area</vt:lpstr>
      <vt:lpstr>Overview!Print_Area</vt:lpstr>
      <vt:lpstr>WIT!Print_Area</vt:lpstr>
      <vt:lpstr>'1-BaseTRR'!Print_Titles</vt:lpstr>
      <vt:lpstr>'21-RevenueCredits'!Print_Titles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2013-08-22T21:35:35Z</cp:lastPrinted>
  <dcterms:created xsi:type="dcterms:W3CDTF">2009-02-27T16:01:11Z</dcterms:created>
  <dcterms:modified xsi:type="dcterms:W3CDTF">2013-08-22T21:36:01Z</dcterms:modified>
</cp:coreProperties>
</file>