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60" windowWidth="14100" windowHeight="12435"/>
  </bookViews>
  <sheets>
    <sheet name="Contents" sheetId="68" r:id="rId1"/>
    <sheet name="Overview" sheetId="9" r:id="rId2"/>
    <sheet name="BaseTRR" sheetId="1" r:id="rId3"/>
    <sheet name="IFPTRR" sheetId="7" r:id="rId4"/>
    <sheet name="TrueUpAdjust" sheetId="65" r:id="rId5"/>
    <sheet name="TUTRR" sheetId="8" r:id="rId6"/>
    <sheet name="ROR-1" sheetId="28" r:id="rId7"/>
    <sheet name="ROR-2" sheetId="72" r:id="rId8"/>
    <sheet name="PlantInService" sheetId="4" r:id="rId9"/>
    <sheet name="PlantStudy" sheetId="56" r:id="rId10"/>
    <sheet name="AccDep" sheetId="21" r:id="rId11"/>
    <sheet name="ADIT" sheetId="15" r:id="rId12"/>
    <sheet name="CWIP" sheetId="49" r:id="rId13"/>
    <sheet name="PHFU" sheetId="54" r:id="rId14"/>
    <sheet name="AbandonedPlant" sheetId="45" r:id="rId15"/>
    <sheet name="WorkCap" sheetId="22" r:id="rId16"/>
    <sheet name="IncentivePlant" sheetId="11" r:id="rId17"/>
    <sheet name="IncentiveAdder" sheetId="12" r:id="rId18"/>
    <sheet name="PlantAdditions" sheetId="48" r:id="rId19"/>
    <sheet name="Depreciation" sheetId="64" r:id="rId20"/>
    <sheet name="DepRates" sheetId="63" r:id="rId21"/>
    <sheet name="OandM" sheetId="46" r:id="rId22"/>
    <sheet name="AandG" sheetId="26" r:id="rId23"/>
    <sheet name="RevenueCredits" sheetId="61" r:id="rId24"/>
    <sheet name="NUCs" sheetId="66" r:id="rId25"/>
    <sheet name="RegAssets" sheetId="55" r:id="rId26"/>
    <sheet name="CWIPTRR" sheetId="71" r:id="rId27"/>
    <sheet name="WholesaleDifference" sheetId="44" r:id="rId28"/>
    <sheet name="TaxRates" sheetId="17" r:id="rId29"/>
    <sheet name="Allocators" sheetId="2" r:id="rId30"/>
    <sheet name="FFU" sheetId="30" r:id="rId31"/>
    <sheet name="WholesaleTRRs" sheetId="31" r:id="rId32"/>
    <sheet name="WholesaleRates" sheetId="32" r:id="rId33"/>
    <sheet name="HVLV" sheetId="57" r:id="rId34"/>
    <sheet name="GrossLoad" sheetId="42" r:id="rId35"/>
    <sheet name="RetailRates" sheetId="53" r:id="rId36"/>
  </sheets>
  <definedNames>
    <definedName name="_xlnm._FilterDatabase" localSheetId="23" hidden="1">RevenueCredits!$A$1:$O$236</definedName>
    <definedName name="_xlnm.Print_Area" localSheetId="22">AandG!$A$1:$J$91</definedName>
    <definedName name="_xlnm.Print_Area" localSheetId="14">AbandonedPlant!$A$1:$J$62</definedName>
    <definedName name="_xlnm.Print_Area" localSheetId="10">AccDep!$A$1:$N$182</definedName>
    <definedName name="_xlnm.Print_Area" localSheetId="11">ADIT!$A$1:$J$172</definedName>
    <definedName name="_xlnm.Print_Area" localSheetId="29">Allocators!$A$1:$G$28</definedName>
    <definedName name="_xlnm.Print_Area" localSheetId="2">BaseTRR!$A$1:$K$164</definedName>
    <definedName name="_xlnm.Print_Area" localSheetId="0">Contents!$A$1:$D$37</definedName>
    <definedName name="_xlnm.Print_Area" localSheetId="12">CWIP!$A$1:$I$174</definedName>
    <definedName name="_xlnm.Print_Area" localSheetId="26">CWIPTRR!$A$1:$J$195</definedName>
    <definedName name="_xlnm.Print_Area" localSheetId="20">DepRates!$A$1:$G$62</definedName>
    <definedName name="_xlnm.Print_Area" localSheetId="19">Depreciation!$A$1:$M$87</definedName>
    <definedName name="_xlnm.Print_Area" localSheetId="30">FFU!$A$1:$I$31</definedName>
    <definedName name="_xlnm.Print_Area" localSheetId="34">GrossLoad!$A$1:$I$19</definedName>
    <definedName name="_xlnm.Print_Area" localSheetId="33">HVLV!$A$1:$K$45</definedName>
    <definedName name="_xlnm.Print_Area" localSheetId="3">IFPTRR!$A$1:$G$90</definedName>
    <definedName name="_xlnm.Print_Area" localSheetId="17">IncentiveAdder!$A$1:$J$112</definedName>
    <definedName name="_xlnm.Print_Area" localSheetId="16">IncentivePlant!$A$1:$J$375</definedName>
    <definedName name="_xlnm.Print_Area" localSheetId="24">NUCs!$A$1:$F$30</definedName>
    <definedName name="_xlnm.Print_Area" localSheetId="21">OandM!$A$1:$L$193</definedName>
    <definedName name="_xlnm.Print_Area" localSheetId="1">Overview!$A$1:$I$24</definedName>
    <definedName name="_xlnm.Print_Area" localSheetId="13">PHFU!$A$1:$F$61</definedName>
    <definedName name="_xlnm.Print_Area" localSheetId="18">PlantAdditions!$A$1:$H$36</definedName>
    <definedName name="_xlnm.Print_Area" localSheetId="8">PlantInService!$A$1:$M$185</definedName>
    <definedName name="_xlnm.Print_Area" localSheetId="9">PlantStudy!$A$1:$G$54</definedName>
    <definedName name="_xlnm.Print_Area" localSheetId="25">RegAssets!$A$1:$I$36</definedName>
    <definedName name="_xlnm.Print_Area" localSheetId="23">RevenueCredits!$A$1:$O$235</definedName>
    <definedName name="_xlnm.Print_Area" localSheetId="6">'ROR-1'!$A$1:$L$63</definedName>
    <definedName name="_xlnm.Print_Area" localSheetId="7">'ROR-2'!$A$1:$P$88</definedName>
    <definedName name="_xlnm.Print_Area" localSheetId="28">TaxRates!$A$1:$F$65</definedName>
    <definedName name="_xlnm.Print_Area" localSheetId="4">TrueUpAdjust!$A$1:$L$169</definedName>
    <definedName name="_xlnm.Print_Area" localSheetId="5">TUTRR!$A$1:$J$69</definedName>
    <definedName name="_xlnm.Print_Area" localSheetId="27">WholesaleDifference!$A$1:$J$88</definedName>
    <definedName name="_xlnm.Print_Area" localSheetId="32">WholesaleRates!$A$1:$J$47</definedName>
    <definedName name="_xlnm.Print_Area" localSheetId="31">WholesaleTRRs!$A$1:$I$41</definedName>
    <definedName name="_xlnm.Print_Area" localSheetId="15">WorkCap!$A$1:$G$47</definedName>
    <definedName name="_xlnm.Print_Titles" localSheetId="2">BaseTRR!$1:$6</definedName>
    <definedName name="_xlnm.Print_Titles" localSheetId="23">RevenueCredits!$1:$3</definedName>
  </definedNames>
  <calcPr calcId="145621"/>
</workbook>
</file>

<file path=xl/calcChain.xml><?xml version="1.0" encoding="utf-8"?>
<calcChain xmlns="http://schemas.openxmlformats.org/spreadsheetml/2006/main">
  <c r="D41" i="54" l="1"/>
  <c r="E27" i="12" l="1"/>
  <c r="K53" i="1" l="1"/>
  <c r="H79" i="46" l="1"/>
  <c r="G79" i="46"/>
  <c r="G77" i="46"/>
  <c r="G78" i="46"/>
  <c r="H132" i="15" l="1"/>
  <c r="G132" i="15"/>
  <c r="F132" i="15"/>
  <c r="E132" i="15"/>
  <c r="D132" i="15"/>
  <c r="H62" i="15"/>
  <c r="G62" i="15"/>
  <c r="F62" i="15"/>
  <c r="E62" i="15"/>
  <c r="D62" i="15"/>
  <c r="A60" i="15"/>
  <c r="D45" i="49" l="1"/>
  <c r="E26" i="12" l="1"/>
  <c r="H57" i="61" l="1"/>
  <c r="F24" i="22" l="1"/>
  <c r="N124" i="61" l="1"/>
  <c r="M124" i="61"/>
  <c r="J124" i="61"/>
  <c r="I124" i="61"/>
  <c r="G124" i="61"/>
  <c r="N62" i="61"/>
  <c r="N63" i="61"/>
  <c r="M62" i="61"/>
  <c r="M63" i="61"/>
  <c r="J62" i="61"/>
  <c r="J63" i="61"/>
  <c r="I62" i="61"/>
  <c r="I63" i="61"/>
  <c r="G62" i="61"/>
  <c r="G63" i="61"/>
  <c r="F123" i="61" l="1"/>
  <c r="J123" i="61" s="1"/>
  <c r="M123" i="61" s="1"/>
  <c r="F61" i="61"/>
  <c r="N61" i="61" s="1"/>
  <c r="G123" i="61" l="1"/>
  <c r="I123" i="61" s="1"/>
  <c r="N123" i="61"/>
  <c r="J61" i="61"/>
  <c r="M61" i="61" s="1"/>
  <c r="G61" i="61"/>
  <c r="I61" i="61" s="1"/>
  <c r="N21" i="61" l="1"/>
  <c r="N22" i="61"/>
  <c r="N23" i="61"/>
  <c r="N24" i="61"/>
  <c r="N25" i="61"/>
  <c r="J21" i="61"/>
  <c r="M21" i="61" s="1"/>
  <c r="J22" i="61"/>
  <c r="M22" i="61" s="1"/>
  <c r="J23" i="61"/>
  <c r="M23" i="61" s="1"/>
  <c r="J24" i="61"/>
  <c r="M24" i="61" s="1"/>
  <c r="J25" i="61"/>
  <c r="M25" i="61" s="1"/>
  <c r="G21" i="61"/>
  <c r="I21" i="61" s="1"/>
  <c r="G22" i="61"/>
  <c r="I22" i="61" s="1"/>
  <c r="G23" i="61"/>
  <c r="I23" i="61" s="1"/>
  <c r="G24" i="61"/>
  <c r="I24" i="61" s="1"/>
  <c r="G25" i="61"/>
  <c r="I25" i="61" s="1"/>
  <c r="D53" i="15"/>
  <c r="D161" i="15" l="1"/>
  <c r="E141" i="15"/>
  <c r="E140" i="15"/>
  <c r="E139" i="15"/>
  <c r="D138" i="15"/>
  <c r="E138" i="15" s="1"/>
  <c r="D137" i="15"/>
  <c r="E137" i="15" s="1"/>
  <c r="E136" i="15"/>
  <c r="E123" i="15"/>
  <c r="E122" i="15"/>
  <c r="E121" i="15"/>
  <c r="E120" i="15"/>
  <c r="E119" i="15"/>
  <c r="E118" i="15"/>
  <c r="E117" i="15"/>
  <c r="G116" i="15"/>
  <c r="G115" i="15"/>
  <c r="G114" i="15"/>
  <c r="G113" i="15"/>
  <c r="H112" i="15"/>
  <c r="F111" i="15"/>
  <c r="E69" i="15"/>
  <c r="E68" i="15"/>
  <c r="E67" i="15"/>
  <c r="E66" i="15"/>
  <c r="E53" i="15"/>
  <c r="E52" i="15"/>
  <c r="E51" i="15"/>
  <c r="E50" i="15"/>
  <c r="E49" i="15"/>
  <c r="E48" i="15"/>
  <c r="E47" i="15"/>
  <c r="H44" i="15"/>
  <c r="G42" i="15"/>
  <c r="H40" i="15"/>
  <c r="H39" i="15"/>
  <c r="H38" i="15"/>
  <c r="H37" i="15"/>
  <c r="G36" i="15"/>
  <c r="H33" i="15"/>
  <c r="G32" i="15"/>
  <c r="G31" i="15"/>
  <c r="F23" i="22" l="1"/>
  <c r="G17" i="45" l="1"/>
  <c r="G16" i="45"/>
  <c r="G15" i="45"/>
  <c r="G14" i="45"/>
  <c r="E182" i="61" l="1"/>
  <c r="F45" i="21" l="1"/>
  <c r="F44" i="21"/>
  <c r="E127" i="61" l="1"/>
  <c r="E66" i="61" l="1"/>
  <c r="E27" i="61"/>
  <c r="E129" i="53" l="1"/>
  <c r="D38" i="53" s="1"/>
  <c r="E128" i="53"/>
  <c r="D37" i="53" s="1"/>
  <c r="E127" i="53"/>
  <c r="D36" i="53" s="1"/>
  <c r="A120" i="53"/>
  <c r="A121" i="53" s="1"/>
  <c r="A122" i="53" s="1"/>
  <c r="A123" i="53" s="1"/>
  <c r="A124" i="53" s="1"/>
  <c r="A125" i="53" s="1"/>
  <c r="A126" i="53" s="1"/>
  <c r="H119" i="53"/>
  <c r="E119" i="53"/>
  <c r="D119" i="53"/>
  <c r="C119" i="53"/>
  <c r="I117" i="53"/>
  <c r="F117" i="53"/>
  <c r="B117" i="53"/>
  <c r="I116" i="53"/>
  <c r="F116" i="53"/>
  <c r="J116" i="53" s="1"/>
  <c r="B116" i="53"/>
  <c r="I115" i="53"/>
  <c r="F115" i="53"/>
  <c r="J115" i="53" s="1"/>
  <c r="B115" i="53"/>
  <c r="I114" i="53"/>
  <c r="J114" i="53" s="1"/>
  <c r="F114" i="53"/>
  <c r="B114" i="53"/>
  <c r="J113" i="53"/>
  <c r="I113" i="53"/>
  <c r="F113" i="53"/>
  <c r="B113" i="53"/>
  <c r="I112" i="53"/>
  <c r="F112" i="53"/>
  <c r="B112" i="53"/>
  <c r="I111" i="53"/>
  <c r="F111" i="53"/>
  <c r="J111" i="53" s="1"/>
  <c r="B111" i="53"/>
  <c r="F110" i="53"/>
  <c r="B110" i="53"/>
  <c r="F109" i="53"/>
  <c r="B109" i="53"/>
  <c r="I108" i="53"/>
  <c r="F108" i="53"/>
  <c r="J108" i="53" s="1"/>
  <c r="B108" i="53"/>
  <c r="I107" i="53"/>
  <c r="F107" i="53"/>
  <c r="B107" i="53"/>
  <c r="I106" i="53"/>
  <c r="F106" i="53"/>
  <c r="B106" i="53"/>
  <c r="I105" i="53"/>
  <c r="F105" i="53"/>
  <c r="B105" i="53"/>
  <c r="I104" i="53"/>
  <c r="F104" i="53"/>
  <c r="B104" i="53"/>
  <c r="B103" i="53"/>
  <c r="A97" i="53"/>
  <c r="A98" i="53" s="1"/>
  <c r="A99" i="53" s="1"/>
  <c r="A100" i="53" s="1"/>
  <c r="A101" i="53" s="1"/>
  <c r="A102" i="53" s="1"/>
  <c r="A103" i="53" s="1"/>
  <c r="B80" i="53"/>
  <c r="B59" i="53"/>
  <c r="B58" i="53"/>
  <c r="B57" i="53"/>
  <c r="B56" i="53"/>
  <c r="B55" i="53"/>
  <c r="B54" i="53"/>
  <c r="B53" i="53"/>
  <c r="B52" i="53"/>
  <c r="B51" i="53"/>
  <c r="B50" i="53"/>
  <c r="B49" i="53"/>
  <c r="B48" i="53"/>
  <c r="B47" i="53"/>
  <c r="B46" i="53"/>
  <c r="B45" i="53"/>
  <c r="H38" i="53"/>
  <c r="H37" i="53"/>
  <c r="H36" i="53"/>
  <c r="A30" i="53"/>
  <c r="A31" i="53" s="1"/>
  <c r="A32" i="53" s="1"/>
  <c r="A33" i="53" s="1"/>
  <c r="A34" i="53" s="1"/>
  <c r="A29" i="53"/>
  <c r="G28" i="53"/>
  <c r="E28" i="53"/>
  <c r="I109" i="53"/>
  <c r="J106" i="53" l="1"/>
  <c r="J117" i="53"/>
  <c r="J109" i="53"/>
  <c r="J105" i="53"/>
  <c r="F119" i="53"/>
  <c r="J107" i="53"/>
  <c r="J112" i="53"/>
  <c r="F127" i="53" s="1"/>
  <c r="E36" i="53" s="1"/>
  <c r="F36" i="53" s="1"/>
  <c r="F129" i="53"/>
  <c r="E38" i="53" s="1"/>
  <c r="F38" i="53" s="1"/>
  <c r="F128" i="53"/>
  <c r="E37" i="53" s="1"/>
  <c r="F37" i="53" s="1"/>
  <c r="I110" i="53"/>
  <c r="J110" i="53" s="1"/>
  <c r="F28" i="53"/>
  <c r="J104" i="53"/>
  <c r="I119" i="53" l="1"/>
  <c r="J119" i="53"/>
  <c r="K110" i="53" s="1"/>
  <c r="C19" i="53" s="1"/>
  <c r="K112" i="53" l="1"/>
  <c r="C21" i="53" s="1"/>
  <c r="K108" i="53"/>
  <c r="C17" i="53" s="1"/>
  <c r="K109" i="53"/>
  <c r="C18" i="53" s="1"/>
  <c r="K114" i="53"/>
  <c r="C23" i="53" s="1"/>
  <c r="K116" i="53"/>
  <c r="C25" i="53" s="1"/>
  <c r="K105" i="53"/>
  <c r="C13" i="53" s="1"/>
  <c r="K111" i="53"/>
  <c r="C20" i="53" s="1"/>
  <c r="K106" i="53"/>
  <c r="C15" i="53" s="1"/>
  <c r="K107" i="53"/>
  <c r="C16" i="53" s="1"/>
  <c r="K113" i="53"/>
  <c r="C22" i="53" s="1"/>
  <c r="K115" i="53"/>
  <c r="C24" i="53" s="1"/>
  <c r="K117" i="53"/>
  <c r="C26" i="53" s="1"/>
  <c r="K104" i="53"/>
  <c r="K119" i="53" l="1"/>
  <c r="C12" i="53"/>
  <c r="C28" i="53" l="1"/>
  <c r="E11" i="2" l="1"/>
  <c r="E12" i="2"/>
  <c r="D86" i="46" l="1"/>
  <c r="F70" i="26" l="1"/>
  <c r="H56" i="26"/>
  <c r="F64" i="26"/>
  <c r="G41" i="22" l="1"/>
  <c r="G47" i="22"/>
  <c r="G24" i="22"/>
  <c r="G23" i="22"/>
  <c r="C35" i="22"/>
  <c r="F47" i="22" l="1"/>
  <c r="F41" i="22"/>
  <c r="N189" i="61" l="1"/>
  <c r="J189" i="61"/>
  <c r="M189" i="61" s="1"/>
  <c r="G189" i="61"/>
  <c r="I189" i="61" s="1"/>
  <c r="E194" i="61"/>
  <c r="F54" i="64" l="1"/>
  <c r="E54" i="64"/>
  <c r="F53" i="64"/>
  <c r="E53" i="64"/>
  <c r="D54" i="64"/>
  <c r="D53" i="64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H9" i="8" l="1"/>
  <c r="I132" i="1"/>
  <c r="K44" i="1"/>
  <c r="K52" i="1" s="1"/>
  <c r="B112" i="12"/>
  <c r="E133" i="21"/>
  <c r="E39" i="7"/>
  <c r="K132" i="1" l="1"/>
  <c r="D162" i="15" l="1"/>
  <c r="I147" i="15"/>
  <c r="A147" i="15"/>
  <c r="A148" i="15" s="1"/>
  <c r="A149" i="15" s="1"/>
  <c r="A152" i="15" s="1"/>
  <c r="A160" i="15" s="1"/>
  <c r="C169" i="15" s="1"/>
  <c r="I145" i="15"/>
  <c r="H145" i="15"/>
  <c r="G145" i="15"/>
  <c r="F145" i="15"/>
  <c r="A137" i="15"/>
  <c r="A138" i="15" s="1"/>
  <c r="A139" i="15" s="1"/>
  <c r="A140" i="15" s="1"/>
  <c r="A141" i="15" s="1"/>
  <c r="A142" i="15" s="1"/>
  <c r="D145" i="15"/>
  <c r="I132" i="15"/>
  <c r="D147" i="15"/>
  <c r="A112" i="15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30" i="15" s="1"/>
  <c r="F147" i="15"/>
  <c r="F149" i="15" s="1"/>
  <c r="E103" i="15"/>
  <c r="A99" i="15"/>
  <c r="I100" i="15" s="1"/>
  <c r="I98" i="15"/>
  <c r="H98" i="15"/>
  <c r="D98" i="15"/>
  <c r="G98" i="15"/>
  <c r="F98" i="15"/>
  <c r="F100" i="15" s="1"/>
  <c r="A87" i="15"/>
  <c r="A88" i="15" s="1"/>
  <c r="A89" i="15" s="1"/>
  <c r="A90" i="15" s="1"/>
  <c r="A91" i="15" s="1"/>
  <c r="A92" i="15" s="1"/>
  <c r="A93" i="15" s="1"/>
  <c r="A94" i="15" s="1"/>
  <c r="A95" i="15" s="1"/>
  <c r="I75" i="15"/>
  <c r="A75" i="15"/>
  <c r="I73" i="15"/>
  <c r="H73" i="15"/>
  <c r="G73" i="15"/>
  <c r="F73" i="15"/>
  <c r="D73" i="15"/>
  <c r="A67" i="15"/>
  <c r="A68" i="15" s="1"/>
  <c r="A69" i="15" s="1"/>
  <c r="A70" i="15" s="1"/>
  <c r="A31" i="15"/>
  <c r="I62" i="15" s="1"/>
  <c r="A11" i="15"/>
  <c r="A12" i="15" s="1"/>
  <c r="A13" i="15" s="1"/>
  <c r="G147" i="15" l="1"/>
  <c r="E12" i="15"/>
  <c r="H147" i="15"/>
  <c r="G75" i="15"/>
  <c r="E98" i="15"/>
  <c r="H75" i="15"/>
  <c r="E73" i="15"/>
  <c r="E145" i="15"/>
  <c r="A161" i="15"/>
  <c r="E14" i="15"/>
  <c r="A14" i="15"/>
  <c r="D75" i="15"/>
  <c r="F75" i="15"/>
  <c r="F77" i="15" s="1"/>
  <c r="E80" i="15"/>
  <c r="A76" i="15"/>
  <c r="A77" i="15" s="1"/>
  <c r="A32" i="15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100" i="15"/>
  <c r="I149" i="15"/>
  <c r="E152" i="15"/>
  <c r="E147" i="15"/>
  <c r="J52" i="28"/>
  <c r="J50" i="28"/>
  <c r="J49" i="28"/>
  <c r="L30" i="28"/>
  <c r="E75" i="15" l="1"/>
  <c r="A162" i="15"/>
  <c r="I162" i="15"/>
  <c r="A103" i="15"/>
  <c r="E11" i="15"/>
  <c r="I77" i="15"/>
  <c r="E19" i="15"/>
  <c r="A15" i="15"/>
  <c r="A16" i="15" s="1"/>
  <c r="A17" i="15" s="1"/>
  <c r="A18" i="15" s="1"/>
  <c r="A19" i="15" s="1"/>
  <c r="A20" i="15" s="1"/>
  <c r="A21" i="15" s="1"/>
  <c r="A22" i="15" s="1"/>
  <c r="A23" i="15" s="1"/>
  <c r="A24" i="15" s="1"/>
  <c r="A80" i="15"/>
  <c r="E10" i="15"/>
  <c r="J35" i="28"/>
  <c r="J18" i="28"/>
  <c r="J9" i="28"/>
  <c r="C8" i="72"/>
  <c r="L9" i="28" s="1"/>
  <c r="A36" i="72"/>
  <c r="J53" i="28" s="1"/>
  <c r="A28" i="72"/>
  <c r="J36" i="28" s="1"/>
  <c r="C34" i="72"/>
  <c r="L52" i="28" s="1"/>
  <c r="A24" i="72"/>
  <c r="J19" i="28" s="1"/>
  <c r="A10" i="72"/>
  <c r="A12" i="72" s="1"/>
  <c r="A14" i="72" s="1"/>
  <c r="A16" i="72" s="1"/>
  <c r="A18" i="72" s="1"/>
  <c r="A20" i="72" s="1"/>
  <c r="J15" i="28" s="1"/>
  <c r="C36" i="72"/>
  <c r="L53" i="28" s="1"/>
  <c r="C32" i="72"/>
  <c r="L49" i="28" s="1"/>
  <c r="C30" i="72"/>
  <c r="L37" i="28" s="1"/>
  <c r="L51" i="28" s="1"/>
  <c r="C28" i="72"/>
  <c r="L36" i="28" s="1"/>
  <c r="C26" i="72"/>
  <c r="C24" i="72"/>
  <c r="L19" i="28" s="1"/>
  <c r="C22" i="72"/>
  <c r="L18" i="28" s="1"/>
  <c r="C20" i="72"/>
  <c r="L15" i="28" s="1"/>
  <c r="C18" i="72"/>
  <c r="L14" i="28" s="1"/>
  <c r="C16" i="72"/>
  <c r="L13" i="28" s="1"/>
  <c r="C14" i="72"/>
  <c r="L12" i="28" s="1"/>
  <c r="C12" i="72"/>
  <c r="L11" i="28" s="1"/>
  <c r="C10" i="72"/>
  <c r="L10" i="28" s="1"/>
  <c r="L35" i="28" l="1"/>
  <c r="L50" i="28"/>
  <c r="A163" i="15"/>
  <c r="A164" i="15" s="1"/>
  <c r="E13" i="15" s="1"/>
  <c r="E24" i="15"/>
  <c r="A30" i="72"/>
  <c r="J37" i="28" s="1"/>
  <c r="J11" i="28"/>
  <c r="J13" i="28"/>
  <c r="J10" i="28"/>
  <c r="J12" i="28"/>
  <c r="J14" i="28"/>
  <c r="I164" i="15" l="1"/>
  <c r="E33" i="48"/>
  <c r="E32" i="48"/>
  <c r="E31" i="48"/>
  <c r="E30" i="48"/>
  <c r="E29" i="48"/>
  <c r="E28" i="48"/>
  <c r="E27" i="48"/>
  <c r="E26" i="48"/>
  <c r="E25" i="48"/>
  <c r="E24" i="48"/>
  <c r="E23" i="48"/>
  <c r="E22" i="48"/>
  <c r="E21" i="48"/>
  <c r="E20" i="48"/>
  <c r="E19" i="48"/>
  <c r="E18" i="48"/>
  <c r="E17" i="48"/>
  <c r="E16" i="48"/>
  <c r="E15" i="48"/>
  <c r="E14" i="48"/>
  <c r="I26" i="1" l="1"/>
  <c r="H23" i="8"/>
  <c r="L44" i="28" l="1"/>
  <c r="A10" i="28"/>
  <c r="A11" i="28" s="1"/>
  <c r="A12" i="28" s="1"/>
  <c r="L54" i="28" l="1"/>
  <c r="A13" i="28"/>
  <c r="L38" i="28"/>
  <c r="L46" i="28" s="1"/>
  <c r="A14" i="28" l="1"/>
  <c r="J20" i="28"/>
  <c r="H34" i="48"/>
  <c r="G34" i="48"/>
  <c r="D39" i="57" s="1"/>
  <c r="F34" i="48"/>
  <c r="E13" i="48"/>
  <c r="C39" i="57" l="1"/>
  <c r="E39" i="57" s="1"/>
  <c r="A15" i="28"/>
  <c r="E51" i="63"/>
  <c r="E50" i="63"/>
  <c r="E49" i="63"/>
  <c r="E48" i="63"/>
  <c r="E45" i="63"/>
  <c r="E44" i="63"/>
  <c r="E43" i="63"/>
  <c r="E42" i="63"/>
  <c r="E41" i="63"/>
  <c r="E40" i="63"/>
  <c r="E39" i="63"/>
  <c r="E38" i="63"/>
  <c r="E37" i="63"/>
  <c r="E36" i="63"/>
  <c r="E35" i="63"/>
  <c r="E34" i="63"/>
  <c r="E33" i="63"/>
  <c r="E32" i="63"/>
  <c r="E31" i="63"/>
  <c r="E30" i="63"/>
  <c r="E29" i="63"/>
  <c r="A16" i="28" l="1"/>
  <c r="A17" i="28" s="1"/>
  <c r="A18" i="28" l="1"/>
  <c r="J17" i="28"/>
  <c r="E25" i="12"/>
  <c r="A19" i="28" l="1"/>
  <c r="I22" i="1"/>
  <c r="A20" i="28" l="1"/>
  <c r="J21" i="28"/>
  <c r="A23" i="28" l="1"/>
  <c r="A24" i="28" s="1"/>
  <c r="A25" i="28" s="1"/>
  <c r="A26" i="28" s="1"/>
  <c r="A27" i="28" s="1"/>
  <c r="A28" i="28" s="1"/>
  <c r="A29" i="28" s="1"/>
  <c r="A30" i="28" s="1"/>
  <c r="I64" i="1" s="1"/>
  <c r="I63" i="1"/>
  <c r="A32" i="28" l="1"/>
  <c r="J32" i="28"/>
  <c r="J30" i="28"/>
  <c r="A35" i="28" l="1"/>
  <c r="A36" i="28" s="1"/>
  <c r="I65" i="1"/>
  <c r="H302" i="11"/>
  <c r="G302" i="11"/>
  <c r="H301" i="11"/>
  <c r="G301" i="11"/>
  <c r="H300" i="11"/>
  <c r="G300" i="11"/>
  <c r="H299" i="11"/>
  <c r="G299" i="11"/>
  <c r="H298" i="11"/>
  <c r="G298" i="11"/>
  <c r="H297" i="11"/>
  <c r="G297" i="11"/>
  <c r="H296" i="11"/>
  <c r="G296" i="11"/>
  <c r="H295" i="11"/>
  <c r="G295" i="11"/>
  <c r="H294" i="11"/>
  <c r="G294" i="11"/>
  <c r="H293" i="11"/>
  <c r="G293" i="11"/>
  <c r="H292" i="11"/>
  <c r="G292" i="11"/>
  <c r="H291" i="11"/>
  <c r="G291" i="11"/>
  <c r="H290" i="11"/>
  <c r="G290" i="11"/>
  <c r="H283" i="11"/>
  <c r="G283" i="11"/>
  <c r="H282" i="11"/>
  <c r="G282" i="11"/>
  <c r="H281" i="11"/>
  <c r="G281" i="11"/>
  <c r="H280" i="11"/>
  <c r="G280" i="11"/>
  <c r="H279" i="11"/>
  <c r="G279" i="11"/>
  <c r="H278" i="11"/>
  <c r="G278" i="11"/>
  <c r="H277" i="11"/>
  <c r="G277" i="11"/>
  <c r="H276" i="11"/>
  <c r="G276" i="11"/>
  <c r="H275" i="11"/>
  <c r="G275" i="11"/>
  <c r="H274" i="11"/>
  <c r="G274" i="11"/>
  <c r="H273" i="11"/>
  <c r="G273" i="11"/>
  <c r="H272" i="11"/>
  <c r="G272" i="11"/>
  <c r="H271" i="11"/>
  <c r="G271" i="11"/>
  <c r="H264" i="11"/>
  <c r="G264" i="11"/>
  <c r="H263" i="11"/>
  <c r="G263" i="11"/>
  <c r="H262" i="11"/>
  <c r="G262" i="11"/>
  <c r="H261" i="11"/>
  <c r="G261" i="11"/>
  <c r="H260" i="11"/>
  <c r="G260" i="11"/>
  <c r="H259" i="11"/>
  <c r="G259" i="11"/>
  <c r="H258" i="11"/>
  <c r="G258" i="11"/>
  <c r="H257" i="11"/>
  <c r="G257" i="11"/>
  <c r="H256" i="11"/>
  <c r="G256" i="11"/>
  <c r="H255" i="11"/>
  <c r="G255" i="11"/>
  <c r="H254" i="11"/>
  <c r="G254" i="11"/>
  <c r="H253" i="11"/>
  <c r="G253" i="11"/>
  <c r="H252" i="11"/>
  <c r="G252" i="11"/>
  <c r="H245" i="11"/>
  <c r="G245" i="11"/>
  <c r="H244" i="11"/>
  <c r="G244" i="11"/>
  <c r="H243" i="11"/>
  <c r="G243" i="11"/>
  <c r="H242" i="11"/>
  <c r="G242" i="11"/>
  <c r="H241" i="11"/>
  <c r="G241" i="11"/>
  <c r="H240" i="11"/>
  <c r="G240" i="11"/>
  <c r="H239" i="11"/>
  <c r="G239" i="11"/>
  <c r="H238" i="11"/>
  <c r="G238" i="11"/>
  <c r="H237" i="11"/>
  <c r="G237" i="11"/>
  <c r="H236" i="11"/>
  <c r="G236" i="11"/>
  <c r="H235" i="11"/>
  <c r="G235" i="11"/>
  <c r="H234" i="11"/>
  <c r="G234" i="11"/>
  <c r="H233" i="11"/>
  <c r="G233" i="11"/>
  <c r="H226" i="11"/>
  <c r="G226" i="11"/>
  <c r="H225" i="11"/>
  <c r="G225" i="11"/>
  <c r="H224" i="11"/>
  <c r="G224" i="11"/>
  <c r="H223" i="11"/>
  <c r="G223" i="11"/>
  <c r="H222" i="11"/>
  <c r="G222" i="11"/>
  <c r="H221" i="11"/>
  <c r="G221" i="11"/>
  <c r="H220" i="11"/>
  <c r="G220" i="11"/>
  <c r="H219" i="11"/>
  <c r="G219" i="11"/>
  <c r="H218" i="11"/>
  <c r="G218" i="11"/>
  <c r="H217" i="11"/>
  <c r="G217" i="11"/>
  <c r="H216" i="11"/>
  <c r="G216" i="11"/>
  <c r="H215" i="11"/>
  <c r="G215" i="11"/>
  <c r="H214" i="11"/>
  <c r="G214" i="11"/>
  <c r="H207" i="11"/>
  <c r="G207" i="11"/>
  <c r="H206" i="11"/>
  <c r="G206" i="11"/>
  <c r="H205" i="11"/>
  <c r="G205" i="11"/>
  <c r="H204" i="11"/>
  <c r="G204" i="11"/>
  <c r="H203" i="11"/>
  <c r="G203" i="11"/>
  <c r="H202" i="11"/>
  <c r="G202" i="11"/>
  <c r="H201" i="11"/>
  <c r="G201" i="11"/>
  <c r="H200" i="11"/>
  <c r="G200" i="11"/>
  <c r="H199" i="11"/>
  <c r="G199" i="11"/>
  <c r="H198" i="11"/>
  <c r="G198" i="11"/>
  <c r="H197" i="11"/>
  <c r="G197" i="11"/>
  <c r="H196" i="11"/>
  <c r="G196" i="11"/>
  <c r="H195" i="11"/>
  <c r="G195" i="11"/>
  <c r="H188" i="11"/>
  <c r="G188" i="11"/>
  <c r="H187" i="11"/>
  <c r="G187" i="11"/>
  <c r="H186" i="11"/>
  <c r="G186" i="11"/>
  <c r="H185" i="11"/>
  <c r="G185" i="11"/>
  <c r="H184" i="11"/>
  <c r="G184" i="11"/>
  <c r="H183" i="11"/>
  <c r="G183" i="11"/>
  <c r="H182" i="11"/>
  <c r="G182" i="11"/>
  <c r="H181" i="11"/>
  <c r="G181" i="11"/>
  <c r="H180" i="11"/>
  <c r="G180" i="11"/>
  <c r="H179" i="11"/>
  <c r="G179" i="11"/>
  <c r="H178" i="11"/>
  <c r="G178" i="11"/>
  <c r="H177" i="11"/>
  <c r="G177" i="11"/>
  <c r="H176" i="11"/>
  <c r="G176" i="11"/>
  <c r="H169" i="11"/>
  <c r="G169" i="11"/>
  <c r="H168" i="11"/>
  <c r="G168" i="11"/>
  <c r="H167" i="11"/>
  <c r="G167" i="11"/>
  <c r="H166" i="11"/>
  <c r="G166" i="11"/>
  <c r="H165" i="11"/>
  <c r="G165" i="11"/>
  <c r="H164" i="11"/>
  <c r="G164" i="11"/>
  <c r="H163" i="11"/>
  <c r="G163" i="11"/>
  <c r="H162" i="11"/>
  <c r="G162" i="11"/>
  <c r="H161" i="11"/>
  <c r="G161" i="11"/>
  <c r="H160" i="11"/>
  <c r="G160" i="11"/>
  <c r="H159" i="11"/>
  <c r="G159" i="11"/>
  <c r="H158" i="11"/>
  <c r="G158" i="11"/>
  <c r="H157" i="11"/>
  <c r="G157" i="11"/>
  <c r="H149" i="11"/>
  <c r="G149" i="11"/>
  <c r="H148" i="11"/>
  <c r="G148" i="11"/>
  <c r="H147" i="11"/>
  <c r="G147" i="11"/>
  <c r="H146" i="11"/>
  <c r="G146" i="11"/>
  <c r="H145" i="11"/>
  <c r="E102" i="11" s="1"/>
  <c r="G102" i="11" s="1"/>
  <c r="G145" i="11"/>
  <c r="H144" i="11"/>
  <c r="G144" i="11"/>
  <c r="H143" i="11"/>
  <c r="G143" i="11"/>
  <c r="H142" i="11"/>
  <c r="G142" i="11"/>
  <c r="H141" i="11"/>
  <c r="G141" i="11"/>
  <c r="H140" i="11"/>
  <c r="G140" i="11"/>
  <c r="H139" i="11"/>
  <c r="G139" i="11"/>
  <c r="H138" i="11"/>
  <c r="G138" i="11"/>
  <c r="H137" i="11"/>
  <c r="E94" i="11" s="1"/>
  <c r="G94" i="11" s="1"/>
  <c r="G137" i="11"/>
  <c r="H129" i="11"/>
  <c r="G129" i="11"/>
  <c r="H128" i="11"/>
  <c r="E105" i="11" s="1"/>
  <c r="G105" i="11" s="1"/>
  <c r="G128" i="11"/>
  <c r="H127" i="11"/>
  <c r="G127" i="11"/>
  <c r="H126" i="11"/>
  <c r="E103" i="11" s="1"/>
  <c r="G103" i="11" s="1"/>
  <c r="G126" i="11"/>
  <c r="H125" i="11"/>
  <c r="G125" i="11"/>
  <c r="H124" i="11"/>
  <c r="E101" i="11" s="1"/>
  <c r="G101" i="11" s="1"/>
  <c r="G124" i="11"/>
  <c r="H123" i="11"/>
  <c r="G123" i="11"/>
  <c r="H122" i="11"/>
  <c r="E99" i="11" s="1"/>
  <c r="G99" i="11" s="1"/>
  <c r="G122" i="11"/>
  <c r="H121" i="11"/>
  <c r="G121" i="11"/>
  <c r="H120" i="11"/>
  <c r="E97" i="11" s="1"/>
  <c r="G97" i="11" s="1"/>
  <c r="G120" i="11"/>
  <c r="H119" i="11"/>
  <c r="G119" i="11"/>
  <c r="H118" i="11"/>
  <c r="E95" i="11" s="1"/>
  <c r="G95" i="11" s="1"/>
  <c r="G118" i="11"/>
  <c r="H117" i="11"/>
  <c r="G117" i="11"/>
  <c r="F107" i="11"/>
  <c r="E98" i="11"/>
  <c r="G98" i="11" s="1"/>
  <c r="E106" i="11" l="1"/>
  <c r="G106" i="11" s="1"/>
  <c r="E96" i="11"/>
  <c r="G96" i="11" s="1"/>
  <c r="E100" i="11"/>
  <c r="G100" i="11" s="1"/>
  <c r="E104" i="11"/>
  <c r="G104" i="11" s="1"/>
  <c r="I50" i="28"/>
  <c r="A37" i="28"/>
  <c r="B63" i="28" s="1"/>
  <c r="G107" i="11" l="1"/>
  <c r="E107" i="11"/>
  <c r="I51" i="28"/>
  <c r="A38" i="28"/>
  <c r="J38" i="28"/>
  <c r="A41" i="28" l="1"/>
  <c r="I68" i="1"/>
  <c r="A42" i="28"/>
  <c r="A43" i="28" s="1"/>
  <c r="A44" i="28" s="1"/>
  <c r="I69" i="1" s="1"/>
  <c r="B175" i="21"/>
  <c r="B168" i="21"/>
  <c r="D164" i="21"/>
  <c r="M133" i="21"/>
  <c r="L133" i="21"/>
  <c r="K133" i="21"/>
  <c r="J133" i="21"/>
  <c r="I133" i="21"/>
  <c r="H133" i="21"/>
  <c r="G133" i="21"/>
  <c r="F133" i="21"/>
  <c r="D133" i="21"/>
  <c r="M84" i="21"/>
  <c r="L84" i="21"/>
  <c r="K84" i="21"/>
  <c r="J84" i="21"/>
  <c r="I84" i="21"/>
  <c r="H84" i="21"/>
  <c r="G84" i="21"/>
  <c r="F84" i="21"/>
  <c r="E84" i="21"/>
  <c r="D84" i="21"/>
  <c r="N83" i="21"/>
  <c r="N82" i="21"/>
  <c r="N81" i="21"/>
  <c r="N80" i="21"/>
  <c r="N79" i="21"/>
  <c r="N78" i="21"/>
  <c r="N77" i="21"/>
  <c r="N76" i="21"/>
  <c r="N75" i="21"/>
  <c r="N74" i="21"/>
  <c r="N73" i="21"/>
  <c r="N72" i="21"/>
  <c r="F58" i="21"/>
  <c r="F46" i="21"/>
  <c r="F51" i="21" s="1"/>
  <c r="F36" i="21"/>
  <c r="E36" i="21"/>
  <c r="D36" i="21"/>
  <c r="A36" i="21"/>
  <c r="G35" i="21"/>
  <c r="G34" i="21"/>
  <c r="G36" i="21" s="1"/>
  <c r="J19" i="8" s="1"/>
  <c r="D25" i="21"/>
  <c r="N24" i="21"/>
  <c r="A13" i="2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N12" i="21"/>
  <c r="M11" i="4"/>
  <c r="A12" i="4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M23" i="4"/>
  <c r="F35" i="4"/>
  <c r="F36" i="4"/>
  <c r="D37" i="7" s="1"/>
  <c r="C37" i="4"/>
  <c r="D37" i="4"/>
  <c r="E37" i="4"/>
  <c r="D44" i="4"/>
  <c r="H53" i="4"/>
  <c r="H54" i="4"/>
  <c r="F62" i="4" s="1"/>
  <c r="M76" i="4"/>
  <c r="M77" i="4"/>
  <c r="M78" i="4"/>
  <c r="M79" i="4"/>
  <c r="M80" i="4"/>
  <c r="M81" i="4"/>
  <c r="M82" i="4"/>
  <c r="M83" i="4"/>
  <c r="M84" i="4"/>
  <c r="M85" i="4"/>
  <c r="M86" i="4"/>
  <c r="M87" i="4"/>
  <c r="C88" i="4"/>
  <c r="D88" i="4"/>
  <c r="E88" i="4"/>
  <c r="F88" i="4"/>
  <c r="G88" i="4"/>
  <c r="H88" i="4"/>
  <c r="I88" i="4"/>
  <c r="J88" i="4"/>
  <c r="K88" i="4"/>
  <c r="L88" i="4"/>
  <c r="M97" i="4"/>
  <c r="M98" i="4"/>
  <c r="M99" i="4"/>
  <c r="M100" i="4"/>
  <c r="M101" i="4"/>
  <c r="M102" i="4"/>
  <c r="M103" i="4"/>
  <c r="M104" i="4"/>
  <c r="M105" i="4"/>
  <c r="M106" i="4"/>
  <c r="M107" i="4"/>
  <c r="M108" i="4"/>
  <c r="C109" i="4"/>
  <c r="C142" i="4" s="1"/>
  <c r="D109" i="4"/>
  <c r="E109" i="4"/>
  <c r="E142" i="4" s="1"/>
  <c r="F109" i="4"/>
  <c r="F142" i="4" s="1"/>
  <c r="G109" i="4"/>
  <c r="G142" i="4" s="1"/>
  <c r="H109" i="4"/>
  <c r="I109" i="4"/>
  <c r="I142" i="4" s="1"/>
  <c r="J109" i="4"/>
  <c r="J142" i="4" s="1"/>
  <c r="K109" i="4"/>
  <c r="K142" i="4" s="1"/>
  <c r="L109" i="4"/>
  <c r="C118" i="4"/>
  <c r="D118" i="4"/>
  <c r="E118" i="4"/>
  <c r="F118" i="4"/>
  <c r="G118" i="4"/>
  <c r="H118" i="4"/>
  <c r="I118" i="4"/>
  <c r="J118" i="4"/>
  <c r="K118" i="4"/>
  <c r="L118" i="4"/>
  <c r="C119" i="4"/>
  <c r="D119" i="4"/>
  <c r="E119" i="4"/>
  <c r="F119" i="4"/>
  <c r="G119" i="4"/>
  <c r="H119" i="4"/>
  <c r="I119" i="4"/>
  <c r="J119" i="4"/>
  <c r="K119" i="4"/>
  <c r="L119" i="4"/>
  <c r="C120" i="4"/>
  <c r="D120" i="4"/>
  <c r="E120" i="4"/>
  <c r="F120" i="4"/>
  <c r="G120" i="4"/>
  <c r="H120" i="4"/>
  <c r="I120" i="4"/>
  <c r="J120" i="4"/>
  <c r="K120" i="4"/>
  <c r="L120" i="4"/>
  <c r="C121" i="4"/>
  <c r="D121" i="4"/>
  <c r="E121" i="4"/>
  <c r="F121" i="4"/>
  <c r="G121" i="4"/>
  <c r="H121" i="4"/>
  <c r="I121" i="4"/>
  <c r="J121" i="4"/>
  <c r="K121" i="4"/>
  <c r="L121" i="4"/>
  <c r="C122" i="4"/>
  <c r="D122" i="4"/>
  <c r="E122" i="4"/>
  <c r="F122" i="4"/>
  <c r="G122" i="4"/>
  <c r="H122" i="4"/>
  <c r="I122" i="4"/>
  <c r="J122" i="4"/>
  <c r="K122" i="4"/>
  <c r="L122" i="4"/>
  <c r="C123" i="4"/>
  <c r="D123" i="4"/>
  <c r="E123" i="4"/>
  <c r="F123" i="4"/>
  <c r="G123" i="4"/>
  <c r="H123" i="4"/>
  <c r="I123" i="4"/>
  <c r="J123" i="4"/>
  <c r="K123" i="4"/>
  <c r="L123" i="4"/>
  <c r="C124" i="4"/>
  <c r="D124" i="4"/>
  <c r="E124" i="4"/>
  <c r="F124" i="4"/>
  <c r="G124" i="4"/>
  <c r="H124" i="4"/>
  <c r="I124" i="4"/>
  <c r="J124" i="4"/>
  <c r="K124" i="4"/>
  <c r="L124" i="4"/>
  <c r="C125" i="4"/>
  <c r="D125" i="4"/>
  <c r="E125" i="4"/>
  <c r="F125" i="4"/>
  <c r="G125" i="4"/>
  <c r="H125" i="4"/>
  <c r="I125" i="4"/>
  <c r="J125" i="4"/>
  <c r="K125" i="4"/>
  <c r="L125" i="4"/>
  <c r="C126" i="4"/>
  <c r="D126" i="4"/>
  <c r="E126" i="4"/>
  <c r="F126" i="4"/>
  <c r="G126" i="4"/>
  <c r="H126" i="4"/>
  <c r="I126" i="4"/>
  <c r="J126" i="4"/>
  <c r="K126" i="4"/>
  <c r="L126" i="4"/>
  <c r="C127" i="4"/>
  <c r="D127" i="4"/>
  <c r="E127" i="4"/>
  <c r="F127" i="4"/>
  <c r="G127" i="4"/>
  <c r="H127" i="4"/>
  <c r="I127" i="4"/>
  <c r="J127" i="4"/>
  <c r="K127" i="4"/>
  <c r="L127" i="4"/>
  <c r="C128" i="4"/>
  <c r="D128" i="4"/>
  <c r="E128" i="4"/>
  <c r="F128" i="4"/>
  <c r="G128" i="4"/>
  <c r="H128" i="4"/>
  <c r="I128" i="4"/>
  <c r="J128" i="4"/>
  <c r="K128" i="4"/>
  <c r="L128" i="4"/>
  <c r="C129" i="4"/>
  <c r="D129" i="4"/>
  <c r="E129" i="4"/>
  <c r="F129" i="4"/>
  <c r="G129" i="4"/>
  <c r="H129" i="4"/>
  <c r="I129" i="4"/>
  <c r="J129" i="4"/>
  <c r="K129" i="4"/>
  <c r="L129" i="4"/>
  <c r="C137" i="4"/>
  <c r="D137" i="4"/>
  <c r="E137" i="4"/>
  <c r="F137" i="4"/>
  <c r="G137" i="4"/>
  <c r="H137" i="4"/>
  <c r="I137" i="4"/>
  <c r="J137" i="4"/>
  <c r="K137" i="4"/>
  <c r="L137" i="4"/>
  <c r="D142" i="4"/>
  <c r="H142" i="4"/>
  <c r="L142" i="4"/>
  <c r="B171" i="4"/>
  <c r="B172" i="4"/>
  <c r="B182" i="4"/>
  <c r="G24" i="2"/>
  <c r="G22" i="2"/>
  <c r="G130" i="4" l="1"/>
  <c r="M137" i="4"/>
  <c r="L130" i="4"/>
  <c r="D130" i="4"/>
  <c r="H130" i="4"/>
  <c r="K130" i="4"/>
  <c r="C130" i="4"/>
  <c r="H147" i="4"/>
  <c r="D147" i="4"/>
  <c r="D162" i="4" s="1"/>
  <c r="J147" i="4"/>
  <c r="F147" i="4"/>
  <c r="F130" i="4"/>
  <c r="F166" i="4" s="1"/>
  <c r="M109" i="4"/>
  <c r="M142" i="4" s="1"/>
  <c r="M147" i="4" s="1"/>
  <c r="I130" i="4"/>
  <c r="E130" i="4"/>
  <c r="J130" i="4"/>
  <c r="L147" i="4"/>
  <c r="L166" i="4" s="1"/>
  <c r="F37" i="4"/>
  <c r="I147" i="4"/>
  <c r="I157" i="4" s="1"/>
  <c r="G147" i="4"/>
  <c r="K147" i="4"/>
  <c r="K159" i="4" s="1"/>
  <c r="C147" i="4"/>
  <c r="C163" i="4" s="1"/>
  <c r="E147" i="4"/>
  <c r="F57" i="4"/>
  <c r="M88" i="4"/>
  <c r="A44" i="21"/>
  <c r="H19" i="8"/>
  <c r="A25" i="21"/>
  <c r="A34" i="21" s="1"/>
  <c r="B179" i="21"/>
  <c r="K22" i="1"/>
  <c r="D39" i="7"/>
  <c r="N84" i="21"/>
  <c r="B169" i="21"/>
  <c r="J44" i="28"/>
  <c r="J46" i="28"/>
  <c r="A46" i="28"/>
  <c r="M129" i="4"/>
  <c r="M128" i="4"/>
  <c r="M127" i="4"/>
  <c r="M126" i="4"/>
  <c r="M125" i="4"/>
  <c r="M124" i="4"/>
  <c r="M123" i="4"/>
  <c r="M122" i="4"/>
  <c r="M121" i="4"/>
  <c r="M120" i="4"/>
  <c r="M119" i="4"/>
  <c r="M118" i="4"/>
  <c r="A24" i="4"/>
  <c r="A45" i="21"/>
  <c r="G46" i="21" s="1"/>
  <c r="N133" i="21"/>
  <c r="K9" i="1"/>
  <c r="E71" i="65"/>
  <c r="I166" i="4" l="1"/>
  <c r="L167" i="4"/>
  <c r="L159" i="4"/>
  <c r="E160" i="4"/>
  <c r="G163" i="4"/>
  <c r="H167" i="4"/>
  <c r="E161" i="4"/>
  <c r="D164" i="4"/>
  <c r="D159" i="4"/>
  <c r="D156" i="4"/>
  <c r="D12" i="4" s="1"/>
  <c r="L158" i="4"/>
  <c r="L157" i="4"/>
  <c r="H166" i="4"/>
  <c r="L163" i="4"/>
  <c r="D161" i="4"/>
  <c r="D160" i="4"/>
  <c r="H159" i="4"/>
  <c r="H161" i="4"/>
  <c r="H156" i="4"/>
  <c r="H12" i="4" s="1"/>
  <c r="H158" i="4"/>
  <c r="L160" i="4"/>
  <c r="H163" i="4"/>
  <c r="L161" i="4"/>
  <c r="L162" i="4"/>
  <c r="D167" i="4"/>
  <c r="D165" i="4"/>
  <c r="F156" i="4"/>
  <c r="F12" i="4" s="1"/>
  <c r="H157" i="4"/>
  <c r="K165" i="4"/>
  <c r="D158" i="4"/>
  <c r="H160" i="4"/>
  <c r="H164" i="4"/>
  <c r="H165" i="4"/>
  <c r="H162" i="4"/>
  <c r="L164" i="4"/>
  <c r="L156" i="4"/>
  <c r="L12" i="4" s="1"/>
  <c r="D157" i="4"/>
  <c r="D13" i="4" s="1"/>
  <c r="C167" i="4"/>
  <c r="C166" i="4"/>
  <c r="C161" i="4"/>
  <c r="J157" i="4"/>
  <c r="F157" i="4"/>
  <c r="K157" i="4"/>
  <c r="J165" i="4"/>
  <c r="E167" i="4"/>
  <c r="K158" i="4"/>
  <c r="J158" i="4"/>
  <c r="J160" i="4"/>
  <c r="J162" i="4"/>
  <c r="C162" i="4"/>
  <c r="L165" i="4"/>
  <c r="D163" i="4"/>
  <c r="D166" i="4"/>
  <c r="I158" i="4"/>
  <c r="J167" i="4"/>
  <c r="J159" i="4"/>
  <c r="J156" i="4"/>
  <c r="J12" i="4" s="1"/>
  <c r="E162" i="4"/>
  <c r="E157" i="4"/>
  <c r="J166" i="4"/>
  <c r="J164" i="4"/>
  <c r="J161" i="4"/>
  <c r="E159" i="4"/>
  <c r="I163" i="4"/>
  <c r="M130" i="4"/>
  <c r="G162" i="4"/>
  <c r="I164" i="4"/>
  <c r="I156" i="4"/>
  <c r="I161" i="4"/>
  <c r="F162" i="4"/>
  <c r="F165" i="4"/>
  <c r="F158" i="4"/>
  <c r="C160" i="4"/>
  <c r="C159" i="4"/>
  <c r="E165" i="4"/>
  <c r="G166" i="4"/>
  <c r="I162" i="4"/>
  <c r="I167" i="4"/>
  <c r="I159" i="4"/>
  <c r="J163" i="4"/>
  <c r="F164" i="4"/>
  <c r="F159" i="4"/>
  <c r="F161" i="4"/>
  <c r="F160" i="4"/>
  <c r="G161" i="4"/>
  <c r="I160" i="4"/>
  <c r="I165" i="4"/>
  <c r="F163" i="4"/>
  <c r="F167" i="4"/>
  <c r="K164" i="4"/>
  <c r="E166" i="4"/>
  <c r="E158" i="4"/>
  <c r="E163" i="4"/>
  <c r="K162" i="4"/>
  <c r="K166" i="4"/>
  <c r="K161" i="4"/>
  <c r="K156" i="4"/>
  <c r="K12" i="4" s="1"/>
  <c r="K163" i="4"/>
  <c r="E164" i="4"/>
  <c r="E156" i="4"/>
  <c r="E12" i="4" s="1"/>
  <c r="K160" i="4"/>
  <c r="K167" i="4"/>
  <c r="G160" i="4"/>
  <c r="G159" i="4"/>
  <c r="C158" i="4"/>
  <c r="C165" i="4"/>
  <c r="C157" i="4"/>
  <c r="G158" i="4"/>
  <c r="G165" i="4"/>
  <c r="G157" i="4"/>
  <c r="G167" i="4"/>
  <c r="C164" i="4"/>
  <c r="C156" i="4"/>
  <c r="C12" i="4" s="1"/>
  <c r="G164" i="4"/>
  <c r="G156" i="4"/>
  <c r="A49" i="28"/>
  <c r="I70" i="1"/>
  <c r="H36" i="21"/>
  <c r="B174" i="21"/>
  <c r="A50" i="28"/>
  <c r="A51" i="28" s="1"/>
  <c r="A52" i="28" s="1"/>
  <c r="A35" i="4"/>
  <c r="H53" i="64" s="1"/>
  <c r="G58" i="21"/>
  <c r="A46" i="21"/>
  <c r="F100" i="12"/>
  <c r="G90" i="12"/>
  <c r="B108" i="12"/>
  <c r="L13" i="4" l="1"/>
  <c r="L14" i="4" s="1"/>
  <c r="H13" i="4"/>
  <c r="H14" i="4" s="1"/>
  <c r="L168" i="4"/>
  <c r="F13" i="4"/>
  <c r="F14" i="4" s="1"/>
  <c r="H168" i="4"/>
  <c r="K13" i="4"/>
  <c r="K14" i="4" s="1"/>
  <c r="K15" i="4" s="1"/>
  <c r="K16" i="4" s="1"/>
  <c r="K17" i="4" s="1"/>
  <c r="K18" i="4" s="1"/>
  <c r="K19" i="4" s="1"/>
  <c r="K20" i="4" s="1"/>
  <c r="K21" i="4" s="1"/>
  <c r="K22" i="4" s="1"/>
  <c r="D168" i="4"/>
  <c r="M162" i="4"/>
  <c r="F168" i="4"/>
  <c r="D14" i="4"/>
  <c r="D15" i="4" s="1"/>
  <c r="D16" i="4" s="1"/>
  <c r="D17" i="4" s="1"/>
  <c r="D18" i="4" s="1"/>
  <c r="D19" i="4" s="1"/>
  <c r="D20" i="4" s="1"/>
  <c r="D21" i="4" s="1"/>
  <c r="D22" i="4" s="1"/>
  <c r="M160" i="4"/>
  <c r="M166" i="4"/>
  <c r="J13" i="4"/>
  <c r="J14" i="4" s="1"/>
  <c r="J15" i="4" s="1"/>
  <c r="J16" i="4" s="1"/>
  <c r="J17" i="4" s="1"/>
  <c r="J18" i="4" s="1"/>
  <c r="J19" i="4" s="1"/>
  <c r="J20" i="4" s="1"/>
  <c r="J21" i="4" s="1"/>
  <c r="J22" i="4" s="1"/>
  <c r="M157" i="4"/>
  <c r="E13" i="4"/>
  <c r="E14" i="4" s="1"/>
  <c r="E15" i="4" s="1"/>
  <c r="E16" i="4" s="1"/>
  <c r="E17" i="4" s="1"/>
  <c r="E18" i="4" s="1"/>
  <c r="E19" i="4" s="1"/>
  <c r="E20" i="4" s="1"/>
  <c r="E21" i="4" s="1"/>
  <c r="E22" i="4" s="1"/>
  <c r="M159" i="4"/>
  <c r="M163" i="4"/>
  <c r="I168" i="4"/>
  <c r="I12" i="4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J168" i="4"/>
  <c r="M165" i="4"/>
  <c r="M156" i="4"/>
  <c r="F15" i="4"/>
  <c r="F16" i="4" s="1"/>
  <c r="F17" i="4" s="1"/>
  <c r="F18" i="4" s="1"/>
  <c r="F19" i="4" s="1"/>
  <c r="F20" i="4" s="1"/>
  <c r="F21" i="4" s="1"/>
  <c r="F22" i="4" s="1"/>
  <c r="G12" i="4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K168" i="4"/>
  <c r="E168" i="4"/>
  <c r="G168" i="4"/>
  <c r="M164" i="4"/>
  <c r="M167" i="4"/>
  <c r="C13" i="4"/>
  <c r="M161" i="4"/>
  <c r="C168" i="4"/>
  <c r="M158" i="4"/>
  <c r="A53" i="28"/>
  <c r="G24" i="4"/>
  <c r="A36" i="4"/>
  <c r="B177" i="4"/>
  <c r="G51" i="21"/>
  <c r="A51" i="21"/>
  <c r="L15" i="4" l="1"/>
  <c r="L16" i="4" s="1"/>
  <c r="L17" i="4" s="1"/>
  <c r="L18" i="4" s="1"/>
  <c r="L19" i="4" s="1"/>
  <c r="L20" i="4" s="1"/>
  <c r="L21" i="4" s="1"/>
  <c r="L22" i="4" s="1"/>
  <c r="F24" i="4"/>
  <c r="M12" i="4"/>
  <c r="H15" i="4"/>
  <c r="H16" i="4" s="1"/>
  <c r="H17" i="4" s="1"/>
  <c r="H18" i="4" s="1"/>
  <c r="H19" i="4" s="1"/>
  <c r="H20" i="4" s="1"/>
  <c r="H21" i="4" s="1"/>
  <c r="H22" i="4" s="1"/>
  <c r="I24" i="4"/>
  <c r="D24" i="4"/>
  <c r="K24" i="4"/>
  <c r="E24" i="4"/>
  <c r="J24" i="4"/>
  <c r="M13" i="4"/>
  <c r="C14" i="4"/>
  <c r="M14" i="4" s="1"/>
  <c r="M168" i="4"/>
  <c r="H54" i="64"/>
  <c r="E37" i="7"/>
  <c r="A54" i="28"/>
  <c r="I73" i="1" s="1"/>
  <c r="J54" i="28"/>
  <c r="A37" i="4"/>
  <c r="B178" i="4"/>
  <c r="E44" i="4"/>
  <c r="A52" i="21"/>
  <c r="A53" i="21" s="1"/>
  <c r="H24" i="4" l="1"/>
  <c r="L24" i="4"/>
  <c r="C15" i="4"/>
  <c r="C16" i="4" s="1"/>
  <c r="A58" i="21"/>
  <c r="H20" i="8"/>
  <c r="G53" i="21"/>
  <c r="M15" i="4"/>
  <c r="A43" i="4"/>
  <c r="A44" i="4" s="1"/>
  <c r="A53" i="4" s="1"/>
  <c r="E43" i="4"/>
  <c r="A59" i="21"/>
  <c r="A60" i="21" s="1"/>
  <c r="G60" i="21" l="1"/>
  <c r="I23" i="1"/>
  <c r="A72" i="21"/>
  <c r="M16" i="4"/>
  <c r="C17" i="4"/>
  <c r="A54" i="4"/>
  <c r="G57" i="4" s="1"/>
  <c r="H6" i="8"/>
  <c r="A73" i="21" l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93" i="21" s="1"/>
  <c r="M17" i="4"/>
  <c r="C18" i="4"/>
  <c r="A57" i="4"/>
  <c r="G62" i="4"/>
  <c r="I9" i="1"/>
  <c r="A94" i="21" l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M18" i="4"/>
  <c r="C19" i="4"/>
  <c r="A58" i="4"/>
  <c r="A59" i="4" s="1"/>
  <c r="A62" i="4" s="1"/>
  <c r="E22" i="2"/>
  <c r="E24" i="2"/>
  <c r="B180" i="21" l="1"/>
  <c r="A114" i="21"/>
  <c r="B171" i="21"/>
  <c r="B178" i="21"/>
  <c r="M19" i="4"/>
  <c r="C20" i="4"/>
  <c r="A63" i="4"/>
  <c r="A64" i="4" s="1"/>
  <c r="A76" i="4" s="1"/>
  <c r="G59" i="4"/>
  <c r="H7" i="8"/>
  <c r="A115" i="21" l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33" i="21" s="1"/>
  <c r="M20" i="4"/>
  <c r="C21" i="4"/>
  <c r="G64" i="4"/>
  <c r="A77" i="4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97" i="4" s="1"/>
  <c r="I10" i="1"/>
  <c r="A138" i="21" l="1"/>
  <c r="A143" i="21" s="1"/>
  <c r="A152" i="21" s="1"/>
  <c r="M21" i="4"/>
  <c r="C22" i="4"/>
  <c r="A98" i="4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B182" i="21" l="1"/>
  <c r="B181" i="21"/>
  <c r="A153" i="2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M22" i="4"/>
  <c r="M24" i="4" s="1"/>
  <c r="D43" i="4" s="1"/>
  <c r="C24" i="4"/>
  <c r="B181" i="4"/>
  <c r="B175" i="4"/>
  <c r="A118" i="4"/>
  <c r="B183" i="4"/>
  <c r="E30" i="11"/>
  <c r="B172" i="21" l="1"/>
  <c r="A119" i="4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7" i="4" s="1"/>
  <c r="D59" i="64"/>
  <c r="L28" i="64"/>
  <c r="K28" i="64"/>
  <c r="J28" i="64"/>
  <c r="I28" i="64"/>
  <c r="H28" i="64"/>
  <c r="G28" i="64"/>
  <c r="F28" i="64"/>
  <c r="E28" i="64"/>
  <c r="D28" i="64"/>
  <c r="C28" i="64"/>
  <c r="A142" i="4" l="1"/>
  <c r="A147" i="4" s="1"/>
  <c r="A156" i="4" s="1"/>
  <c r="J6" i="8"/>
  <c r="B185" i="4" l="1"/>
  <c r="A157" i="4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B184" i="4"/>
  <c r="B174" i="4" l="1"/>
  <c r="K69" i="1" l="1"/>
  <c r="K64" i="1"/>
  <c r="K73" i="1" l="1"/>
  <c r="K70" i="1" l="1"/>
  <c r="K84" i="1" s="1"/>
  <c r="K68" i="1"/>
  <c r="L54" i="46" l="1"/>
  <c r="E139" i="46" s="1"/>
  <c r="I139" i="46" s="1"/>
  <c r="K54" i="46"/>
  <c r="D139" i="46" s="1"/>
  <c r="H139" i="46" s="1"/>
  <c r="G139" i="46" s="1"/>
  <c r="E61" i="46"/>
  <c r="D61" i="46"/>
  <c r="G54" i="46"/>
  <c r="C54" i="46"/>
  <c r="J54" i="46" l="1"/>
  <c r="C139" i="46" s="1"/>
  <c r="D76" i="49"/>
  <c r="D75" i="49"/>
  <c r="D74" i="49"/>
  <c r="D73" i="49"/>
  <c r="D72" i="49"/>
  <c r="D71" i="49"/>
  <c r="D70" i="49"/>
  <c r="D69" i="49"/>
  <c r="D68" i="49"/>
  <c r="D67" i="49"/>
  <c r="D66" i="49"/>
  <c r="D65" i="49"/>
  <c r="D64" i="49"/>
  <c r="D63" i="49"/>
  <c r="D62" i="49"/>
  <c r="D61" i="49"/>
  <c r="D60" i="49"/>
  <c r="D59" i="49"/>
  <c r="D58" i="49"/>
  <c r="D57" i="49"/>
  <c r="D56" i="49"/>
  <c r="B34" i="31" l="1"/>
  <c r="E116" i="49" l="1"/>
  <c r="F43" i="26" l="1"/>
  <c r="K108" i="1" l="1"/>
  <c r="E51" i="7" l="1"/>
  <c r="D57" i="7"/>
  <c r="D53" i="7"/>
  <c r="F25" i="49" l="1"/>
  <c r="E25" i="49"/>
  <c r="F19" i="71" l="1"/>
  <c r="F18" i="71"/>
  <c r="E19" i="71"/>
  <c r="E18" i="71"/>
  <c r="F141" i="71"/>
  <c r="F140" i="71"/>
  <c r="F46" i="71"/>
  <c r="E41" i="71"/>
  <c r="D19" i="71"/>
  <c r="D18" i="71"/>
  <c r="D17" i="71"/>
  <c r="D16" i="71"/>
  <c r="D15" i="71"/>
  <c r="D14" i="71"/>
  <c r="D13" i="71"/>
  <c r="D12" i="71"/>
  <c r="D11" i="71"/>
  <c r="D10" i="71"/>
  <c r="D53" i="71" s="1"/>
  <c r="A10" i="71"/>
  <c r="A11" i="71" s="1"/>
  <c r="A12" i="71" s="1"/>
  <c r="A13" i="71" s="1"/>
  <c r="A14" i="71" s="1"/>
  <c r="A15" i="71" s="1"/>
  <c r="A16" i="71" s="1"/>
  <c r="A17" i="71" s="1"/>
  <c r="A18" i="71" s="1"/>
  <c r="A19" i="71" s="1"/>
  <c r="D9" i="71"/>
  <c r="D46" i="71" s="1"/>
  <c r="F53" i="71"/>
  <c r="D38" i="7"/>
  <c r="E35" i="61"/>
  <c r="F76" i="61"/>
  <c r="G76" i="61" s="1"/>
  <c r="F43" i="61"/>
  <c r="J43" i="61" s="1"/>
  <c r="G12" i="2"/>
  <c r="C86" i="46"/>
  <c r="G56" i="26"/>
  <c r="E64" i="26"/>
  <c r="G11" i="2" s="1"/>
  <c r="B87" i="44"/>
  <c r="H69" i="44"/>
  <c r="H66" i="44"/>
  <c r="H52" i="44"/>
  <c r="I31" i="44"/>
  <c r="H31" i="44"/>
  <c r="A12" i="44"/>
  <c r="A13" i="44"/>
  <c r="K21" i="1"/>
  <c r="E80" i="46"/>
  <c r="E82" i="46" s="1"/>
  <c r="D80" i="46"/>
  <c r="C78" i="46"/>
  <c r="J78" i="46" s="1"/>
  <c r="C163" i="46" s="1"/>
  <c r="I80" i="46"/>
  <c r="L79" i="46"/>
  <c r="E164" i="46" s="1"/>
  <c r="I164" i="46" s="1"/>
  <c r="K78" i="46"/>
  <c r="D163" i="46" s="1"/>
  <c r="H163" i="46" s="1"/>
  <c r="K77" i="46"/>
  <c r="D162" i="46" s="1"/>
  <c r="L77" i="46"/>
  <c r="E162" i="46" s="1"/>
  <c r="I162" i="46" s="1"/>
  <c r="C77" i="46"/>
  <c r="G76" i="46"/>
  <c r="L76" i="46"/>
  <c r="K76" i="46"/>
  <c r="D161" i="46" s="1"/>
  <c r="H161" i="46" s="1"/>
  <c r="C76" i="46"/>
  <c r="G75" i="46"/>
  <c r="L75" i="46"/>
  <c r="K75" i="46"/>
  <c r="D160" i="46" s="1"/>
  <c r="H160" i="46" s="1"/>
  <c r="C75" i="46"/>
  <c r="G74" i="46"/>
  <c r="L74" i="46"/>
  <c r="K74" i="46"/>
  <c r="D159" i="46" s="1"/>
  <c r="H159" i="46" s="1"/>
  <c r="C74" i="46"/>
  <c r="G73" i="46"/>
  <c r="L73" i="46"/>
  <c r="K73" i="46"/>
  <c r="D158" i="46" s="1"/>
  <c r="H158" i="46" s="1"/>
  <c r="C73" i="46"/>
  <c r="G72" i="46"/>
  <c r="L72" i="46"/>
  <c r="K72" i="46"/>
  <c r="D157" i="46" s="1"/>
  <c r="H157" i="46" s="1"/>
  <c r="C72" i="46"/>
  <c r="G71" i="46"/>
  <c r="L71" i="46"/>
  <c r="K71" i="46"/>
  <c r="D156" i="46" s="1"/>
  <c r="H156" i="46" s="1"/>
  <c r="C71" i="46"/>
  <c r="G70" i="46"/>
  <c r="L78" i="46"/>
  <c r="E163" i="46" s="1"/>
  <c r="I163" i="46" s="1"/>
  <c r="K70" i="46"/>
  <c r="D155" i="46" s="1"/>
  <c r="H155" i="46" s="1"/>
  <c r="C70" i="46"/>
  <c r="I61" i="46"/>
  <c r="L60" i="46"/>
  <c r="E145" i="46" s="1"/>
  <c r="G59" i="46"/>
  <c r="G58" i="46"/>
  <c r="L58" i="46"/>
  <c r="E143" i="46" s="1"/>
  <c r="I143" i="46" s="1"/>
  <c r="C58" i="46"/>
  <c r="K57" i="46"/>
  <c r="D142" i="46" s="1"/>
  <c r="G57" i="46"/>
  <c r="L57" i="46"/>
  <c r="E142" i="46" s="1"/>
  <c r="I142" i="46" s="1"/>
  <c r="C57" i="46"/>
  <c r="G56" i="46"/>
  <c r="L56" i="46"/>
  <c r="E141" i="46" s="1"/>
  <c r="I141" i="46" s="1"/>
  <c r="C56" i="46"/>
  <c r="K55" i="46"/>
  <c r="G55" i="46"/>
  <c r="L55" i="46"/>
  <c r="E140" i="46" s="1"/>
  <c r="I140" i="46" s="1"/>
  <c r="C55" i="46"/>
  <c r="G53" i="46"/>
  <c r="L53" i="46"/>
  <c r="E138" i="46" s="1"/>
  <c r="I138" i="46" s="1"/>
  <c r="C53" i="46"/>
  <c r="K52" i="46"/>
  <c r="D137" i="46" s="1"/>
  <c r="H137" i="46" s="1"/>
  <c r="G52" i="46"/>
  <c r="L52" i="46"/>
  <c r="E137" i="46" s="1"/>
  <c r="I137" i="46" s="1"/>
  <c r="C52" i="46"/>
  <c r="G51" i="46"/>
  <c r="L51" i="46"/>
  <c r="E136" i="46" s="1"/>
  <c r="I136" i="46" s="1"/>
  <c r="C51" i="46"/>
  <c r="K50" i="46"/>
  <c r="D135" i="46" s="1"/>
  <c r="H135" i="46" s="1"/>
  <c r="G50" i="46"/>
  <c r="L50" i="46"/>
  <c r="E135" i="46" s="1"/>
  <c r="I135" i="46" s="1"/>
  <c r="C50" i="46"/>
  <c r="G49" i="46"/>
  <c r="L49" i="46"/>
  <c r="E134" i="46" s="1"/>
  <c r="I134" i="46" s="1"/>
  <c r="C49" i="46"/>
  <c r="K48" i="46"/>
  <c r="D133" i="46" s="1"/>
  <c r="G48" i="46"/>
  <c r="L48" i="46"/>
  <c r="E133" i="46" s="1"/>
  <c r="I133" i="46" s="1"/>
  <c r="C48" i="46"/>
  <c r="G47" i="46"/>
  <c r="L47" i="46"/>
  <c r="E132" i="46" s="1"/>
  <c r="I132" i="46" s="1"/>
  <c r="C47" i="46"/>
  <c r="K46" i="46"/>
  <c r="D131" i="46" s="1"/>
  <c r="H131" i="46" s="1"/>
  <c r="G46" i="46"/>
  <c r="L46" i="46"/>
  <c r="E131" i="46" s="1"/>
  <c r="I131" i="46" s="1"/>
  <c r="C46" i="46"/>
  <c r="G45" i="46"/>
  <c r="L45" i="46"/>
  <c r="E130" i="46" s="1"/>
  <c r="I130" i="46" s="1"/>
  <c r="C45" i="46"/>
  <c r="K44" i="46"/>
  <c r="D129" i="46" s="1"/>
  <c r="G44" i="46"/>
  <c r="L44" i="46"/>
  <c r="E129" i="46" s="1"/>
  <c r="I129" i="46" s="1"/>
  <c r="C44" i="46"/>
  <c r="G43" i="46"/>
  <c r="L43" i="46"/>
  <c r="E128" i="46" s="1"/>
  <c r="I128" i="46" s="1"/>
  <c r="C43" i="46"/>
  <c r="K42" i="46"/>
  <c r="D127" i="46" s="1"/>
  <c r="H127" i="46" s="1"/>
  <c r="G42" i="46"/>
  <c r="L42" i="46"/>
  <c r="E127" i="46" s="1"/>
  <c r="I127" i="46" s="1"/>
  <c r="C42" i="46"/>
  <c r="G41" i="46"/>
  <c r="L41" i="46"/>
  <c r="E126" i="46" s="1"/>
  <c r="I126" i="46" s="1"/>
  <c r="C41" i="46"/>
  <c r="K40" i="46"/>
  <c r="D125" i="46" s="1"/>
  <c r="G40" i="46"/>
  <c r="L40" i="46"/>
  <c r="E125" i="46" s="1"/>
  <c r="I125" i="46" s="1"/>
  <c r="C40" i="46"/>
  <c r="G39" i="46"/>
  <c r="L39" i="46"/>
  <c r="E124" i="46" s="1"/>
  <c r="I124" i="46" s="1"/>
  <c r="C39" i="46"/>
  <c r="K38" i="46"/>
  <c r="G38" i="46"/>
  <c r="L38" i="46"/>
  <c r="E123" i="46" s="1"/>
  <c r="I123" i="46" s="1"/>
  <c r="C38" i="46"/>
  <c r="G37" i="46"/>
  <c r="L37" i="46"/>
  <c r="E122" i="46" s="1"/>
  <c r="I122" i="46" s="1"/>
  <c r="C37" i="46"/>
  <c r="K36" i="46"/>
  <c r="D121" i="46" s="1"/>
  <c r="G36" i="46"/>
  <c r="L36" i="46"/>
  <c r="E121" i="46" s="1"/>
  <c r="I121" i="46" s="1"/>
  <c r="C36" i="46"/>
  <c r="G35" i="46"/>
  <c r="L35" i="46"/>
  <c r="E120" i="46" s="1"/>
  <c r="I120" i="46" s="1"/>
  <c r="C35" i="46"/>
  <c r="K34" i="46"/>
  <c r="D119" i="46" s="1"/>
  <c r="H119" i="46" s="1"/>
  <c r="G34" i="46"/>
  <c r="L34" i="46"/>
  <c r="E119" i="46" s="1"/>
  <c r="I119" i="46" s="1"/>
  <c r="C34" i="46"/>
  <c r="G33" i="46"/>
  <c r="L33" i="46"/>
  <c r="E118" i="46" s="1"/>
  <c r="I118" i="46" s="1"/>
  <c r="C33" i="46"/>
  <c r="K32" i="46"/>
  <c r="D117" i="46" s="1"/>
  <c r="H117" i="46" s="1"/>
  <c r="G32" i="46"/>
  <c r="L32" i="46"/>
  <c r="E117" i="46" s="1"/>
  <c r="I117" i="46" s="1"/>
  <c r="C32" i="46"/>
  <c r="G31" i="46"/>
  <c r="L31" i="46"/>
  <c r="E116" i="46" s="1"/>
  <c r="I116" i="46" s="1"/>
  <c r="K31" i="46"/>
  <c r="C31" i="46"/>
  <c r="G30" i="46"/>
  <c r="L30" i="46"/>
  <c r="E115" i="46" s="1"/>
  <c r="I115" i="46" s="1"/>
  <c r="K30" i="46"/>
  <c r="D115" i="46" s="1"/>
  <c r="H115" i="46" s="1"/>
  <c r="C30" i="46"/>
  <c r="G29" i="46"/>
  <c r="L29" i="46"/>
  <c r="E114" i="46" s="1"/>
  <c r="I114" i="46" s="1"/>
  <c r="K29" i="46"/>
  <c r="C29" i="46"/>
  <c r="G28" i="46"/>
  <c r="L28" i="46"/>
  <c r="E113" i="46" s="1"/>
  <c r="I113" i="46" s="1"/>
  <c r="K28" i="46"/>
  <c r="D113" i="46" s="1"/>
  <c r="C28" i="46"/>
  <c r="G27" i="46"/>
  <c r="L27" i="46"/>
  <c r="E112" i="46" s="1"/>
  <c r="I112" i="46" s="1"/>
  <c r="K27" i="46"/>
  <c r="D112" i="46" s="1"/>
  <c r="H112" i="46" s="1"/>
  <c r="C27" i="46"/>
  <c r="G26" i="46"/>
  <c r="L26" i="46"/>
  <c r="E111" i="46" s="1"/>
  <c r="I111" i="46" s="1"/>
  <c r="K26" i="46"/>
  <c r="C26" i="46"/>
  <c r="G25" i="46"/>
  <c r="L25" i="46"/>
  <c r="E110" i="46" s="1"/>
  <c r="I110" i="46" s="1"/>
  <c r="K25" i="46"/>
  <c r="D110" i="46" s="1"/>
  <c r="C25" i="46"/>
  <c r="G24" i="46"/>
  <c r="L24" i="46"/>
  <c r="E109" i="46" s="1"/>
  <c r="I109" i="46" s="1"/>
  <c r="K24" i="46"/>
  <c r="C24" i="46"/>
  <c r="G23" i="46"/>
  <c r="L23" i="46"/>
  <c r="E108" i="46" s="1"/>
  <c r="I108" i="46" s="1"/>
  <c r="K23" i="46"/>
  <c r="D108" i="46" s="1"/>
  <c r="H108" i="46" s="1"/>
  <c r="C23" i="46"/>
  <c r="G22" i="46"/>
  <c r="L22" i="46"/>
  <c r="K22" i="46"/>
  <c r="D107" i="46" s="1"/>
  <c r="H107" i="46" s="1"/>
  <c r="C22" i="46"/>
  <c r="G21" i="46"/>
  <c r="L21" i="46"/>
  <c r="K21" i="46"/>
  <c r="D106" i="46" s="1"/>
  <c r="H106" i="46" s="1"/>
  <c r="C21" i="46"/>
  <c r="G20" i="46"/>
  <c r="L20" i="46"/>
  <c r="K20" i="46"/>
  <c r="D105" i="46" s="1"/>
  <c r="H105" i="46" s="1"/>
  <c r="C20" i="46"/>
  <c r="G19" i="46"/>
  <c r="L19" i="46"/>
  <c r="K19" i="46"/>
  <c r="D104" i="46" s="1"/>
  <c r="H104" i="46" s="1"/>
  <c r="C19" i="46"/>
  <c r="G18" i="46"/>
  <c r="L18" i="46"/>
  <c r="K18" i="46"/>
  <c r="D103" i="46" s="1"/>
  <c r="H103" i="46" s="1"/>
  <c r="C18" i="46"/>
  <c r="G17" i="46"/>
  <c r="L17" i="46"/>
  <c r="K17" i="46"/>
  <c r="D102" i="46" s="1"/>
  <c r="H102" i="46" s="1"/>
  <c r="C17" i="46"/>
  <c r="G16" i="46"/>
  <c r="L16" i="46"/>
  <c r="K16" i="46"/>
  <c r="D101" i="46" s="1"/>
  <c r="H101" i="46" s="1"/>
  <c r="C16" i="46"/>
  <c r="G15" i="46"/>
  <c r="L15" i="46"/>
  <c r="K15" i="46"/>
  <c r="C15" i="46"/>
  <c r="G14" i="46"/>
  <c r="L14" i="46"/>
  <c r="E99" i="46" s="1"/>
  <c r="I99" i="46" s="1"/>
  <c r="K14" i="46"/>
  <c r="C14" i="46"/>
  <c r="G13" i="46"/>
  <c r="L13" i="46"/>
  <c r="E98" i="46" s="1"/>
  <c r="I98" i="46" s="1"/>
  <c r="K13" i="46"/>
  <c r="D98" i="46" s="1"/>
  <c r="C13" i="46"/>
  <c r="G12" i="46"/>
  <c r="L12" i="46"/>
  <c r="E97" i="46" s="1"/>
  <c r="I97" i="46" s="1"/>
  <c r="K12" i="46"/>
  <c r="C12" i="46"/>
  <c r="A12" i="46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G11" i="46"/>
  <c r="C11" i="46"/>
  <c r="E15" i="57"/>
  <c r="E9" i="57"/>
  <c r="E27" i="11"/>
  <c r="F48" i="11" s="1"/>
  <c r="E26" i="11"/>
  <c r="F47" i="11" s="1"/>
  <c r="E136" i="49"/>
  <c r="E135" i="49"/>
  <c r="E134" i="49"/>
  <c r="E133" i="49"/>
  <c r="E132" i="49"/>
  <c r="E131" i="49"/>
  <c r="E130" i="49"/>
  <c r="E129" i="49"/>
  <c r="E128" i="49"/>
  <c r="E127" i="49"/>
  <c r="E126" i="49"/>
  <c r="E125" i="49"/>
  <c r="E124" i="49"/>
  <c r="E123" i="49"/>
  <c r="E122" i="49"/>
  <c r="E121" i="49"/>
  <c r="E120" i="49"/>
  <c r="E119" i="49"/>
  <c r="E118" i="49"/>
  <c r="E117" i="49"/>
  <c r="F136" i="49"/>
  <c r="F135" i="49"/>
  <c r="F134" i="49"/>
  <c r="F133" i="49"/>
  <c r="F132" i="49"/>
  <c r="F131" i="49"/>
  <c r="F130" i="49"/>
  <c r="F129" i="49"/>
  <c r="F128" i="49"/>
  <c r="F127" i="49"/>
  <c r="F126" i="49"/>
  <c r="F125" i="49"/>
  <c r="F124" i="49"/>
  <c r="F123" i="49"/>
  <c r="F122" i="49"/>
  <c r="F121" i="49"/>
  <c r="F120" i="49"/>
  <c r="F119" i="49"/>
  <c r="F118" i="49"/>
  <c r="F117" i="49"/>
  <c r="F116" i="49"/>
  <c r="E10" i="71"/>
  <c r="E53" i="71" s="1"/>
  <c r="E144" i="49"/>
  <c r="D24" i="64"/>
  <c r="C24" i="64"/>
  <c r="D23" i="64"/>
  <c r="D46" i="64" s="1"/>
  <c r="E104" i="21" s="1"/>
  <c r="C23" i="64"/>
  <c r="C46" i="64" s="1"/>
  <c r="D104" i="21" s="1"/>
  <c r="D125" i="21" s="1"/>
  <c r="D22" i="64"/>
  <c r="C22" i="64"/>
  <c r="C45" i="64" s="1"/>
  <c r="D103" i="21" s="1"/>
  <c r="D124" i="21" s="1"/>
  <c r="D21" i="64"/>
  <c r="D44" i="64" s="1"/>
  <c r="E102" i="21" s="1"/>
  <c r="C21" i="64"/>
  <c r="C44" i="64" s="1"/>
  <c r="D102" i="21" s="1"/>
  <c r="D123" i="21" s="1"/>
  <c r="D20" i="64"/>
  <c r="C20" i="64"/>
  <c r="C43" i="64" s="1"/>
  <c r="D101" i="21" s="1"/>
  <c r="D122" i="21" s="1"/>
  <c r="D19" i="64"/>
  <c r="D42" i="64" s="1"/>
  <c r="E100" i="21" s="1"/>
  <c r="C19" i="64"/>
  <c r="C42" i="64" s="1"/>
  <c r="D100" i="21" s="1"/>
  <c r="D121" i="21" s="1"/>
  <c r="D18" i="64"/>
  <c r="C18" i="64"/>
  <c r="C41" i="64" s="1"/>
  <c r="D99" i="21" s="1"/>
  <c r="D120" i="21" s="1"/>
  <c r="D17" i="64"/>
  <c r="D40" i="64" s="1"/>
  <c r="E98" i="21" s="1"/>
  <c r="C17" i="64"/>
  <c r="C40" i="64" s="1"/>
  <c r="D98" i="21" s="1"/>
  <c r="D119" i="21" s="1"/>
  <c r="D16" i="64"/>
  <c r="C16" i="64"/>
  <c r="C39" i="64" s="1"/>
  <c r="D97" i="21" s="1"/>
  <c r="D118" i="21" s="1"/>
  <c r="D15" i="64"/>
  <c r="D38" i="64" s="1"/>
  <c r="E96" i="21" s="1"/>
  <c r="C15" i="64"/>
  <c r="C38" i="64" s="1"/>
  <c r="D96" i="21" s="1"/>
  <c r="D117" i="21" s="1"/>
  <c r="D14" i="64"/>
  <c r="C14" i="64"/>
  <c r="C37" i="64" s="1"/>
  <c r="D95" i="21" s="1"/>
  <c r="D116" i="21" s="1"/>
  <c r="D13" i="64"/>
  <c r="D36" i="64" s="1"/>
  <c r="E94" i="21" s="1"/>
  <c r="C13" i="64"/>
  <c r="C36" i="64" s="1"/>
  <c r="D94" i="21" s="1"/>
  <c r="D115" i="21" s="1"/>
  <c r="D12" i="64"/>
  <c r="D35" i="64" s="1"/>
  <c r="E93" i="21" s="1"/>
  <c r="E114" i="21" s="1"/>
  <c r="C12" i="64"/>
  <c r="C35" i="64" s="1"/>
  <c r="D93" i="21" s="1"/>
  <c r="D46" i="17"/>
  <c r="D49" i="17"/>
  <c r="D48" i="17"/>
  <c r="D47" i="17"/>
  <c r="B54" i="54"/>
  <c r="C9" i="9"/>
  <c r="G164" i="49"/>
  <c r="G163" i="49"/>
  <c r="G162" i="49"/>
  <c r="G161" i="49"/>
  <c r="G160" i="49"/>
  <c r="G159" i="49"/>
  <c r="G158" i="49"/>
  <c r="G157" i="49"/>
  <c r="G156" i="49"/>
  <c r="G155" i="49"/>
  <c r="G154" i="49"/>
  <c r="G153" i="49"/>
  <c r="G152" i="49"/>
  <c r="G151" i="49"/>
  <c r="G150" i="49"/>
  <c r="G149" i="49"/>
  <c r="G148" i="49"/>
  <c r="G147" i="49"/>
  <c r="G146" i="49"/>
  <c r="G145" i="49"/>
  <c r="G144" i="49"/>
  <c r="G64" i="65"/>
  <c r="G63" i="65"/>
  <c r="K63" i="65" s="1"/>
  <c r="G62" i="65"/>
  <c r="K62" i="65" s="1"/>
  <c r="G61" i="65"/>
  <c r="K61" i="65" s="1"/>
  <c r="G60" i="65"/>
  <c r="G59" i="65"/>
  <c r="K59" i="65" s="1"/>
  <c r="G58" i="65"/>
  <c r="K58" i="65" s="1"/>
  <c r="G57" i="65"/>
  <c r="K57" i="65" s="1"/>
  <c r="G56" i="65"/>
  <c r="G55" i="65"/>
  <c r="K55" i="65" s="1"/>
  <c r="G54" i="65"/>
  <c r="K54" i="65" s="1"/>
  <c r="G53" i="65"/>
  <c r="K53" i="65" s="1"/>
  <c r="A5" i="31"/>
  <c r="L24" i="64"/>
  <c r="K24" i="64"/>
  <c r="J24" i="64"/>
  <c r="I24" i="64"/>
  <c r="H24" i="64"/>
  <c r="G24" i="64"/>
  <c r="F24" i="64"/>
  <c r="E24" i="64"/>
  <c r="L23" i="64"/>
  <c r="L46" i="64" s="1"/>
  <c r="M104" i="21" s="1"/>
  <c r="M125" i="21" s="1"/>
  <c r="K23" i="64"/>
  <c r="K46" i="64" s="1"/>
  <c r="L104" i="21" s="1"/>
  <c r="L125" i="21" s="1"/>
  <c r="J23" i="64"/>
  <c r="J46" i="64" s="1"/>
  <c r="K104" i="21" s="1"/>
  <c r="K125" i="21" s="1"/>
  <c r="I23" i="64"/>
  <c r="I46" i="64" s="1"/>
  <c r="J104" i="21" s="1"/>
  <c r="J125" i="21" s="1"/>
  <c r="H23" i="64"/>
  <c r="H46" i="64" s="1"/>
  <c r="I104" i="21" s="1"/>
  <c r="I125" i="21" s="1"/>
  <c r="G23" i="64"/>
  <c r="G46" i="64" s="1"/>
  <c r="H104" i="21" s="1"/>
  <c r="H125" i="21" s="1"/>
  <c r="F23" i="64"/>
  <c r="F46" i="64" s="1"/>
  <c r="G104" i="21" s="1"/>
  <c r="G125" i="21" s="1"/>
  <c r="E23" i="64"/>
  <c r="E46" i="64" s="1"/>
  <c r="F104" i="21" s="1"/>
  <c r="F125" i="21" s="1"/>
  <c r="L22" i="64"/>
  <c r="L45" i="64" s="1"/>
  <c r="M103" i="21" s="1"/>
  <c r="M124" i="21" s="1"/>
  <c r="K22" i="64"/>
  <c r="K45" i="64" s="1"/>
  <c r="L103" i="21" s="1"/>
  <c r="L124" i="21" s="1"/>
  <c r="J22" i="64"/>
  <c r="J45" i="64" s="1"/>
  <c r="K103" i="21" s="1"/>
  <c r="K124" i="21" s="1"/>
  <c r="I22" i="64"/>
  <c r="I45" i="64" s="1"/>
  <c r="J103" i="21" s="1"/>
  <c r="J124" i="21" s="1"/>
  <c r="H22" i="64"/>
  <c r="H45" i="64" s="1"/>
  <c r="I103" i="21" s="1"/>
  <c r="I124" i="21" s="1"/>
  <c r="G22" i="64"/>
  <c r="G45" i="64" s="1"/>
  <c r="H103" i="21" s="1"/>
  <c r="H124" i="21" s="1"/>
  <c r="F22" i="64"/>
  <c r="F45" i="64" s="1"/>
  <c r="G103" i="21" s="1"/>
  <c r="G124" i="21" s="1"/>
  <c r="E22" i="64"/>
  <c r="E45" i="64" s="1"/>
  <c r="F103" i="21" s="1"/>
  <c r="F124" i="21" s="1"/>
  <c r="L21" i="64"/>
  <c r="L44" i="64" s="1"/>
  <c r="M102" i="21" s="1"/>
  <c r="M123" i="21" s="1"/>
  <c r="K21" i="64"/>
  <c r="K44" i="64" s="1"/>
  <c r="L102" i="21" s="1"/>
  <c r="L123" i="21" s="1"/>
  <c r="J21" i="64"/>
  <c r="J44" i="64" s="1"/>
  <c r="K102" i="21" s="1"/>
  <c r="K123" i="21" s="1"/>
  <c r="I21" i="64"/>
  <c r="I44" i="64" s="1"/>
  <c r="J102" i="21" s="1"/>
  <c r="J123" i="21" s="1"/>
  <c r="H21" i="64"/>
  <c r="H44" i="64" s="1"/>
  <c r="I102" i="21" s="1"/>
  <c r="I123" i="21" s="1"/>
  <c r="G21" i="64"/>
  <c r="G44" i="64" s="1"/>
  <c r="H102" i="21" s="1"/>
  <c r="H123" i="21" s="1"/>
  <c r="F21" i="64"/>
  <c r="F44" i="64" s="1"/>
  <c r="G102" i="21" s="1"/>
  <c r="G123" i="21" s="1"/>
  <c r="E21" i="64"/>
  <c r="E44" i="64" s="1"/>
  <c r="F102" i="21" s="1"/>
  <c r="F123" i="21" s="1"/>
  <c r="L20" i="64"/>
  <c r="L43" i="64" s="1"/>
  <c r="M101" i="21" s="1"/>
  <c r="M122" i="21" s="1"/>
  <c r="K20" i="64"/>
  <c r="K43" i="64" s="1"/>
  <c r="L101" i="21" s="1"/>
  <c r="L122" i="21" s="1"/>
  <c r="J20" i="64"/>
  <c r="J43" i="64" s="1"/>
  <c r="K101" i="21" s="1"/>
  <c r="K122" i="21" s="1"/>
  <c r="I20" i="64"/>
  <c r="I43" i="64" s="1"/>
  <c r="J101" i="21" s="1"/>
  <c r="J122" i="21" s="1"/>
  <c r="H20" i="64"/>
  <c r="H43" i="64" s="1"/>
  <c r="I101" i="21" s="1"/>
  <c r="I122" i="21" s="1"/>
  <c r="G20" i="64"/>
  <c r="G43" i="64" s="1"/>
  <c r="H101" i="21" s="1"/>
  <c r="H122" i="21" s="1"/>
  <c r="F20" i="64"/>
  <c r="F43" i="64" s="1"/>
  <c r="G101" i="21" s="1"/>
  <c r="G122" i="21" s="1"/>
  <c r="E20" i="64"/>
  <c r="E43" i="64" s="1"/>
  <c r="F101" i="21" s="1"/>
  <c r="F122" i="21" s="1"/>
  <c r="L19" i="64"/>
  <c r="L42" i="64" s="1"/>
  <c r="M100" i="21" s="1"/>
  <c r="M121" i="21" s="1"/>
  <c r="K19" i="64"/>
  <c r="K42" i="64" s="1"/>
  <c r="L100" i="21" s="1"/>
  <c r="L121" i="21" s="1"/>
  <c r="J19" i="64"/>
  <c r="J42" i="64" s="1"/>
  <c r="K100" i="21" s="1"/>
  <c r="K121" i="21" s="1"/>
  <c r="I19" i="64"/>
  <c r="I42" i="64" s="1"/>
  <c r="J100" i="21" s="1"/>
  <c r="J121" i="21" s="1"/>
  <c r="H19" i="64"/>
  <c r="H42" i="64" s="1"/>
  <c r="I100" i="21" s="1"/>
  <c r="I121" i="21" s="1"/>
  <c r="G19" i="64"/>
  <c r="G42" i="64" s="1"/>
  <c r="H100" i="21" s="1"/>
  <c r="H121" i="21" s="1"/>
  <c r="F19" i="64"/>
  <c r="F42" i="64" s="1"/>
  <c r="G100" i="21" s="1"/>
  <c r="G121" i="21" s="1"/>
  <c r="E19" i="64"/>
  <c r="E42" i="64" s="1"/>
  <c r="F100" i="21" s="1"/>
  <c r="F121" i="21" s="1"/>
  <c r="L18" i="64"/>
  <c r="L41" i="64" s="1"/>
  <c r="M99" i="21" s="1"/>
  <c r="M120" i="21" s="1"/>
  <c r="K18" i="64"/>
  <c r="K41" i="64" s="1"/>
  <c r="L99" i="21" s="1"/>
  <c r="L120" i="21" s="1"/>
  <c r="J18" i="64"/>
  <c r="J41" i="64" s="1"/>
  <c r="K99" i="21" s="1"/>
  <c r="K120" i="21" s="1"/>
  <c r="I18" i="64"/>
  <c r="I41" i="64" s="1"/>
  <c r="J99" i="21" s="1"/>
  <c r="J120" i="21" s="1"/>
  <c r="H18" i="64"/>
  <c r="H41" i="64" s="1"/>
  <c r="I99" i="21" s="1"/>
  <c r="I120" i="21" s="1"/>
  <c r="G18" i="64"/>
  <c r="G41" i="64" s="1"/>
  <c r="H99" i="21" s="1"/>
  <c r="H120" i="21" s="1"/>
  <c r="F18" i="64"/>
  <c r="F41" i="64" s="1"/>
  <c r="G99" i="21" s="1"/>
  <c r="G120" i="21" s="1"/>
  <c r="E18" i="64"/>
  <c r="E41" i="64" s="1"/>
  <c r="F99" i="21" s="1"/>
  <c r="F120" i="21" s="1"/>
  <c r="L17" i="64"/>
  <c r="L40" i="64" s="1"/>
  <c r="M98" i="21" s="1"/>
  <c r="M119" i="21" s="1"/>
  <c r="K17" i="64"/>
  <c r="K40" i="64" s="1"/>
  <c r="L98" i="21" s="1"/>
  <c r="L119" i="21" s="1"/>
  <c r="J17" i="64"/>
  <c r="J40" i="64" s="1"/>
  <c r="K98" i="21" s="1"/>
  <c r="K119" i="21" s="1"/>
  <c r="I17" i="64"/>
  <c r="I40" i="64" s="1"/>
  <c r="J98" i="21" s="1"/>
  <c r="J119" i="21" s="1"/>
  <c r="H17" i="64"/>
  <c r="H40" i="64" s="1"/>
  <c r="I98" i="21" s="1"/>
  <c r="I119" i="21" s="1"/>
  <c r="G17" i="64"/>
  <c r="G40" i="64" s="1"/>
  <c r="H98" i="21" s="1"/>
  <c r="H119" i="21" s="1"/>
  <c r="F17" i="64"/>
  <c r="F40" i="64" s="1"/>
  <c r="G98" i="21" s="1"/>
  <c r="G119" i="21" s="1"/>
  <c r="E17" i="64"/>
  <c r="E40" i="64" s="1"/>
  <c r="F98" i="21" s="1"/>
  <c r="F119" i="21" s="1"/>
  <c r="L16" i="64"/>
  <c r="K16" i="64"/>
  <c r="K39" i="64" s="1"/>
  <c r="L97" i="21" s="1"/>
  <c r="L118" i="21" s="1"/>
  <c r="J16" i="64"/>
  <c r="J39" i="64" s="1"/>
  <c r="K97" i="21" s="1"/>
  <c r="K118" i="21" s="1"/>
  <c r="I16" i="64"/>
  <c r="I39" i="64" s="1"/>
  <c r="J97" i="21" s="1"/>
  <c r="J118" i="21" s="1"/>
  <c r="H16" i="64"/>
  <c r="H39" i="64" s="1"/>
  <c r="I97" i="21" s="1"/>
  <c r="I118" i="21" s="1"/>
  <c r="G16" i="64"/>
  <c r="G39" i="64" s="1"/>
  <c r="H97" i="21" s="1"/>
  <c r="H118" i="21" s="1"/>
  <c r="F16" i="64"/>
  <c r="F39" i="64" s="1"/>
  <c r="G97" i="21" s="1"/>
  <c r="G118" i="21" s="1"/>
  <c r="E16" i="64"/>
  <c r="E39" i="64" s="1"/>
  <c r="F97" i="21" s="1"/>
  <c r="F118" i="21" s="1"/>
  <c r="L15" i="64"/>
  <c r="L38" i="64" s="1"/>
  <c r="M96" i="21" s="1"/>
  <c r="M117" i="21" s="1"/>
  <c r="K15" i="64"/>
  <c r="K38" i="64" s="1"/>
  <c r="L96" i="21" s="1"/>
  <c r="L117" i="21" s="1"/>
  <c r="J15" i="64"/>
  <c r="J38" i="64" s="1"/>
  <c r="K96" i="21" s="1"/>
  <c r="K117" i="21" s="1"/>
  <c r="I15" i="64"/>
  <c r="I38" i="64" s="1"/>
  <c r="J96" i="21" s="1"/>
  <c r="J117" i="21" s="1"/>
  <c r="H15" i="64"/>
  <c r="H38" i="64" s="1"/>
  <c r="I96" i="21" s="1"/>
  <c r="I117" i="21" s="1"/>
  <c r="G15" i="64"/>
  <c r="G38" i="64" s="1"/>
  <c r="H96" i="21" s="1"/>
  <c r="H117" i="21" s="1"/>
  <c r="F15" i="64"/>
  <c r="F38" i="64" s="1"/>
  <c r="G96" i="21" s="1"/>
  <c r="G117" i="21" s="1"/>
  <c r="E15" i="64"/>
  <c r="L14" i="64"/>
  <c r="L37" i="64" s="1"/>
  <c r="M95" i="21" s="1"/>
  <c r="M116" i="21" s="1"/>
  <c r="K14" i="64"/>
  <c r="K37" i="64" s="1"/>
  <c r="L95" i="21" s="1"/>
  <c r="L116" i="21" s="1"/>
  <c r="J14" i="64"/>
  <c r="J37" i="64" s="1"/>
  <c r="K95" i="21" s="1"/>
  <c r="K116" i="21" s="1"/>
  <c r="I14" i="64"/>
  <c r="I37" i="64" s="1"/>
  <c r="J95" i="21" s="1"/>
  <c r="J116" i="21" s="1"/>
  <c r="H14" i="64"/>
  <c r="H37" i="64" s="1"/>
  <c r="I95" i="21" s="1"/>
  <c r="I116" i="21" s="1"/>
  <c r="G14" i="64"/>
  <c r="G37" i="64" s="1"/>
  <c r="H95" i="21" s="1"/>
  <c r="H116" i="21" s="1"/>
  <c r="F14" i="64"/>
  <c r="F37" i="64" s="1"/>
  <c r="G95" i="21" s="1"/>
  <c r="G116" i="21" s="1"/>
  <c r="E14" i="64"/>
  <c r="E37" i="64" s="1"/>
  <c r="F95" i="21" s="1"/>
  <c r="F116" i="21" s="1"/>
  <c r="L13" i="64"/>
  <c r="L36" i="64" s="1"/>
  <c r="M94" i="21" s="1"/>
  <c r="M115" i="21" s="1"/>
  <c r="K13" i="64"/>
  <c r="K36" i="64" s="1"/>
  <c r="L94" i="21" s="1"/>
  <c r="L115" i="21" s="1"/>
  <c r="J13" i="64"/>
  <c r="J36" i="64" s="1"/>
  <c r="K94" i="21" s="1"/>
  <c r="K115" i="21" s="1"/>
  <c r="I13" i="64"/>
  <c r="I36" i="64" s="1"/>
  <c r="J94" i="21" s="1"/>
  <c r="J115" i="21" s="1"/>
  <c r="H13" i="64"/>
  <c r="H36" i="64" s="1"/>
  <c r="I94" i="21" s="1"/>
  <c r="I115" i="21" s="1"/>
  <c r="G13" i="64"/>
  <c r="G36" i="64" s="1"/>
  <c r="H94" i="21" s="1"/>
  <c r="H115" i="21" s="1"/>
  <c r="F13" i="64"/>
  <c r="F36" i="64" s="1"/>
  <c r="G94" i="21" s="1"/>
  <c r="G115" i="21" s="1"/>
  <c r="E13" i="64"/>
  <c r="E36" i="64" s="1"/>
  <c r="F94" i="21" s="1"/>
  <c r="F115" i="21" s="1"/>
  <c r="L12" i="64"/>
  <c r="K12" i="64"/>
  <c r="K35" i="64" s="1"/>
  <c r="L93" i="21" s="1"/>
  <c r="J12" i="64"/>
  <c r="J35" i="64" s="1"/>
  <c r="K93" i="21" s="1"/>
  <c r="I12" i="64"/>
  <c r="I35" i="64" s="1"/>
  <c r="J93" i="21" s="1"/>
  <c r="H12" i="64"/>
  <c r="H35" i="64" s="1"/>
  <c r="I93" i="21" s="1"/>
  <c r="G12" i="64"/>
  <c r="F12" i="64"/>
  <c r="F35" i="64" s="1"/>
  <c r="G93" i="21" s="1"/>
  <c r="E12" i="64"/>
  <c r="D36" i="7"/>
  <c r="M23" i="64"/>
  <c r="M22" i="64"/>
  <c r="M21" i="64"/>
  <c r="M20" i="64"/>
  <c r="M19" i="64"/>
  <c r="M18" i="64"/>
  <c r="M17" i="64"/>
  <c r="M16" i="64"/>
  <c r="M15" i="64"/>
  <c r="M14" i="64"/>
  <c r="M13" i="64"/>
  <c r="D95" i="65"/>
  <c r="E17" i="66"/>
  <c r="F17" i="66"/>
  <c r="F21" i="66"/>
  <c r="F14" i="66"/>
  <c r="F7" i="66"/>
  <c r="E70" i="26"/>
  <c r="H42" i="26" s="1"/>
  <c r="D42" i="26" s="1"/>
  <c r="G12" i="26" s="1"/>
  <c r="H12" i="26" s="1"/>
  <c r="F31" i="22"/>
  <c r="F27" i="22"/>
  <c r="H25" i="8"/>
  <c r="H8" i="8"/>
  <c r="D58" i="7"/>
  <c r="D54" i="7"/>
  <c r="I17" i="45"/>
  <c r="F41" i="54"/>
  <c r="F38" i="54"/>
  <c r="F29" i="54"/>
  <c r="E40" i="56"/>
  <c r="E42" i="56" s="1"/>
  <c r="G21" i="2" s="1"/>
  <c r="E26" i="56"/>
  <c r="E12" i="56"/>
  <c r="H71" i="64"/>
  <c r="I129" i="1"/>
  <c r="I127" i="1"/>
  <c r="I125" i="1"/>
  <c r="I100" i="1"/>
  <c r="I32" i="1"/>
  <c r="I12" i="1"/>
  <c r="I11" i="1"/>
  <c r="G67" i="8"/>
  <c r="H40" i="8"/>
  <c r="J9" i="8"/>
  <c r="G10" i="2"/>
  <c r="A8" i="2"/>
  <c r="K125" i="1"/>
  <c r="J49" i="8" s="1"/>
  <c r="A11" i="7"/>
  <c r="A12" i="7" s="1"/>
  <c r="A13" i="7" s="1"/>
  <c r="A14" i="7" s="1"/>
  <c r="A15" i="7" s="1"/>
  <c r="A16" i="7" s="1"/>
  <c r="K32" i="1"/>
  <c r="E21" i="66"/>
  <c r="J25" i="8"/>
  <c r="E14" i="66"/>
  <c r="E7" i="66"/>
  <c r="I116" i="65"/>
  <c r="I115" i="65"/>
  <c r="I114" i="65"/>
  <c r="I112" i="65"/>
  <c r="I111" i="65"/>
  <c r="I110" i="65"/>
  <c r="I108" i="65"/>
  <c r="I107" i="65"/>
  <c r="G118" i="65"/>
  <c r="E118" i="65"/>
  <c r="C118" i="65"/>
  <c r="K64" i="65"/>
  <c r="E64" i="65"/>
  <c r="E63" i="65"/>
  <c r="E62" i="65"/>
  <c r="E61" i="65"/>
  <c r="K60" i="65"/>
  <c r="E60" i="65"/>
  <c r="E59" i="65"/>
  <c r="E58" i="65"/>
  <c r="E57" i="65"/>
  <c r="K56" i="65"/>
  <c r="E56" i="65"/>
  <c r="E55" i="65"/>
  <c r="E54" i="65"/>
  <c r="E53" i="65"/>
  <c r="H44" i="65"/>
  <c r="H43" i="65"/>
  <c r="H42" i="65"/>
  <c r="H41" i="65"/>
  <c r="H40" i="65"/>
  <c r="H39" i="65"/>
  <c r="H38" i="65"/>
  <c r="H37" i="65"/>
  <c r="H36" i="65"/>
  <c r="F35" i="65"/>
  <c r="F34" i="65"/>
  <c r="F33" i="65"/>
  <c r="F32" i="65"/>
  <c r="F31" i="65"/>
  <c r="F30" i="65"/>
  <c r="F29" i="65"/>
  <c r="F28" i="65"/>
  <c r="F27" i="65"/>
  <c r="F26" i="65"/>
  <c r="F25" i="65"/>
  <c r="A14" i="65"/>
  <c r="A15" i="65" s="1"/>
  <c r="A16" i="65" s="1"/>
  <c r="A17" i="65" s="1"/>
  <c r="A18" i="65" s="1"/>
  <c r="A19" i="65" s="1"/>
  <c r="A20" i="65" s="1"/>
  <c r="A21" i="65" s="1"/>
  <c r="A22" i="65" s="1"/>
  <c r="A23" i="65" s="1"/>
  <c r="A24" i="65" s="1"/>
  <c r="I106" i="65"/>
  <c r="A7" i="63"/>
  <c r="A8" i="63" s="1"/>
  <c r="A9" i="63" s="1"/>
  <c r="A10" i="63" s="1"/>
  <c r="A11" i="63" s="1"/>
  <c r="A12" i="63" s="1"/>
  <c r="A13" i="63" s="1"/>
  <c r="A14" i="63" s="1"/>
  <c r="A15" i="63" s="1"/>
  <c r="A16" i="63" s="1"/>
  <c r="A20" i="63" s="1"/>
  <c r="A21" i="63" s="1"/>
  <c r="A22" i="63" s="1"/>
  <c r="A27" i="63" s="1"/>
  <c r="A28" i="63" s="1"/>
  <c r="A29" i="63" s="1"/>
  <c r="A30" i="63" s="1"/>
  <c r="A31" i="63" s="1"/>
  <c r="A32" i="63" s="1"/>
  <c r="A33" i="63" s="1"/>
  <c r="A34" i="63" s="1"/>
  <c r="F55" i="64"/>
  <c r="F64" i="64" s="1"/>
  <c r="E55" i="64"/>
  <c r="D55" i="64"/>
  <c r="D64" i="64" s="1"/>
  <c r="L35" i="64"/>
  <c r="M93" i="21" s="1"/>
  <c r="G35" i="64"/>
  <c r="H93" i="21" s="1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L39" i="64"/>
  <c r="M97" i="21" s="1"/>
  <c r="M118" i="21" s="1"/>
  <c r="E35" i="64"/>
  <c r="F93" i="21" s="1"/>
  <c r="E38" i="64"/>
  <c r="F96" i="21" s="1"/>
  <c r="F117" i="21" s="1"/>
  <c r="E34" i="48"/>
  <c r="D77" i="7" s="1"/>
  <c r="G48" i="11"/>
  <c r="G47" i="11"/>
  <c r="G46" i="11"/>
  <c r="E46" i="11" s="1"/>
  <c r="E39" i="12" s="1"/>
  <c r="H85" i="11"/>
  <c r="G60" i="11" s="1"/>
  <c r="G85" i="11"/>
  <c r="G62" i="11" s="1"/>
  <c r="E70" i="12" s="1"/>
  <c r="F85" i="11"/>
  <c r="G61" i="11" s="1"/>
  <c r="E69" i="12" s="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G45" i="49"/>
  <c r="E17" i="71" s="1"/>
  <c r="E34" i="11"/>
  <c r="E33" i="11"/>
  <c r="E32" i="11"/>
  <c r="E31" i="11"/>
  <c r="A25" i="12"/>
  <c r="A26" i="12"/>
  <c r="E54" i="7" s="1"/>
  <c r="F164" i="49"/>
  <c r="E164" i="49"/>
  <c r="D164" i="49"/>
  <c r="F163" i="49"/>
  <c r="E163" i="49"/>
  <c r="D163" i="49"/>
  <c r="F162" i="49"/>
  <c r="E162" i="49"/>
  <c r="D162" i="49"/>
  <c r="F161" i="49"/>
  <c r="E161" i="49"/>
  <c r="D161" i="49"/>
  <c r="F160" i="49"/>
  <c r="E160" i="49"/>
  <c r="D160" i="49"/>
  <c r="F159" i="49"/>
  <c r="E159" i="49"/>
  <c r="D159" i="49"/>
  <c r="F158" i="49"/>
  <c r="E158" i="49"/>
  <c r="D158" i="49"/>
  <c r="F157" i="49"/>
  <c r="E157" i="49"/>
  <c r="D157" i="49"/>
  <c r="F156" i="49"/>
  <c r="E156" i="49"/>
  <c r="D156" i="49"/>
  <c r="F155" i="49"/>
  <c r="E155" i="49"/>
  <c r="D155" i="49"/>
  <c r="F154" i="49"/>
  <c r="E154" i="49"/>
  <c r="D154" i="49"/>
  <c r="F153" i="49"/>
  <c r="E153" i="49"/>
  <c r="D153" i="49"/>
  <c r="F152" i="49"/>
  <c r="E152" i="49"/>
  <c r="D152" i="49"/>
  <c r="F151" i="49"/>
  <c r="E151" i="49"/>
  <c r="D151" i="49"/>
  <c r="F150" i="49"/>
  <c r="E150" i="49"/>
  <c r="D150" i="49"/>
  <c r="F149" i="49"/>
  <c r="E149" i="49"/>
  <c r="D149" i="49"/>
  <c r="F148" i="49"/>
  <c r="E148" i="49"/>
  <c r="D148" i="49"/>
  <c r="F147" i="49"/>
  <c r="E147" i="49"/>
  <c r="D147" i="49"/>
  <c r="F146" i="49"/>
  <c r="E146" i="49"/>
  <c r="D146" i="49"/>
  <c r="F145" i="49"/>
  <c r="E145" i="49"/>
  <c r="D145" i="49"/>
  <c r="F144" i="49"/>
  <c r="D144" i="49"/>
  <c r="I136" i="49"/>
  <c r="I135" i="49"/>
  <c r="I134" i="49"/>
  <c r="I133" i="49"/>
  <c r="I132" i="49"/>
  <c r="I131" i="49"/>
  <c r="I130" i="49"/>
  <c r="I129" i="49"/>
  <c r="I128" i="49"/>
  <c r="I127" i="49"/>
  <c r="I126" i="49"/>
  <c r="I125" i="49"/>
  <c r="I124" i="49"/>
  <c r="I123" i="49"/>
  <c r="I122" i="49"/>
  <c r="I121" i="49"/>
  <c r="I120" i="49"/>
  <c r="I119" i="49"/>
  <c r="I118" i="49"/>
  <c r="I117" i="49"/>
  <c r="I116" i="49"/>
  <c r="D46" i="7"/>
  <c r="F45" i="49"/>
  <c r="E16" i="71" s="1"/>
  <c r="E45" i="49"/>
  <c r="E15" i="71" s="1"/>
  <c r="E14" i="71"/>
  <c r="I25" i="49"/>
  <c r="E13" i="71" s="1"/>
  <c r="E210" i="61"/>
  <c r="E202" i="61"/>
  <c r="H191" i="61"/>
  <c r="F191" i="61"/>
  <c r="N191" i="61" s="1"/>
  <c r="H190" i="61"/>
  <c r="F190" i="61"/>
  <c r="G190" i="61" s="1"/>
  <c r="F188" i="61"/>
  <c r="J188" i="61" s="1"/>
  <c r="L194" i="61"/>
  <c r="F187" i="61"/>
  <c r="N187" i="61" s="1"/>
  <c r="H182" i="61"/>
  <c r="F179" i="61"/>
  <c r="J179" i="61" s="1"/>
  <c r="M179" i="61" s="1"/>
  <c r="F178" i="61"/>
  <c r="N178" i="61" s="1"/>
  <c r="F177" i="61"/>
  <c r="N177" i="61" s="1"/>
  <c r="F176" i="61"/>
  <c r="N176" i="61" s="1"/>
  <c r="F175" i="61"/>
  <c r="J175" i="61" s="1"/>
  <c r="M175" i="61" s="1"/>
  <c r="F174" i="61"/>
  <c r="N174" i="61" s="1"/>
  <c r="F173" i="61"/>
  <c r="J173" i="61" s="1"/>
  <c r="F172" i="61"/>
  <c r="G172" i="61" s="1"/>
  <c r="I172" i="61" s="1"/>
  <c r="F171" i="61"/>
  <c r="N171" i="61" s="1"/>
  <c r="F170" i="61"/>
  <c r="J170" i="61" s="1"/>
  <c r="M170" i="61" s="1"/>
  <c r="F169" i="61"/>
  <c r="J169" i="61" s="1"/>
  <c r="M169" i="61" s="1"/>
  <c r="F168" i="61"/>
  <c r="N168" i="61" s="1"/>
  <c r="F167" i="61"/>
  <c r="N167" i="61" s="1"/>
  <c r="F166" i="61"/>
  <c r="N166" i="61" s="1"/>
  <c r="L182" i="61"/>
  <c r="F165" i="61"/>
  <c r="G165" i="61" s="1"/>
  <c r="I165" i="61" s="1"/>
  <c r="N161" i="61"/>
  <c r="M161" i="61"/>
  <c r="L161" i="61"/>
  <c r="J161" i="61"/>
  <c r="I161" i="61"/>
  <c r="H161" i="61"/>
  <c r="G161" i="61"/>
  <c r="E161" i="61"/>
  <c r="N156" i="61"/>
  <c r="M156" i="61"/>
  <c r="L156" i="61"/>
  <c r="J156" i="61"/>
  <c r="I156" i="61"/>
  <c r="H156" i="61"/>
  <c r="G156" i="61"/>
  <c r="E156" i="61"/>
  <c r="L151" i="61"/>
  <c r="E151" i="61"/>
  <c r="F148" i="61"/>
  <c r="G148" i="61" s="1"/>
  <c r="I148" i="61" s="1"/>
  <c r="F147" i="61"/>
  <c r="G147" i="61" s="1"/>
  <c r="I147" i="61" s="1"/>
  <c r="F146" i="61"/>
  <c r="N146" i="61" s="1"/>
  <c r="F145" i="61"/>
  <c r="G145" i="61" s="1"/>
  <c r="I145" i="61" s="1"/>
  <c r="F144" i="61"/>
  <c r="G144" i="61" s="1"/>
  <c r="I144" i="61" s="1"/>
  <c r="F143" i="61"/>
  <c r="G143" i="61" s="1"/>
  <c r="I143" i="61" s="1"/>
  <c r="F142" i="61"/>
  <c r="N142" i="61" s="1"/>
  <c r="F141" i="61"/>
  <c r="N141" i="61" s="1"/>
  <c r="F140" i="61"/>
  <c r="N140" i="61" s="1"/>
  <c r="F139" i="61"/>
  <c r="N139" i="61" s="1"/>
  <c r="F138" i="61"/>
  <c r="N138" i="61" s="1"/>
  <c r="F137" i="61"/>
  <c r="N137" i="61" s="1"/>
  <c r="F136" i="61"/>
  <c r="G136" i="61" s="1"/>
  <c r="H136" i="61" s="1"/>
  <c r="I136" i="61" s="1"/>
  <c r="F135" i="61"/>
  <c r="N135" i="61" s="1"/>
  <c r="F134" i="61"/>
  <c r="N134" i="61" s="1"/>
  <c r="F133" i="61"/>
  <c r="N133" i="61" s="1"/>
  <c r="F132" i="61"/>
  <c r="N132" i="61" s="1"/>
  <c r="F131" i="61"/>
  <c r="N131" i="61" s="1"/>
  <c r="F130" i="61"/>
  <c r="G130" i="61" s="1"/>
  <c r="F122" i="61"/>
  <c r="N122" i="61" s="1"/>
  <c r="F121" i="61"/>
  <c r="N121" i="61" s="1"/>
  <c r="F120" i="61"/>
  <c r="N120" i="61" s="1"/>
  <c r="F119" i="61"/>
  <c r="N119" i="61" s="1"/>
  <c r="F118" i="61"/>
  <c r="N118" i="61" s="1"/>
  <c r="F117" i="61"/>
  <c r="G117" i="61" s="1"/>
  <c r="I117" i="61" s="1"/>
  <c r="F116" i="61"/>
  <c r="N116" i="61" s="1"/>
  <c r="F115" i="61"/>
  <c r="N115" i="61" s="1"/>
  <c r="F114" i="61"/>
  <c r="N114" i="61" s="1"/>
  <c r="F113" i="61"/>
  <c r="J113" i="61" s="1"/>
  <c r="M113" i="61" s="1"/>
  <c r="F112" i="61"/>
  <c r="J112" i="61" s="1"/>
  <c r="M112" i="61" s="1"/>
  <c r="F111" i="61"/>
  <c r="J111" i="61" s="1"/>
  <c r="M111" i="61" s="1"/>
  <c r="F110" i="61"/>
  <c r="J110" i="61" s="1"/>
  <c r="M110" i="61" s="1"/>
  <c r="F109" i="61"/>
  <c r="J109" i="61" s="1"/>
  <c r="M109" i="61" s="1"/>
  <c r="F108" i="61"/>
  <c r="J108" i="61" s="1"/>
  <c r="M108" i="61" s="1"/>
  <c r="F107" i="61"/>
  <c r="N107" i="61" s="1"/>
  <c r="F106" i="61"/>
  <c r="N106" i="61" s="1"/>
  <c r="F105" i="61"/>
  <c r="N105" i="61" s="1"/>
  <c r="F104" i="61"/>
  <c r="N104" i="61" s="1"/>
  <c r="F103" i="61"/>
  <c r="N103" i="61" s="1"/>
  <c r="F102" i="61"/>
  <c r="N102" i="61" s="1"/>
  <c r="F101" i="61"/>
  <c r="G101" i="61" s="1"/>
  <c r="I101" i="61" s="1"/>
  <c r="F100" i="61"/>
  <c r="G100" i="61" s="1"/>
  <c r="I100" i="61" s="1"/>
  <c r="F99" i="61"/>
  <c r="G99" i="61" s="1"/>
  <c r="I99" i="61" s="1"/>
  <c r="F98" i="61"/>
  <c r="J98" i="61" s="1"/>
  <c r="M98" i="61" s="1"/>
  <c r="F97" i="61"/>
  <c r="N97" i="61" s="1"/>
  <c r="F96" i="61"/>
  <c r="J96" i="61" s="1"/>
  <c r="M96" i="61" s="1"/>
  <c r="F95" i="61"/>
  <c r="N95" i="61" s="1"/>
  <c r="F94" i="61"/>
  <c r="J94" i="61" s="1"/>
  <c r="M94" i="61" s="1"/>
  <c r="F93" i="61"/>
  <c r="N93" i="61" s="1"/>
  <c r="F92" i="61"/>
  <c r="N92" i="61" s="1"/>
  <c r="F91" i="61"/>
  <c r="G91" i="61" s="1"/>
  <c r="I91" i="61" s="1"/>
  <c r="F90" i="61"/>
  <c r="N90" i="61" s="1"/>
  <c r="F89" i="61"/>
  <c r="G89" i="61" s="1"/>
  <c r="I89" i="61" s="1"/>
  <c r="F88" i="61"/>
  <c r="N88" i="61" s="1"/>
  <c r="F87" i="61"/>
  <c r="J87" i="61" s="1"/>
  <c r="M87" i="61" s="1"/>
  <c r="F86" i="61"/>
  <c r="N86" i="61" s="1"/>
  <c r="L127" i="61"/>
  <c r="F85" i="61"/>
  <c r="J85" i="61" s="1"/>
  <c r="M85" i="61" s="1"/>
  <c r="F84" i="61"/>
  <c r="J84" i="61" s="1"/>
  <c r="M84" i="61" s="1"/>
  <c r="F83" i="61"/>
  <c r="J83" i="61" s="1"/>
  <c r="M83" i="61" s="1"/>
  <c r="F82" i="61"/>
  <c r="J82" i="61" s="1"/>
  <c r="F81" i="61"/>
  <c r="J81" i="61" s="1"/>
  <c r="M81" i="61" s="1"/>
  <c r="F80" i="61"/>
  <c r="N80" i="61" s="1"/>
  <c r="F79" i="61"/>
  <c r="N79" i="61" s="1"/>
  <c r="H78" i="61"/>
  <c r="G78" i="61" s="1"/>
  <c r="F78" i="61"/>
  <c r="J78" i="61" s="1"/>
  <c r="M78" i="61" s="1"/>
  <c r="H77" i="61"/>
  <c r="F77" i="61"/>
  <c r="N77" i="61" s="1"/>
  <c r="F75" i="61"/>
  <c r="N75" i="61" s="1"/>
  <c r="F74" i="61"/>
  <c r="N74" i="61" s="1"/>
  <c r="F73" i="61"/>
  <c r="N73" i="61" s="1"/>
  <c r="F72" i="61"/>
  <c r="N72" i="61" s="1"/>
  <c r="F71" i="61"/>
  <c r="N71" i="61" s="1"/>
  <c r="F70" i="61"/>
  <c r="J70" i="61" s="1"/>
  <c r="M70" i="61" s="1"/>
  <c r="F69" i="61"/>
  <c r="J69" i="61" s="1"/>
  <c r="M69" i="61" s="1"/>
  <c r="F60" i="61"/>
  <c r="N60" i="61" s="1"/>
  <c r="F59" i="61"/>
  <c r="G59" i="61" s="1"/>
  <c r="I59" i="61" s="1"/>
  <c r="F58" i="61"/>
  <c r="J58" i="61" s="1"/>
  <c r="M58" i="61" s="1"/>
  <c r="F57" i="61"/>
  <c r="N57" i="61" s="1"/>
  <c r="F56" i="61"/>
  <c r="N56" i="61" s="1"/>
  <c r="F55" i="61"/>
  <c r="N55" i="61" s="1"/>
  <c r="F54" i="61"/>
  <c r="N54" i="61" s="1"/>
  <c r="F53" i="61"/>
  <c r="N53" i="61" s="1"/>
  <c r="H52" i="61"/>
  <c r="F52" i="61"/>
  <c r="G52" i="61" s="1"/>
  <c r="H51" i="61"/>
  <c r="G51" i="61" s="1"/>
  <c r="F51" i="61"/>
  <c r="J51" i="61" s="1"/>
  <c r="M51" i="61" s="1"/>
  <c r="H50" i="61"/>
  <c r="F50" i="61"/>
  <c r="G50" i="61" s="1"/>
  <c r="H49" i="61"/>
  <c r="G49" i="61" s="1"/>
  <c r="F49" i="61"/>
  <c r="J49" i="61" s="1"/>
  <c r="M49" i="61" s="1"/>
  <c r="F48" i="61"/>
  <c r="N48" i="61" s="1"/>
  <c r="F47" i="61"/>
  <c r="N47" i="61" s="1"/>
  <c r="F46" i="61"/>
  <c r="J46" i="61" s="1"/>
  <c r="M46" i="61" s="1"/>
  <c r="F45" i="61"/>
  <c r="J45" i="61" s="1"/>
  <c r="M45" i="61" s="1"/>
  <c r="L66" i="61"/>
  <c r="F44" i="61"/>
  <c r="J44" i="61" s="1"/>
  <c r="M44" i="61" s="1"/>
  <c r="F42" i="61"/>
  <c r="N42" i="61" s="1"/>
  <c r="F41" i="61"/>
  <c r="N41" i="61" s="1"/>
  <c r="F40" i="61"/>
  <c r="N40" i="61" s="1"/>
  <c r="F39" i="61"/>
  <c r="N39" i="61" s="1"/>
  <c r="F38" i="61"/>
  <c r="N38" i="61" s="1"/>
  <c r="L35" i="61"/>
  <c r="H35" i="61"/>
  <c r="F32" i="61"/>
  <c r="N32" i="61" s="1"/>
  <c r="F31" i="61"/>
  <c r="J31" i="61" s="1"/>
  <c r="F30" i="61"/>
  <c r="J30" i="61" s="1"/>
  <c r="M30" i="61" s="1"/>
  <c r="H27" i="61"/>
  <c r="F20" i="61"/>
  <c r="N20" i="61" s="1"/>
  <c r="L27" i="61"/>
  <c r="F19" i="61"/>
  <c r="G19" i="61" s="1"/>
  <c r="I19" i="61" s="1"/>
  <c r="F18" i="61"/>
  <c r="G18" i="61" s="1"/>
  <c r="I18" i="61" s="1"/>
  <c r="F17" i="61"/>
  <c r="N17" i="61" s="1"/>
  <c r="F16" i="61"/>
  <c r="G16" i="61" s="1"/>
  <c r="I16" i="61" s="1"/>
  <c r="F15" i="61"/>
  <c r="G15" i="61" s="1"/>
  <c r="I15" i="61" s="1"/>
  <c r="F14" i="61"/>
  <c r="J14" i="61" s="1"/>
  <c r="F13" i="61"/>
  <c r="J13" i="61" s="1"/>
  <c r="M13" i="61" s="1"/>
  <c r="F12" i="61"/>
  <c r="J12" i="61" s="1"/>
  <c r="M12" i="61" s="1"/>
  <c r="L9" i="61"/>
  <c r="H9" i="61"/>
  <c r="E9" i="61"/>
  <c r="F6" i="61"/>
  <c r="N6" i="61" s="1"/>
  <c r="F5" i="61"/>
  <c r="J5" i="61" s="1"/>
  <c r="M5" i="61" s="1"/>
  <c r="F4" i="61"/>
  <c r="G4" i="61" s="1"/>
  <c r="D15" i="57"/>
  <c r="E10" i="57"/>
  <c r="C10" i="57" s="1"/>
  <c r="D10" i="57"/>
  <c r="D9" i="57"/>
  <c r="D16" i="57"/>
  <c r="E29" i="11"/>
  <c r="E28" i="11"/>
  <c r="H25" i="49"/>
  <c r="E12" i="71" s="1"/>
  <c r="G25" i="49"/>
  <c r="E11" i="71" s="1"/>
  <c r="F27" i="11"/>
  <c r="F62" i="11" s="1"/>
  <c r="E9" i="71"/>
  <c r="E46" i="71" s="1"/>
  <c r="H136" i="49"/>
  <c r="G136" i="49"/>
  <c r="H135" i="49"/>
  <c r="G135" i="49"/>
  <c r="H134" i="49"/>
  <c r="G134" i="49"/>
  <c r="H133" i="49"/>
  <c r="G133" i="49"/>
  <c r="H132" i="49"/>
  <c r="G132" i="49"/>
  <c r="H131" i="49"/>
  <c r="G131" i="49"/>
  <c r="H130" i="49"/>
  <c r="G130" i="49"/>
  <c r="H129" i="49"/>
  <c r="G129" i="49"/>
  <c r="H128" i="49"/>
  <c r="G128" i="49"/>
  <c r="H127" i="49"/>
  <c r="G127" i="49"/>
  <c r="H126" i="49"/>
  <c r="G126" i="49"/>
  <c r="H125" i="49"/>
  <c r="G125" i="49"/>
  <c r="H124" i="49"/>
  <c r="G124" i="49"/>
  <c r="H123" i="49"/>
  <c r="G123" i="49"/>
  <c r="H122" i="49"/>
  <c r="G122" i="49"/>
  <c r="H121" i="49"/>
  <c r="G121" i="49"/>
  <c r="H120" i="49"/>
  <c r="G120" i="49"/>
  <c r="H119" i="49"/>
  <c r="G119" i="49"/>
  <c r="H118" i="49"/>
  <c r="G118" i="49"/>
  <c r="H117" i="49"/>
  <c r="G117" i="49"/>
  <c r="H116" i="49"/>
  <c r="G116" i="49"/>
  <c r="A13" i="49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14" i="48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E77" i="7" s="1"/>
  <c r="E24" i="54"/>
  <c r="D24" i="54"/>
  <c r="A8" i="17"/>
  <c r="A9" i="17"/>
  <c r="A10" i="17" s="1"/>
  <c r="A11" i="17" s="1"/>
  <c r="A12" i="17" s="1"/>
  <c r="A13" i="17" s="1"/>
  <c r="A14" i="17" s="1"/>
  <c r="I101" i="1" s="1"/>
  <c r="D49" i="26"/>
  <c r="G19" i="26" s="1"/>
  <c r="H19" i="26" s="1"/>
  <c r="D48" i="26"/>
  <c r="G18" i="26" s="1"/>
  <c r="H18" i="26" s="1"/>
  <c r="D47" i="26"/>
  <c r="G17" i="26" s="1"/>
  <c r="H17" i="26" s="1"/>
  <c r="D46" i="26"/>
  <c r="G16" i="26" s="1"/>
  <c r="H16" i="26" s="1"/>
  <c r="D45" i="26"/>
  <c r="G15" i="26" s="1"/>
  <c r="H15" i="26" s="1"/>
  <c r="D44" i="26"/>
  <c r="G14" i="26" s="1"/>
  <c r="H14" i="26" s="1"/>
  <c r="D43" i="26"/>
  <c r="G13" i="26" s="1"/>
  <c r="H13" i="26" s="1"/>
  <c r="D41" i="26"/>
  <c r="G11" i="26" s="1"/>
  <c r="H11" i="26" s="1"/>
  <c r="D40" i="26"/>
  <c r="G10" i="26" s="1"/>
  <c r="H10" i="26" s="1"/>
  <c r="D39" i="26"/>
  <c r="G9" i="26" s="1"/>
  <c r="H9" i="26" s="1"/>
  <c r="D38" i="26"/>
  <c r="G8" i="26" s="1"/>
  <c r="H8" i="26" s="1"/>
  <c r="D37" i="26"/>
  <c r="G7" i="26" s="1"/>
  <c r="H7" i="26" s="1"/>
  <c r="A9" i="57"/>
  <c r="A10" i="57" s="1"/>
  <c r="A11" i="57" s="1"/>
  <c r="A12" i="57" s="1"/>
  <c r="A13" i="57" s="1"/>
  <c r="A14" i="57" s="1"/>
  <c r="A15" i="57" s="1"/>
  <c r="A16" i="57" s="1"/>
  <c r="A17" i="57" s="1"/>
  <c r="A18" i="57" s="1"/>
  <c r="A19" i="57" s="1"/>
  <c r="A20" i="57" s="1"/>
  <c r="A21" i="57" s="1"/>
  <c r="A22" i="57" s="1"/>
  <c r="A23" i="57" s="1"/>
  <c r="A24" i="57" s="1"/>
  <c r="A25" i="57" s="1"/>
  <c r="A26" i="57" s="1"/>
  <c r="A27" i="57" s="1"/>
  <c r="A28" i="57" s="1"/>
  <c r="A29" i="57" s="1"/>
  <c r="A30" i="57" s="1"/>
  <c r="A31" i="57" s="1"/>
  <c r="K17" i="57"/>
  <c r="J17" i="57"/>
  <c r="J19" i="57" s="1"/>
  <c r="D26" i="57" s="1"/>
  <c r="I17" i="57"/>
  <c r="H17" i="57"/>
  <c r="G17" i="57"/>
  <c r="E16" i="57"/>
  <c r="C15" i="57"/>
  <c r="E14" i="57"/>
  <c r="D14" i="57"/>
  <c r="C9" i="57"/>
  <c r="K11" i="57"/>
  <c r="K19" i="57" s="1"/>
  <c r="E30" i="57" s="1"/>
  <c r="J11" i="57"/>
  <c r="I11" i="57"/>
  <c r="I19" i="57" s="1"/>
  <c r="C26" i="57" s="1"/>
  <c r="H11" i="57"/>
  <c r="G11" i="57"/>
  <c r="G19" i="57" s="1"/>
  <c r="C25" i="57" s="1"/>
  <c r="D11" i="57"/>
  <c r="F11" i="56"/>
  <c r="F10" i="56"/>
  <c r="A9" i="56"/>
  <c r="A10" i="56" s="1"/>
  <c r="C40" i="56"/>
  <c r="C42" i="56" s="1"/>
  <c r="F39" i="56"/>
  <c r="F38" i="56"/>
  <c r="F36" i="56"/>
  <c r="C26" i="56"/>
  <c r="F25" i="56"/>
  <c r="F24" i="56"/>
  <c r="F23" i="56"/>
  <c r="F22" i="56"/>
  <c r="F21" i="56"/>
  <c r="F20" i="56"/>
  <c r="E17" i="56"/>
  <c r="C12" i="56"/>
  <c r="C17" i="56" s="1"/>
  <c r="D29" i="55"/>
  <c r="E17" i="55" s="1"/>
  <c r="K30" i="1" s="1"/>
  <c r="E29" i="55"/>
  <c r="E19" i="55" s="1"/>
  <c r="K133" i="1" s="1"/>
  <c r="J57" i="8" s="1"/>
  <c r="C29" i="55"/>
  <c r="A5" i="55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5" i="32"/>
  <c r="G16" i="32" s="1"/>
  <c r="A7" i="26"/>
  <c r="A8" i="26" s="1"/>
  <c r="A9" i="26" s="1"/>
  <c r="A10" i="26" s="1"/>
  <c r="A27" i="1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K100" i="1"/>
  <c r="A10" i="22"/>
  <c r="A7" i="8"/>
  <c r="A8" i="8" s="1"/>
  <c r="A9" i="8" s="1"/>
  <c r="A32" i="8"/>
  <c r="A33" i="8" s="1"/>
  <c r="H33" i="8"/>
  <c r="E41" i="32"/>
  <c r="E35" i="32"/>
  <c r="K12" i="1"/>
  <c r="K127" i="1"/>
  <c r="J51" i="8" s="1"/>
  <c r="F24" i="26"/>
  <c r="F7" i="42"/>
  <c r="E21" i="32" s="1"/>
  <c r="F27" i="12"/>
  <c r="F56" i="12" s="1"/>
  <c r="F26" i="12"/>
  <c r="F55" i="12" s="1"/>
  <c r="F25" i="12"/>
  <c r="F54" i="12" s="1"/>
  <c r="G57" i="26"/>
  <c r="G36" i="26" s="1"/>
  <c r="D36" i="26" s="1"/>
  <c r="G6" i="26" s="1"/>
  <c r="H6" i="26" s="1"/>
  <c r="J43" i="8"/>
  <c r="F22" i="31"/>
  <c r="E22" i="31"/>
  <c r="D22" i="31"/>
  <c r="F12" i="22"/>
  <c r="E20" i="30"/>
  <c r="D20" i="30"/>
  <c r="E20" i="26"/>
  <c r="D17" i="57"/>
  <c r="D19" i="57" s="1"/>
  <c r="F15" i="56"/>
  <c r="F26" i="11"/>
  <c r="F61" i="11" s="1"/>
  <c r="J39" i="61"/>
  <c r="M39" i="61" s="1"/>
  <c r="J148" i="61"/>
  <c r="M148" i="61" s="1"/>
  <c r="J105" i="61"/>
  <c r="M105" i="61" s="1"/>
  <c r="G134" i="61"/>
  <c r="I134" i="61" s="1"/>
  <c r="J171" i="61"/>
  <c r="M171" i="61" s="1"/>
  <c r="F41" i="12"/>
  <c r="A9" i="2"/>
  <c r="A10" i="2"/>
  <c r="F24" i="65"/>
  <c r="D118" i="65"/>
  <c r="F118" i="65"/>
  <c r="H118" i="65"/>
  <c r="I109" i="65"/>
  <c r="I113" i="65"/>
  <c r="I117" i="65"/>
  <c r="B135" i="65"/>
  <c r="A25" i="65"/>
  <c r="A26" i="65"/>
  <c r="A27" i="65" s="1"/>
  <c r="A28" i="65"/>
  <c r="A29" i="65" s="1"/>
  <c r="A30" i="65" s="1"/>
  <c r="A31" i="65" s="1"/>
  <c r="A32" i="65" s="1"/>
  <c r="A33" i="65" s="1"/>
  <c r="A34" i="65" s="1"/>
  <c r="A35" i="65" s="1"/>
  <c r="A36" i="65" s="1"/>
  <c r="A37" i="65" s="1"/>
  <c r="A38" i="65" s="1"/>
  <c r="A39" i="65" s="1"/>
  <c r="A40" i="65" s="1"/>
  <c r="A41" i="65" s="1"/>
  <c r="A42" i="65" s="1"/>
  <c r="A43" i="65" s="1"/>
  <c r="A44" i="65" s="1"/>
  <c r="M12" i="64"/>
  <c r="M24" i="64"/>
  <c r="E46" i="7"/>
  <c r="A25" i="49"/>
  <c r="A32" i="49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J97" i="61"/>
  <c r="M97" i="61" s="1"/>
  <c r="N82" i="61"/>
  <c r="G14" i="61"/>
  <c r="I14" i="61" s="1"/>
  <c r="G109" i="61"/>
  <c r="I109" i="61" s="1"/>
  <c r="J177" i="61"/>
  <c r="M177" i="61" s="1"/>
  <c r="C27" i="57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D100" i="46"/>
  <c r="H100" i="46" s="1"/>
  <c r="C61" i="46"/>
  <c r="E156" i="46"/>
  <c r="I156" i="46" s="1"/>
  <c r="E157" i="46"/>
  <c r="E158" i="46"/>
  <c r="I158" i="46" s="1"/>
  <c r="E159" i="46"/>
  <c r="I159" i="46" s="1"/>
  <c r="E160" i="46"/>
  <c r="I160" i="46" s="1"/>
  <c r="E161" i="46"/>
  <c r="L11" i="46"/>
  <c r="E96" i="46" s="1"/>
  <c r="I96" i="46" s="1"/>
  <c r="D123" i="46"/>
  <c r="H123" i="46" s="1"/>
  <c r="D140" i="46"/>
  <c r="K11" i="46"/>
  <c r="K33" i="46"/>
  <c r="D118" i="46" s="1"/>
  <c r="K35" i="46"/>
  <c r="D120" i="46" s="1"/>
  <c r="K37" i="46"/>
  <c r="J37" i="46" s="1"/>
  <c r="C122" i="46" s="1"/>
  <c r="K39" i="46"/>
  <c r="D124" i="46" s="1"/>
  <c r="K41" i="46"/>
  <c r="D126" i="46" s="1"/>
  <c r="K43" i="46"/>
  <c r="J43" i="46" s="1"/>
  <c r="C128" i="46" s="1"/>
  <c r="K45" i="46"/>
  <c r="J45" i="46" s="1"/>
  <c r="C130" i="46" s="1"/>
  <c r="K47" i="46"/>
  <c r="D132" i="46" s="1"/>
  <c r="H132" i="46" s="1"/>
  <c r="K49" i="46"/>
  <c r="D134" i="46" s="1"/>
  <c r="H134" i="46" s="1"/>
  <c r="K51" i="46"/>
  <c r="D136" i="46" s="1"/>
  <c r="H136" i="46" s="1"/>
  <c r="K53" i="46"/>
  <c r="J53" i="46" s="1"/>
  <c r="C138" i="46" s="1"/>
  <c r="K56" i="46"/>
  <c r="K58" i="46"/>
  <c r="D143" i="46" s="1"/>
  <c r="L70" i="46"/>
  <c r="A14" i="44"/>
  <c r="A15" i="44" s="1"/>
  <c r="A27" i="44" s="1"/>
  <c r="H61" i="44"/>
  <c r="A10" i="1"/>
  <c r="A11" i="1" s="1"/>
  <c r="A12" i="1" s="1"/>
  <c r="A15" i="1" s="1"/>
  <c r="A16" i="1" s="1"/>
  <c r="A17" i="1" s="1"/>
  <c r="J93" i="61"/>
  <c r="M93" i="61" s="1"/>
  <c r="G43" i="61"/>
  <c r="I43" i="61" s="1"/>
  <c r="A11" i="2"/>
  <c r="E10" i="2"/>
  <c r="A12" i="2"/>
  <c r="E13" i="2" s="1"/>
  <c r="A13" i="2"/>
  <c r="E14" i="2" s="1"/>
  <c r="E29" i="32" l="1"/>
  <c r="K65" i="65"/>
  <c r="E72" i="65" s="1"/>
  <c r="E73" i="65" s="1"/>
  <c r="K147" i="1" s="1"/>
  <c r="C8" i="9" s="1"/>
  <c r="G65" i="65"/>
  <c r="G165" i="49"/>
  <c r="F17" i="71" s="1"/>
  <c r="F165" i="49"/>
  <c r="F16" i="71" s="1"/>
  <c r="D165" i="49"/>
  <c r="F14" i="71" s="1"/>
  <c r="L80" i="46"/>
  <c r="C80" i="46"/>
  <c r="I82" i="46"/>
  <c r="E62" i="11"/>
  <c r="E56" i="12" s="1"/>
  <c r="N110" i="61"/>
  <c r="G85" i="61"/>
  <c r="I85" i="61" s="1"/>
  <c r="J104" i="61"/>
  <c r="M104" i="61" s="1"/>
  <c r="J89" i="61"/>
  <c r="M89" i="61" s="1"/>
  <c r="N43" i="61"/>
  <c r="G168" i="61"/>
  <c r="I168" i="61" s="1"/>
  <c r="N109" i="61"/>
  <c r="J101" i="61"/>
  <c r="M101" i="61" s="1"/>
  <c r="N44" i="61"/>
  <c r="J130" i="61"/>
  <c r="M130" i="61" s="1"/>
  <c r="G175" i="61"/>
  <c r="I175" i="61" s="1"/>
  <c r="G73" i="61"/>
  <c r="I73" i="61" s="1"/>
  <c r="N190" i="61"/>
  <c r="J143" i="61"/>
  <c r="M143" i="61" s="1"/>
  <c r="J165" i="61"/>
  <c r="M165" i="61" s="1"/>
  <c r="G53" i="61"/>
  <c r="I53" i="61" s="1"/>
  <c r="J167" i="61"/>
  <c r="M167" i="61" s="1"/>
  <c r="J120" i="61"/>
  <c r="M120" i="61" s="1"/>
  <c r="N165" i="61"/>
  <c r="J88" i="61"/>
  <c r="M88" i="61" s="1"/>
  <c r="N100" i="61"/>
  <c r="F40" i="56"/>
  <c r="H19" i="57"/>
  <c r="D25" i="57" s="1"/>
  <c r="C14" i="57"/>
  <c r="C17" i="57" s="1"/>
  <c r="C16" i="57"/>
  <c r="J116" i="61"/>
  <c r="M116" i="61" s="1"/>
  <c r="N112" i="61"/>
  <c r="G69" i="61"/>
  <c r="I69" i="61" s="1"/>
  <c r="N69" i="61"/>
  <c r="J174" i="61"/>
  <c r="M174" i="61" s="1"/>
  <c r="N147" i="61"/>
  <c r="J131" i="61"/>
  <c r="M131" i="61" s="1"/>
  <c r="J172" i="61"/>
  <c r="M172" i="61" s="1"/>
  <c r="G88" i="61"/>
  <c r="I88" i="61" s="1"/>
  <c r="J42" i="61"/>
  <c r="M42" i="61" s="1"/>
  <c r="J100" i="61"/>
  <c r="M100" i="61" s="1"/>
  <c r="N31" i="61"/>
  <c r="J139" i="61"/>
  <c r="M139" i="61" s="1"/>
  <c r="G96" i="61"/>
  <c r="I96" i="61" s="1"/>
  <c r="J4" i="61"/>
  <c r="M4" i="61" s="1"/>
  <c r="J135" i="61"/>
  <c r="M135" i="61" s="1"/>
  <c r="G108" i="61"/>
  <c r="I108" i="61" s="1"/>
  <c r="J77" i="61"/>
  <c r="M77" i="61" s="1"/>
  <c r="G104" i="61"/>
  <c r="I104" i="61" s="1"/>
  <c r="G77" i="61"/>
  <c r="I77" i="61" s="1"/>
  <c r="L198" i="61"/>
  <c r="E201" i="61" s="1"/>
  <c r="E203" i="61" s="1"/>
  <c r="J77" i="46"/>
  <c r="C162" i="46" s="1"/>
  <c r="J71" i="46"/>
  <c r="C156" i="46" s="1"/>
  <c r="J72" i="46"/>
  <c r="C157" i="46" s="1"/>
  <c r="J73" i="46"/>
  <c r="C158" i="46" s="1"/>
  <c r="J74" i="46"/>
  <c r="C159" i="46" s="1"/>
  <c r="J75" i="46"/>
  <c r="C160" i="46" s="1"/>
  <c r="J76" i="46"/>
  <c r="C161" i="46" s="1"/>
  <c r="J52" i="46"/>
  <c r="C137" i="46" s="1"/>
  <c r="J34" i="46"/>
  <c r="C119" i="46" s="1"/>
  <c r="E61" i="11"/>
  <c r="E55" i="12" s="1"/>
  <c r="I118" i="65"/>
  <c r="F40" i="12"/>
  <c r="E47" i="11"/>
  <c r="E40" i="12" s="1"/>
  <c r="F39" i="12"/>
  <c r="C28" i="56"/>
  <c r="F12" i="56"/>
  <c r="J72" i="61"/>
  <c r="M72" i="61" s="1"/>
  <c r="G177" i="61"/>
  <c r="I177" i="61" s="1"/>
  <c r="J119" i="61"/>
  <c r="M119" i="61" s="1"/>
  <c r="G84" i="61"/>
  <c r="I84" i="61" s="1"/>
  <c r="J47" i="61"/>
  <c r="M47" i="61" s="1"/>
  <c r="G171" i="61"/>
  <c r="I171" i="61" s="1"/>
  <c r="J134" i="61"/>
  <c r="M134" i="61" s="1"/>
  <c r="J54" i="61"/>
  <c r="M54" i="61" s="1"/>
  <c r="G97" i="61"/>
  <c r="I97" i="61" s="1"/>
  <c r="J32" i="61"/>
  <c r="M32" i="61" s="1"/>
  <c r="J15" i="61"/>
  <c r="M15" i="61" s="1"/>
  <c r="G119" i="61"/>
  <c r="I119" i="61" s="1"/>
  <c r="G174" i="61"/>
  <c r="I174" i="61" s="1"/>
  <c r="G167" i="61"/>
  <c r="I167" i="61" s="1"/>
  <c r="J190" i="61"/>
  <c r="M190" i="61" s="1"/>
  <c r="G146" i="61"/>
  <c r="I146" i="61" s="1"/>
  <c r="J80" i="61"/>
  <c r="M80" i="61" s="1"/>
  <c r="N50" i="61"/>
  <c r="N91" i="61"/>
  <c r="J74" i="61"/>
  <c r="M74" i="61" s="1"/>
  <c r="J166" i="61"/>
  <c r="M166" i="61" s="1"/>
  <c r="J118" i="61"/>
  <c r="M118" i="61" s="1"/>
  <c r="G116" i="61"/>
  <c r="I116" i="61" s="1"/>
  <c r="G93" i="61"/>
  <c r="I93" i="61" s="1"/>
  <c r="G72" i="61"/>
  <c r="I72" i="61" s="1"/>
  <c r="G47" i="61"/>
  <c r="I47" i="61" s="1"/>
  <c r="J187" i="61"/>
  <c r="M187" i="61" s="1"/>
  <c r="N172" i="61"/>
  <c r="J147" i="61"/>
  <c r="M147" i="61" s="1"/>
  <c r="N143" i="61"/>
  <c r="N101" i="61"/>
  <c r="G44" i="61"/>
  <c r="I44" i="61" s="1"/>
  <c r="G39" i="61"/>
  <c r="I39" i="61" s="1"/>
  <c r="N89" i="61"/>
  <c r="G32" i="61"/>
  <c r="I32" i="61" s="1"/>
  <c r="N51" i="61"/>
  <c r="G191" i="61"/>
  <c r="I191" i="61" s="1"/>
  <c r="J76" i="61"/>
  <c r="M76" i="61" s="1"/>
  <c r="N175" i="61"/>
  <c r="J168" i="61"/>
  <c r="M168" i="61" s="1"/>
  <c r="G139" i="61"/>
  <c r="I139" i="61" s="1"/>
  <c r="G113" i="61"/>
  <c r="I113" i="61" s="1"/>
  <c r="G120" i="61"/>
  <c r="I120" i="61" s="1"/>
  <c r="G82" i="61"/>
  <c r="I82" i="61" s="1"/>
  <c r="G135" i="61"/>
  <c r="I135" i="61" s="1"/>
  <c r="G131" i="61"/>
  <c r="I131" i="61" s="1"/>
  <c r="G105" i="61"/>
  <c r="I105" i="61" s="1"/>
  <c r="G54" i="61"/>
  <c r="I54" i="61" s="1"/>
  <c r="G42" i="61"/>
  <c r="I42" i="61" s="1"/>
  <c r="J50" i="61"/>
  <c r="M50" i="61" s="1"/>
  <c r="G140" i="61"/>
  <c r="I140" i="61" s="1"/>
  <c r="J55" i="61"/>
  <c r="M55" i="61" s="1"/>
  <c r="J48" i="61"/>
  <c r="M48" i="61" s="1"/>
  <c r="N94" i="61"/>
  <c r="G74" i="61"/>
  <c r="I74" i="61" s="1"/>
  <c r="G60" i="61"/>
  <c r="I60" i="61" s="1"/>
  <c r="N5" i="61"/>
  <c r="J103" i="61"/>
  <c r="M103" i="61" s="1"/>
  <c r="G90" i="61"/>
  <c r="I90" i="61" s="1"/>
  <c r="J79" i="61"/>
  <c r="M79" i="61" s="1"/>
  <c r="G48" i="61"/>
  <c r="I48" i="61" s="1"/>
  <c r="J40" i="61"/>
  <c r="M40" i="61" s="1"/>
  <c r="J86" i="61"/>
  <c r="M86" i="61" s="1"/>
  <c r="N14" i="61"/>
  <c r="J18" i="61"/>
  <c r="M18" i="61" s="1"/>
  <c r="N18" i="61"/>
  <c r="N52" i="61"/>
  <c r="G114" i="61"/>
  <c r="I114" i="61" s="1"/>
  <c r="N4" i="61"/>
  <c r="N179" i="61"/>
  <c r="G132" i="61"/>
  <c r="I132" i="61" s="1"/>
  <c r="G79" i="61"/>
  <c r="I79" i="61" s="1"/>
  <c r="G40" i="61"/>
  <c r="I40" i="61" s="1"/>
  <c r="J117" i="61"/>
  <c r="M117" i="61" s="1"/>
  <c r="N19" i="61"/>
  <c r="J19" i="61"/>
  <c r="M19" i="61" s="1"/>
  <c r="N70" i="61"/>
  <c r="N148" i="61"/>
  <c r="J136" i="61"/>
  <c r="M136" i="61" s="1"/>
  <c r="N117" i="61"/>
  <c r="J92" i="61"/>
  <c r="M92" i="61" s="1"/>
  <c r="J141" i="61"/>
  <c r="M141" i="61" s="1"/>
  <c r="G112" i="61"/>
  <c r="I112" i="61" s="1"/>
  <c r="J121" i="61"/>
  <c r="M121" i="61" s="1"/>
  <c r="G92" i="61"/>
  <c r="I92" i="61" s="1"/>
  <c r="G70" i="61"/>
  <c r="I70" i="61" s="1"/>
  <c r="J60" i="61"/>
  <c r="M60" i="61" s="1"/>
  <c r="N188" i="61"/>
  <c r="J191" i="61"/>
  <c r="M191" i="61" s="1"/>
  <c r="G107" i="61"/>
  <c r="I107" i="61" s="1"/>
  <c r="G176" i="61"/>
  <c r="I176" i="61" s="1"/>
  <c r="G169" i="61"/>
  <c r="I169" i="61" s="1"/>
  <c r="N144" i="61"/>
  <c r="N108" i="61"/>
  <c r="N99" i="61"/>
  <c r="J57" i="61"/>
  <c r="M57" i="61" s="1"/>
  <c r="J38" i="61"/>
  <c r="M38" i="61" s="1"/>
  <c r="N46" i="61"/>
  <c r="N15" i="61"/>
  <c r="G5" i="61"/>
  <c r="I5" i="61" s="1"/>
  <c r="N84" i="61"/>
  <c r="J144" i="61"/>
  <c r="M144" i="61" s="1"/>
  <c r="J99" i="61"/>
  <c r="M99" i="61" s="1"/>
  <c r="G80" i="61"/>
  <c r="I80" i="61" s="1"/>
  <c r="J91" i="61"/>
  <c r="M91" i="61" s="1"/>
  <c r="J16" i="61"/>
  <c r="M16" i="61" s="1"/>
  <c r="G188" i="61"/>
  <c r="I188" i="61" s="1"/>
  <c r="J140" i="61"/>
  <c r="M140" i="61" s="1"/>
  <c r="J137" i="61"/>
  <c r="M137" i="61" s="1"/>
  <c r="J114" i="61"/>
  <c r="M114" i="61" s="1"/>
  <c r="J115" i="61"/>
  <c r="M115" i="61" s="1"/>
  <c r="N96" i="61"/>
  <c r="N85" i="61"/>
  <c r="G121" i="61"/>
  <c r="I121" i="61" s="1"/>
  <c r="N169" i="61"/>
  <c r="J145" i="61"/>
  <c r="M145" i="61" s="1"/>
  <c r="J132" i="61"/>
  <c r="M132" i="61" s="1"/>
  <c r="N136" i="61"/>
  <c r="G103" i="61"/>
  <c r="I103" i="61" s="1"/>
  <c r="G81" i="61"/>
  <c r="I81" i="61" s="1"/>
  <c r="G57" i="61"/>
  <c r="I57" i="61" s="1"/>
  <c r="J53" i="61"/>
  <c r="M53" i="61" s="1"/>
  <c r="G38" i="61"/>
  <c r="I38" i="61" s="1"/>
  <c r="N81" i="61"/>
  <c r="N30" i="61"/>
  <c r="M173" i="61"/>
  <c r="M31" i="61"/>
  <c r="G166" i="61"/>
  <c r="I166" i="61" s="1"/>
  <c r="G141" i="61"/>
  <c r="I141" i="61" s="1"/>
  <c r="G137" i="61"/>
  <c r="I137" i="61" s="1"/>
  <c r="G122" i="61"/>
  <c r="I122" i="61" s="1"/>
  <c r="G118" i="61"/>
  <c r="I118" i="61" s="1"/>
  <c r="N113" i="61"/>
  <c r="J106" i="61"/>
  <c r="M106" i="61" s="1"/>
  <c r="G55" i="61"/>
  <c r="I55" i="61" s="1"/>
  <c r="I52" i="61"/>
  <c r="G31" i="61"/>
  <c r="I31" i="61" s="1"/>
  <c r="J17" i="61"/>
  <c r="M17" i="61" s="1"/>
  <c r="J6" i="61"/>
  <c r="M6" i="61" s="1"/>
  <c r="M9" i="61" s="1"/>
  <c r="J73" i="61"/>
  <c r="M73" i="61" s="1"/>
  <c r="G170" i="61"/>
  <c r="I170" i="61" s="1"/>
  <c r="J142" i="61"/>
  <c r="M142" i="61" s="1"/>
  <c r="J138" i="61"/>
  <c r="M138" i="61" s="1"/>
  <c r="J122" i="61"/>
  <c r="M122" i="61" s="1"/>
  <c r="G111" i="61"/>
  <c r="I111" i="61" s="1"/>
  <c r="N98" i="61"/>
  <c r="G83" i="61"/>
  <c r="I83" i="61" s="1"/>
  <c r="G75" i="61"/>
  <c r="I75" i="61" s="1"/>
  <c r="G71" i="61"/>
  <c r="I71" i="61" s="1"/>
  <c r="J59" i="61"/>
  <c r="M59" i="61" s="1"/>
  <c r="G17" i="61"/>
  <c r="I17" i="61" s="1"/>
  <c r="G13" i="61"/>
  <c r="I13" i="61" s="1"/>
  <c r="N12" i="61"/>
  <c r="G115" i="61"/>
  <c r="I115" i="61" s="1"/>
  <c r="N170" i="61"/>
  <c r="N13" i="61"/>
  <c r="J178" i="61"/>
  <c r="M178" i="61" s="1"/>
  <c r="J133" i="61"/>
  <c r="M133" i="61" s="1"/>
  <c r="J146" i="61"/>
  <c r="M146" i="61" s="1"/>
  <c r="G95" i="61"/>
  <c r="I95" i="61" s="1"/>
  <c r="J90" i="61"/>
  <c r="M90" i="61" s="1"/>
  <c r="J56" i="61"/>
  <c r="M56" i="61" s="1"/>
  <c r="J52" i="61"/>
  <c r="M52" i="61" s="1"/>
  <c r="G46" i="61"/>
  <c r="I46" i="61" s="1"/>
  <c r="J41" i="61"/>
  <c r="M41" i="61" s="1"/>
  <c r="J102" i="61"/>
  <c r="M102" i="61" s="1"/>
  <c r="N58" i="61"/>
  <c r="G30" i="61"/>
  <c r="I30" i="61" s="1"/>
  <c r="G20" i="61"/>
  <c r="I20" i="61" s="1"/>
  <c r="N16" i="61"/>
  <c r="G6" i="61"/>
  <c r="I6" i="61" s="1"/>
  <c r="J75" i="61"/>
  <c r="M75" i="61" s="1"/>
  <c r="N49" i="61"/>
  <c r="G173" i="61"/>
  <c r="I173" i="61" s="1"/>
  <c r="G98" i="61"/>
  <c r="I98" i="61" s="1"/>
  <c r="N83" i="61"/>
  <c r="N173" i="61"/>
  <c r="N45" i="61"/>
  <c r="G178" i="61"/>
  <c r="I178" i="61" s="1"/>
  <c r="N145" i="61"/>
  <c r="J176" i="61"/>
  <c r="M176" i="61" s="1"/>
  <c r="G102" i="61"/>
  <c r="I102" i="61" s="1"/>
  <c r="N76" i="61"/>
  <c r="J71" i="61"/>
  <c r="M71" i="61" s="1"/>
  <c r="N59" i="61"/>
  <c r="G179" i="61"/>
  <c r="I179" i="61" s="1"/>
  <c r="N130" i="61"/>
  <c r="G142" i="61"/>
  <c r="I142" i="61" s="1"/>
  <c r="G138" i="61"/>
  <c r="I138" i="61" s="1"/>
  <c r="G110" i="61"/>
  <c r="I110" i="61" s="1"/>
  <c r="G94" i="61"/>
  <c r="I94" i="61" s="1"/>
  <c r="N111" i="61"/>
  <c r="G87" i="61"/>
  <c r="I87" i="61" s="1"/>
  <c r="G45" i="61"/>
  <c r="I45" i="61" s="1"/>
  <c r="G12" i="61"/>
  <c r="N87" i="61"/>
  <c r="G187" i="61"/>
  <c r="I187" i="61" s="1"/>
  <c r="G133" i="61"/>
  <c r="I133" i="61" s="1"/>
  <c r="J107" i="61"/>
  <c r="M107" i="61" s="1"/>
  <c r="G106" i="61"/>
  <c r="I106" i="61" s="1"/>
  <c r="J95" i="61"/>
  <c r="M95" i="61" s="1"/>
  <c r="G58" i="61"/>
  <c r="I58" i="61" s="1"/>
  <c r="G56" i="61"/>
  <c r="I56" i="61" s="1"/>
  <c r="G41" i="61"/>
  <c r="I41" i="61" s="1"/>
  <c r="G86" i="61"/>
  <c r="I86" i="61" s="1"/>
  <c r="J20" i="61"/>
  <c r="M20" i="61" s="1"/>
  <c r="I190" i="61"/>
  <c r="E15" i="32"/>
  <c r="E26" i="57"/>
  <c r="E17" i="57"/>
  <c r="E11" i="57"/>
  <c r="H127" i="61"/>
  <c r="N78" i="61"/>
  <c r="H130" i="61"/>
  <c r="E198" i="61"/>
  <c r="J57" i="46"/>
  <c r="C142" i="46" s="1"/>
  <c r="J48" i="46"/>
  <c r="C133" i="46" s="1"/>
  <c r="J38" i="46"/>
  <c r="C123" i="46" s="1"/>
  <c r="G112" i="46"/>
  <c r="D138" i="46"/>
  <c r="H138" i="46" s="1"/>
  <c r="G138" i="46" s="1"/>
  <c r="J46" i="46"/>
  <c r="C131" i="46" s="1"/>
  <c r="J40" i="46"/>
  <c r="C125" i="46" s="1"/>
  <c r="J36" i="46"/>
  <c r="C121" i="46" s="1"/>
  <c r="J32" i="46"/>
  <c r="C117" i="46" s="1"/>
  <c r="J23" i="46"/>
  <c r="C108" i="46" s="1"/>
  <c r="J42" i="46"/>
  <c r="C127" i="46" s="1"/>
  <c r="C112" i="46"/>
  <c r="J56" i="46"/>
  <c r="C141" i="46" s="1"/>
  <c r="J39" i="46"/>
  <c r="C124" i="46" s="1"/>
  <c r="J55" i="46"/>
  <c r="C140" i="46" s="1"/>
  <c r="J50" i="46"/>
  <c r="C135" i="46" s="1"/>
  <c r="J44" i="46"/>
  <c r="C129" i="46" s="1"/>
  <c r="E48" i="11"/>
  <c r="E41" i="12" s="1"/>
  <c r="I137" i="49"/>
  <c r="F13" i="71" s="1"/>
  <c r="E20" i="71"/>
  <c r="E24" i="71" s="1"/>
  <c r="G137" i="49"/>
  <c r="F11" i="71" s="1"/>
  <c r="F42" i="56"/>
  <c r="E28" i="56"/>
  <c r="G20" i="2" s="1"/>
  <c r="F26" i="56"/>
  <c r="M44" i="64"/>
  <c r="A37" i="8"/>
  <c r="H54" i="8"/>
  <c r="E25" i="57"/>
  <c r="D27" i="57"/>
  <c r="E27" i="57" s="1"/>
  <c r="D28" i="57" s="1"/>
  <c r="D30" i="57" s="1"/>
  <c r="D31" i="57" s="1"/>
  <c r="D38" i="57" s="1"/>
  <c r="D41" i="57" s="1"/>
  <c r="M188" i="61"/>
  <c r="G24" i="26"/>
  <c r="A11" i="26"/>
  <c r="A12" i="26" s="1"/>
  <c r="A13" i="26" s="1"/>
  <c r="A14" i="26" s="1"/>
  <c r="A15" i="26" s="1"/>
  <c r="A16" i="26" s="1"/>
  <c r="A17" i="26" s="1"/>
  <c r="A18" i="26" s="1"/>
  <c r="A19" i="26" s="1"/>
  <c r="A29" i="64"/>
  <c r="A30" i="64" s="1"/>
  <c r="A31" i="64" s="1"/>
  <c r="A32" i="64" s="1"/>
  <c r="A33" i="64" s="1"/>
  <c r="A34" i="64" s="1"/>
  <c r="A35" i="64" s="1"/>
  <c r="B85" i="64"/>
  <c r="A18" i="55"/>
  <c r="I30" i="1"/>
  <c r="E18" i="55"/>
  <c r="J26" i="8" s="1"/>
  <c r="A32" i="57"/>
  <c r="A33" i="57" s="1"/>
  <c r="A34" i="57" s="1"/>
  <c r="G38" i="57"/>
  <c r="H66" i="61"/>
  <c r="H194" i="61"/>
  <c r="E165" i="49"/>
  <c r="F15" i="71" s="1"/>
  <c r="C11" i="57"/>
  <c r="C19" i="57" s="1"/>
  <c r="A14" i="2"/>
  <c r="L61" i="46"/>
  <c r="L82" i="46" s="1"/>
  <c r="F17" i="56"/>
  <c r="B146" i="65"/>
  <c r="F71" i="65"/>
  <c r="G13" i="2"/>
  <c r="G14" i="2" s="1"/>
  <c r="D122" i="46"/>
  <c r="H122" i="46" s="1"/>
  <c r="G122" i="46" s="1"/>
  <c r="J35" i="46"/>
  <c r="C120" i="46" s="1"/>
  <c r="H137" i="49"/>
  <c r="F12" i="71" s="1"/>
  <c r="A20" i="26"/>
  <c r="C77" i="26"/>
  <c r="M14" i="61"/>
  <c r="I50" i="61"/>
  <c r="M43" i="61"/>
  <c r="I4" i="61"/>
  <c r="M82" i="61"/>
  <c r="I76" i="61"/>
  <c r="N194" i="61"/>
  <c r="D114" i="21"/>
  <c r="D126" i="21" s="1"/>
  <c r="D105" i="21"/>
  <c r="D138" i="21" s="1"/>
  <c r="D143" i="21" s="1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B177" i="21"/>
  <c r="E37" i="11"/>
  <c r="K28" i="1" s="1"/>
  <c r="E57" i="7"/>
  <c r="E53" i="7"/>
  <c r="K54" i="1"/>
  <c r="F55" i="17"/>
  <c r="F57" i="17" s="1"/>
  <c r="D51" i="17"/>
  <c r="D14" i="17" s="1"/>
  <c r="K101" i="1" s="1"/>
  <c r="K102" i="1" s="1"/>
  <c r="D116" i="49"/>
  <c r="C36" i="48"/>
  <c r="A35" i="63"/>
  <c r="A36" i="63" s="1"/>
  <c r="A37" i="63" s="1"/>
  <c r="A38" i="63" s="1"/>
  <c r="A39" i="63" s="1"/>
  <c r="A40" i="63" s="1"/>
  <c r="A41" i="63" s="1"/>
  <c r="A42" i="63" s="1"/>
  <c r="A43" i="63" s="1"/>
  <c r="A44" i="63" s="1"/>
  <c r="A45" i="63" s="1"/>
  <c r="A46" i="63" s="1"/>
  <c r="A47" i="63" s="1"/>
  <c r="A48" i="63" s="1"/>
  <c r="A49" i="63" s="1"/>
  <c r="A50" i="63" s="1"/>
  <c r="A51" i="63" s="1"/>
  <c r="A56" i="63" s="1"/>
  <c r="A57" i="63" s="1"/>
  <c r="A58" i="63" s="1"/>
  <c r="A59" i="63" s="1"/>
  <c r="A60" i="63" s="1"/>
  <c r="A61" i="63" s="1"/>
  <c r="A62" i="63" s="1"/>
  <c r="E60" i="11"/>
  <c r="E54" i="12" s="1"/>
  <c r="E68" i="12"/>
  <c r="E115" i="21"/>
  <c r="N94" i="21"/>
  <c r="J114" i="21"/>
  <c r="J105" i="21"/>
  <c r="J138" i="21" s="1"/>
  <c r="J143" i="21" s="1"/>
  <c r="E119" i="21"/>
  <c r="N98" i="21"/>
  <c r="E123" i="21"/>
  <c r="N102" i="21"/>
  <c r="H114" i="21"/>
  <c r="H105" i="21"/>
  <c r="H138" i="21" s="1"/>
  <c r="H143" i="21" s="1"/>
  <c r="L114" i="21"/>
  <c r="L105" i="21"/>
  <c r="L138" i="21" s="1"/>
  <c r="L143" i="21" s="1"/>
  <c r="F114" i="21"/>
  <c r="F105" i="21"/>
  <c r="F138" i="21" s="1"/>
  <c r="F143" i="21" s="1"/>
  <c r="E117" i="21"/>
  <c r="N117" i="21" s="1"/>
  <c r="N96" i="21"/>
  <c r="E121" i="21"/>
  <c r="N100" i="21"/>
  <c r="E125" i="21"/>
  <c r="N104" i="21"/>
  <c r="N93" i="21"/>
  <c r="G105" i="21"/>
  <c r="G138" i="21" s="1"/>
  <c r="G143" i="21" s="1"/>
  <c r="G114" i="21"/>
  <c r="I105" i="21"/>
  <c r="I138" i="21" s="1"/>
  <c r="I143" i="21" s="1"/>
  <c r="I114" i="21"/>
  <c r="K105" i="21"/>
  <c r="K138" i="21" s="1"/>
  <c r="K143" i="21" s="1"/>
  <c r="K114" i="21"/>
  <c r="M105" i="21"/>
  <c r="M138" i="21" s="1"/>
  <c r="M143" i="21" s="1"/>
  <c r="M114" i="21"/>
  <c r="D20" i="71"/>
  <c r="D24" i="71" s="1"/>
  <c r="M42" i="64"/>
  <c r="M46" i="64"/>
  <c r="M38" i="64"/>
  <c r="F47" i="64"/>
  <c r="E47" i="64"/>
  <c r="D40" i="7"/>
  <c r="D37" i="64"/>
  <c r="E95" i="21" s="1"/>
  <c r="D39" i="64"/>
  <c r="D41" i="64"/>
  <c r="D43" i="64"/>
  <c r="D45" i="64"/>
  <c r="E64" i="64"/>
  <c r="G64" i="64" s="1"/>
  <c r="F79" i="64" s="1"/>
  <c r="D128" i="46"/>
  <c r="H128" i="46" s="1"/>
  <c r="G128" i="46" s="1"/>
  <c r="J51" i="46"/>
  <c r="C136" i="46" s="1"/>
  <c r="J13" i="46"/>
  <c r="C98" i="46" s="1"/>
  <c r="J25" i="46"/>
  <c r="C110" i="46" s="1"/>
  <c r="D118" i="49"/>
  <c r="D120" i="49"/>
  <c r="D122" i="49"/>
  <c r="D124" i="49"/>
  <c r="D126" i="49"/>
  <c r="D128" i="49"/>
  <c r="D130" i="49"/>
  <c r="D132" i="49"/>
  <c r="D134" i="49"/>
  <c r="D136" i="49"/>
  <c r="D117" i="49"/>
  <c r="D119" i="49"/>
  <c r="D121" i="49"/>
  <c r="D123" i="49"/>
  <c r="D125" i="49"/>
  <c r="D127" i="49"/>
  <c r="D129" i="49"/>
  <c r="D131" i="49"/>
  <c r="D133" i="49"/>
  <c r="D135" i="49"/>
  <c r="D25" i="49"/>
  <c r="E85" i="11"/>
  <c r="H20" i="26"/>
  <c r="F23" i="26" s="1"/>
  <c r="F25" i="26" s="1"/>
  <c r="H40" i="44"/>
  <c r="A15" i="17"/>
  <c r="A16" i="17" s="1"/>
  <c r="A17" i="17" s="1"/>
  <c r="A18" i="17" s="1"/>
  <c r="A19" i="17" s="1"/>
  <c r="A20" i="17" s="1"/>
  <c r="A21" i="17" s="1"/>
  <c r="A22" i="17" s="1"/>
  <c r="A23" i="17" s="1"/>
  <c r="J33" i="46"/>
  <c r="C118" i="46" s="1"/>
  <c r="J41" i="46"/>
  <c r="C126" i="46" s="1"/>
  <c r="D141" i="46"/>
  <c r="H141" i="46" s="1"/>
  <c r="G141" i="46" s="1"/>
  <c r="J11" i="46"/>
  <c r="C96" i="46" s="1"/>
  <c r="J28" i="46"/>
  <c r="C113" i="46" s="1"/>
  <c r="H120" i="46"/>
  <c r="G120" i="46" s="1"/>
  <c r="H143" i="46"/>
  <c r="G143" i="46" s="1"/>
  <c r="H121" i="46"/>
  <c r="G121" i="46" s="1"/>
  <c r="H113" i="46"/>
  <c r="G113" i="46" s="1"/>
  <c r="H124" i="46"/>
  <c r="G124" i="46" s="1"/>
  <c r="H133" i="46"/>
  <c r="G133" i="46" s="1"/>
  <c r="H125" i="46"/>
  <c r="G125" i="46" s="1"/>
  <c r="J70" i="46"/>
  <c r="C155" i="46" s="1"/>
  <c r="D96" i="46"/>
  <c r="H96" i="46" s="1"/>
  <c r="J47" i="46"/>
  <c r="C132" i="46" s="1"/>
  <c r="H162" i="46"/>
  <c r="G162" i="46" s="1"/>
  <c r="H126" i="46"/>
  <c r="G126" i="46" s="1"/>
  <c r="H118" i="46"/>
  <c r="G118" i="46" s="1"/>
  <c r="H142" i="46"/>
  <c r="G142" i="46" s="1"/>
  <c r="H140" i="46"/>
  <c r="G140" i="46" s="1"/>
  <c r="H129" i="46"/>
  <c r="G129" i="46" s="1"/>
  <c r="I161" i="46"/>
  <c r="G161" i="46" s="1"/>
  <c r="I157" i="46"/>
  <c r="G157" i="46" s="1"/>
  <c r="H110" i="46"/>
  <c r="G110" i="46" s="1"/>
  <c r="H98" i="46"/>
  <c r="G98" i="46" s="1"/>
  <c r="D82" i="46"/>
  <c r="C188" i="46" s="1"/>
  <c r="J30" i="46"/>
  <c r="C115" i="46" s="1"/>
  <c r="G137" i="46"/>
  <c r="J27" i="46"/>
  <c r="J58" i="46"/>
  <c r="C143" i="46" s="1"/>
  <c r="G134" i="46"/>
  <c r="G117" i="46"/>
  <c r="C82" i="46"/>
  <c r="G115" i="46"/>
  <c r="G108" i="46"/>
  <c r="M40" i="64"/>
  <c r="A17" i="7"/>
  <c r="A18" i="7" s="1"/>
  <c r="A19" i="7" s="1"/>
  <c r="A20" i="7" s="1"/>
  <c r="A21" i="7" s="1"/>
  <c r="E137" i="49"/>
  <c r="F9" i="71" s="1"/>
  <c r="F137" i="49"/>
  <c r="G20" i="71"/>
  <c r="A20" i="71"/>
  <c r="B191" i="71" s="1"/>
  <c r="M36" i="64"/>
  <c r="I47" i="64"/>
  <c r="H47" i="64"/>
  <c r="M35" i="64"/>
  <c r="G47" i="64"/>
  <c r="K47" i="64"/>
  <c r="L47" i="64"/>
  <c r="C47" i="64"/>
  <c r="J47" i="64"/>
  <c r="D97" i="46"/>
  <c r="J12" i="46"/>
  <c r="C97" i="46" s="1"/>
  <c r="E100" i="46"/>
  <c r="J15" i="46"/>
  <c r="C100" i="46" s="1"/>
  <c r="E101" i="46"/>
  <c r="I101" i="46" s="1"/>
  <c r="G101" i="46" s="1"/>
  <c r="J16" i="46"/>
  <c r="C101" i="46" s="1"/>
  <c r="E102" i="46"/>
  <c r="J17" i="46"/>
  <c r="C102" i="46" s="1"/>
  <c r="E103" i="46"/>
  <c r="I103" i="46" s="1"/>
  <c r="G103" i="46" s="1"/>
  <c r="J18" i="46"/>
  <c r="C103" i="46" s="1"/>
  <c r="E104" i="46"/>
  <c r="J19" i="46"/>
  <c r="C104" i="46" s="1"/>
  <c r="E105" i="46"/>
  <c r="I105" i="46" s="1"/>
  <c r="G105" i="46" s="1"/>
  <c r="J20" i="46"/>
  <c r="C105" i="46" s="1"/>
  <c r="E106" i="46"/>
  <c r="J21" i="46"/>
  <c r="C106" i="46" s="1"/>
  <c r="D111" i="46"/>
  <c r="J26" i="46"/>
  <c r="C111" i="46" s="1"/>
  <c r="D114" i="46"/>
  <c r="J29" i="46"/>
  <c r="C114" i="46" s="1"/>
  <c r="G131" i="46"/>
  <c r="G132" i="46"/>
  <c r="G159" i="46"/>
  <c r="D99" i="46"/>
  <c r="J14" i="46"/>
  <c r="C99" i="46" s="1"/>
  <c r="E107" i="46"/>
  <c r="J22" i="46"/>
  <c r="C107" i="46" s="1"/>
  <c r="D109" i="46"/>
  <c r="J24" i="46"/>
  <c r="C109" i="46" s="1"/>
  <c r="D116" i="46"/>
  <c r="J31" i="46"/>
  <c r="C116" i="46" s="1"/>
  <c r="G127" i="46"/>
  <c r="G135" i="46"/>
  <c r="G136" i="46"/>
  <c r="G123" i="46"/>
  <c r="G119" i="46"/>
  <c r="G160" i="46"/>
  <c r="G158" i="46"/>
  <c r="G156" i="46"/>
  <c r="H14" i="8"/>
  <c r="I18" i="1"/>
  <c r="A18" i="1"/>
  <c r="A23" i="26"/>
  <c r="G23" i="26"/>
  <c r="G66" i="44"/>
  <c r="A28" i="44"/>
  <c r="B8" i="65"/>
  <c r="A45" i="65"/>
  <c r="A46" i="65" s="1"/>
  <c r="A47" i="65" s="1"/>
  <c r="A48" i="65" s="1"/>
  <c r="A49" i="65" s="1"/>
  <c r="A50" i="65" s="1"/>
  <c r="A51" i="65" s="1"/>
  <c r="A52" i="65" s="1"/>
  <c r="A53" i="65" s="1"/>
  <c r="A54" i="65" s="1"/>
  <c r="A55" i="65" s="1"/>
  <c r="A56" i="65" s="1"/>
  <c r="A57" i="65" s="1"/>
  <c r="A58" i="65" s="1"/>
  <c r="A59" i="65" s="1"/>
  <c r="A60" i="65" s="1"/>
  <c r="A61" i="65" s="1"/>
  <c r="A62" i="65" s="1"/>
  <c r="A63" i="65" s="1"/>
  <c r="A64" i="65" s="1"/>
  <c r="A70" i="46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E84" i="46"/>
  <c r="A45" i="49"/>
  <c r="A56" i="49" s="1"/>
  <c r="I28" i="1"/>
  <c r="H24" i="8"/>
  <c r="A46" i="11"/>
  <c r="A12" i="8"/>
  <c r="A19" i="55"/>
  <c r="H26" i="8"/>
  <c r="A11" i="56"/>
  <c r="A12" i="56" s="1"/>
  <c r="D130" i="46"/>
  <c r="J49" i="46"/>
  <c r="C134" i="46" s="1"/>
  <c r="E155" i="46"/>
  <c r="I155" i="46" s="1"/>
  <c r="E31" i="57"/>
  <c r="E38" i="57" s="1"/>
  <c r="A24" i="17"/>
  <c r="E141" i="71"/>
  <c r="G12" i="22"/>
  <c r="A48" i="64"/>
  <c r="B5" i="65"/>
  <c r="A22" i="7"/>
  <c r="A23" i="7" s="1"/>
  <c r="A24" i="7" s="1"/>
  <c r="A25" i="7" s="1"/>
  <c r="G33" i="11"/>
  <c r="E140" i="71"/>
  <c r="E67" i="8"/>
  <c r="A12" i="22"/>
  <c r="A16" i="32"/>
  <c r="A20" i="32" s="1"/>
  <c r="F28" i="11"/>
  <c r="F29" i="11"/>
  <c r="F47" i="71"/>
  <c r="E36" i="7"/>
  <c r="F30" i="11"/>
  <c r="F31" i="11"/>
  <c r="F32" i="11"/>
  <c r="F33" i="11"/>
  <c r="G32" i="11"/>
  <c r="G34" i="11"/>
  <c r="A27" i="12"/>
  <c r="E58" i="7" s="1"/>
  <c r="F34" i="11"/>
  <c r="D47" i="71"/>
  <c r="E47" i="71"/>
  <c r="E54" i="71"/>
  <c r="D54" i="71"/>
  <c r="A6" i="31"/>
  <c r="A7" i="31" s="1"/>
  <c r="A8" i="31" s="1"/>
  <c r="B39" i="31" s="1"/>
  <c r="E38" i="7"/>
  <c r="I21" i="1"/>
  <c r="G28" i="11" l="1"/>
  <c r="G31" i="11"/>
  <c r="G30" i="11"/>
  <c r="E31" i="71"/>
  <c r="D31" i="71"/>
  <c r="C28" i="57"/>
  <c r="C30" i="57" s="1"/>
  <c r="C31" i="57" s="1"/>
  <c r="C38" i="57" s="1"/>
  <c r="N35" i="61"/>
  <c r="N9" i="61"/>
  <c r="H165" i="46"/>
  <c r="E146" i="46"/>
  <c r="E51" i="11"/>
  <c r="J35" i="61"/>
  <c r="M35" i="61"/>
  <c r="M194" i="61"/>
  <c r="I194" i="61"/>
  <c r="N151" i="61"/>
  <c r="I182" i="61"/>
  <c r="N66" i="61"/>
  <c r="N127" i="61"/>
  <c r="M151" i="61"/>
  <c r="J194" i="61"/>
  <c r="I127" i="61"/>
  <c r="M127" i="61"/>
  <c r="G194" i="61"/>
  <c r="N182" i="61"/>
  <c r="J151" i="61"/>
  <c r="E207" i="61"/>
  <c r="E208" i="61" s="1"/>
  <c r="I35" i="61"/>
  <c r="E205" i="61"/>
  <c r="E206" i="61" s="1"/>
  <c r="M66" i="61"/>
  <c r="N27" i="61"/>
  <c r="G35" i="61"/>
  <c r="I9" i="61"/>
  <c r="G9" i="61"/>
  <c r="J27" i="61"/>
  <c r="J9" i="61"/>
  <c r="G27" i="61"/>
  <c r="I12" i="61"/>
  <c r="I27" i="61" s="1"/>
  <c r="M182" i="61"/>
  <c r="G127" i="61"/>
  <c r="G151" i="61"/>
  <c r="G66" i="61"/>
  <c r="G182" i="61"/>
  <c r="M27" i="61"/>
  <c r="J127" i="61"/>
  <c r="J66" i="61"/>
  <c r="I66" i="61"/>
  <c r="J182" i="61"/>
  <c r="E19" i="57"/>
  <c r="I130" i="61"/>
  <c r="I151" i="61" s="1"/>
  <c r="H151" i="61"/>
  <c r="H198" i="61" s="1"/>
  <c r="E65" i="11"/>
  <c r="G29" i="11"/>
  <c r="D137" i="49"/>
  <c r="D81" i="7" s="1"/>
  <c r="G26" i="11"/>
  <c r="F28" i="56"/>
  <c r="M37" i="64"/>
  <c r="A49" i="64"/>
  <c r="A50" i="64" s="1"/>
  <c r="A51" i="64" s="1"/>
  <c r="A52" i="64" s="1"/>
  <c r="A53" i="64" s="1"/>
  <c r="A54" i="64" s="1"/>
  <c r="A55" i="64" s="1"/>
  <c r="G78" i="64"/>
  <c r="E15" i="2"/>
  <c r="A15" i="2"/>
  <c r="A35" i="57"/>
  <c r="A36" i="57" s="1"/>
  <c r="A37" i="57" s="1"/>
  <c r="A38" i="57" s="1"/>
  <c r="G39" i="57"/>
  <c r="A40" i="8"/>
  <c r="A41" i="8" s="1"/>
  <c r="A42" i="8" s="1"/>
  <c r="A43" i="8" s="1"/>
  <c r="A47" i="8" s="1"/>
  <c r="H55" i="8"/>
  <c r="A56" i="64"/>
  <c r="A57" i="64" s="1"/>
  <c r="A58" i="64" s="1"/>
  <c r="A59" i="64" s="1"/>
  <c r="B86" i="64"/>
  <c r="A57" i="49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D33" i="71"/>
  <c r="E33" i="71"/>
  <c r="D23" i="7"/>
  <c r="L16" i="28"/>
  <c r="L17" i="28" s="1"/>
  <c r="L20" i="28" s="1"/>
  <c r="L32" i="28" s="1"/>
  <c r="K65" i="1" s="1"/>
  <c r="M45" i="64"/>
  <c r="E103" i="21"/>
  <c r="M41" i="64"/>
  <c r="E99" i="21"/>
  <c r="E116" i="21"/>
  <c r="N95" i="21"/>
  <c r="F126" i="21"/>
  <c r="F155" i="21" s="1"/>
  <c r="H126" i="21"/>
  <c r="H152" i="21" s="1"/>
  <c r="J126" i="21"/>
  <c r="J158" i="21" s="1"/>
  <c r="M43" i="64"/>
  <c r="E101" i="21"/>
  <c r="M39" i="64"/>
  <c r="E97" i="21"/>
  <c r="M126" i="21"/>
  <c r="M163" i="21" s="1"/>
  <c r="K126" i="21"/>
  <c r="K157" i="21" s="1"/>
  <c r="I126" i="21"/>
  <c r="I163" i="21" s="1"/>
  <c r="G126" i="21"/>
  <c r="G160" i="21" s="1"/>
  <c r="N114" i="21"/>
  <c r="N125" i="21"/>
  <c r="N121" i="21"/>
  <c r="L126" i="21"/>
  <c r="L154" i="21" s="1"/>
  <c r="N123" i="21"/>
  <c r="N119" i="21"/>
  <c r="N115" i="21"/>
  <c r="D47" i="64"/>
  <c r="H53" i="44"/>
  <c r="H54" i="44" s="1"/>
  <c r="G16" i="12"/>
  <c r="J56" i="8"/>
  <c r="J42" i="8"/>
  <c r="C187" i="46"/>
  <c r="H60" i="46" s="1"/>
  <c r="K60" i="46" s="1"/>
  <c r="K79" i="46"/>
  <c r="H80" i="46"/>
  <c r="G80" i="46"/>
  <c r="H114" i="46"/>
  <c r="G114" i="46" s="1"/>
  <c r="H111" i="46"/>
  <c r="G111" i="46" s="1"/>
  <c r="I106" i="46"/>
  <c r="G106" i="46" s="1"/>
  <c r="I104" i="46"/>
  <c r="G104" i="46" s="1"/>
  <c r="I102" i="46"/>
  <c r="G102" i="46" s="1"/>
  <c r="I100" i="46"/>
  <c r="G100" i="46" s="1"/>
  <c r="H97" i="46"/>
  <c r="G97" i="46" s="1"/>
  <c r="H130" i="46"/>
  <c r="G130" i="46" s="1"/>
  <c r="H116" i="46"/>
  <c r="G116" i="46" s="1"/>
  <c r="H109" i="46"/>
  <c r="G109" i="46" s="1"/>
  <c r="I107" i="46"/>
  <c r="G107" i="46" s="1"/>
  <c r="H99" i="46"/>
  <c r="G99" i="46" s="1"/>
  <c r="E25" i="7"/>
  <c r="G27" i="11"/>
  <c r="F10" i="71"/>
  <c r="F20" i="71" s="1"/>
  <c r="E111" i="71" s="1"/>
  <c r="A24" i="71"/>
  <c r="F111" i="71"/>
  <c r="F31" i="71"/>
  <c r="F24" i="71"/>
  <c r="G96" i="46"/>
  <c r="A9" i="31"/>
  <c r="H22" i="31"/>
  <c r="F54" i="71"/>
  <c r="A28" i="12"/>
  <c r="A29" i="12" s="1"/>
  <c r="A39" i="12" s="1"/>
  <c r="A40" i="12" s="1"/>
  <c r="A41" i="12" s="1"/>
  <c r="A42" i="12" s="1"/>
  <c r="A43" i="12" s="1"/>
  <c r="A44" i="12" s="1"/>
  <c r="F112" i="71"/>
  <c r="G38" i="44"/>
  <c r="E82" i="7"/>
  <c r="E47" i="7"/>
  <c r="A26" i="7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25" i="17"/>
  <c r="E165" i="46"/>
  <c r="D12" i="56"/>
  <c r="A26" i="55"/>
  <c r="A27" i="55" s="1"/>
  <c r="A28" i="55" s="1"/>
  <c r="A29" i="55" s="1"/>
  <c r="I133" i="1"/>
  <c r="A81" i="46"/>
  <c r="A82" i="46" s="1"/>
  <c r="D187" i="46" s="1"/>
  <c r="E85" i="46"/>
  <c r="H18" i="8"/>
  <c r="F37" i="11"/>
  <c r="J24" i="8" s="1"/>
  <c r="F91" i="12" s="1"/>
  <c r="A21" i="32"/>
  <c r="A22" i="32" s="1"/>
  <c r="A28" i="32" s="1"/>
  <c r="A13" i="22"/>
  <c r="G16" i="22" s="1"/>
  <c r="A13" i="56"/>
  <c r="A14" i="56" s="1"/>
  <c r="A15" i="56" s="1"/>
  <c r="A16" i="56" s="1"/>
  <c r="A17" i="56" s="1"/>
  <c r="A13" i="8"/>
  <c r="A14" i="8" s="1"/>
  <c r="A15" i="8" s="1"/>
  <c r="H39" i="12"/>
  <c r="A47" i="11"/>
  <c r="B9" i="65"/>
  <c r="A65" i="65"/>
  <c r="A66" i="65" s="1"/>
  <c r="A67" i="65" s="1"/>
  <c r="A68" i="65" s="1"/>
  <c r="A69" i="65" s="1"/>
  <c r="A70" i="65" s="1"/>
  <c r="A71" i="65" s="1"/>
  <c r="A29" i="44"/>
  <c r="G52" i="44"/>
  <c r="A24" i="26"/>
  <c r="A25" i="26" s="1"/>
  <c r="A21" i="1"/>
  <c r="I34" i="1"/>
  <c r="F159" i="21" l="1"/>
  <c r="M155" i="21"/>
  <c r="G154" i="21"/>
  <c r="M48" i="64"/>
  <c r="F78" i="64" s="1"/>
  <c r="M160" i="21"/>
  <c r="C40" i="57"/>
  <c r="C41" i="57" s="1"/>
  <c r="E168" i="46"/>
  <c r="F158" i="21"/>
  <c r="F153" i="21"/>
  <c r="G37" i="11"/>
  <c r="N198" i="61"/>
  <c r="E209" i="61"/>
  <c r="E211" i="61" s="1"/>
  <c r="E212" i="61" s="1"/>
  <c r="E215" i="61" s="1"/>
  <c r="K129" i="1" s="1"/>
  <c r="J53" i="8" s="1"/>
  <c r="M198" i="61"/>
  <c r="I198" i="61"/>
  <c r="J198" i="61"/>
  <c r="G198" i="61"/>
  <c r="H162" i="21"/>
  <c r="G157" i="21"/>
  <c r="K162" i="21"/>
  <c r="H154" i="21"/>
  <c r="I159" i="21"/>
  <c r="J162" i="21"/>
  <c r="H15" i="8"/>
  <c r="H61" i="46"/>
  <c r="H82" i="46" s="1"/>
  <c r="L162" i="21"/>
  <c r="K163" i="21"/>
  <c r="K154" i="21"/>
  <c r="A48" i="8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G59" i="21"/>
  <c r="G52" i="21"/>
  <c r="G63" i="4"/>
  <c r="G58" i="4"/>
  <c r="F28" i="54"/>
  <c r="I55" i="1"/>
  <c r="G26" i="26"/>
  <c r="G13" i="22"/>
  <c r="A16" i="2"/>
  <c r="A17" i="2" s="1"/>
  <c r="A18" i="2" s="1"/>
  <c r="A19" i="2" s="1"/>
  <c r="A20" i="2" s="1"/>
  <c r="A21" i="2" s="1"/>
  <c r="A22" i="2" s="1"/>
  <c r="I72" i="64"/>
  <c r="K83" i="1"/>
  <c r="A39" i="57"/>
  <c r="A40" i="57" s="1"/>
  <c r="A41" i="57" s="1"/>
  <c r="G19" i="55"/>
  <c r="G18" i="55"/>
  <c r="E105" i="21"/>
  <c r="E138" i="21" s="1"/>
  <c r="E143" i="21" s="1"/>
  <c r="J160" i="21"/>
  <c r="A26" i="26"/>
  <c r="A27" i="26" s="1"/>
  <c r="G25" i="26"/>
  <c r="L158" i="21"/>
  <c r="I160" i="21"/>
  <c r="M159" i="21"/>
  <c r="J154" i="21"/>
  <c r="F160" i="21"/>
  <c r="A60" i="64"/>
  <c r="A61" i="64" s="1"/>
  <c r="A62" i="64" s="1"/>
  <c r="A63" i="64" s="1"/>
  <c r="A64" i="64" s="1"/>
  <c r="B87" i="64"/>
  <c r="B108" i="49"/>
  <c r="A137" i="49"/>
  <c r="G40" i="57"/>
  <c r="H160" i="21"/>
  <c r="F162" i="21"/>
  <c r="K159" i="21"/>
  <c r="G161" i="21"/>
  <c r="F163" i="21"/>
  <c r="K158" i="21"/>
  <c r="G158" i="21"/>
  <c r="H158" i="21"/>
  <c r="F156" i="21"/>
  <c r="F157" i="21"/>
  <c r="L152" i="21"/>
  <c r="L13" i="21" s="1"/>
  <c r="F161" i="21"/>
  <c r="I155" i="21"/>
  <c r="K152" i="21"/>
  <c r="K13" i="21" s="1"/>
  <c r="M152" i="21"/>
  <c r="M13" i="21" s="1"/>
  <c r="F152" i="21"/>
  <c r="F13" i="21" s="1"/>
  <c r="L160" i="21"/>
  <c r="J152" i="21"/>
  <c r="M154" i="21"/>
  <c r="M162" i="21"/>
  <c r="K161" i="21"/>
  <c r="I158" i="21"/>
  <c r="G155" i="21"/>
  <c r="G163" i="21"/>
  <c r="H163" i="21"/>
  <c r="H153" i="21"/>
  <c r="H157" i="21"/>
  <c r="H161" i="21"/>
  <c r="H155" i="21"/>
  <c r="H159" i="21"/>
  <c r="M157" i="21"/>
  <c r="K156" i="21"/>
  <c r="I153" i="21"/>
  <c r="I161" i="21"/>
  <c r="G162" i="21"/>
  <c r="E120" i="21"/>
  <c r="N99" i="21"/>
  <c r="E124" i="21"/>
  <c r="N103" i="21"/>
  <c r="G153" i="21"/>
  <c r="K153" i="21"/>
  <c r="L153" i="21"/>
  <c r="L157" i="21"/>
  <c r="L161" i="21"/>
  <c r="L155" i="21"/>
  <c r="L159" i="21"/>
  <c r="L163" i="21"/>
  <c r="G152" i="21"/>
  <c r="I152" i="21"/>
  <c r="E118" i="21"/>
  <c r="N97" i="21"/>
  <c r="E122" i="21"/>
  <c r="N101" i="21"/>
  <c r="L156" i="21"/>
  <c r="J156" i="21"/>
  <c r="J155" i="21"/>
  <c r="J159" i="21"/>
  <c r="J163" i="21"/>
  <c r="J153" i="21"/>
  <c r="J157" i="21"/>
  <c r="J161" i="21"/>
  <c r="M158" i="21"/>
  <c r="K155" i="21"/>
  <c r="I154" i="21"/>
  <c r="I162" i="21"/>
  <c r="G159" i="21"/>
  <c r="H13" i="21"/>
  <c r="M153" i="21"/>
  <c r="M161" i="21"/>
  <c r="K160" i="21"/>
  <c r="I157" i="21"/>
  <c r="G156" i="21"/>
  <c r="N116" i="21"/>
  <c r="I156" i="21"/>
  <c r="M156" i="21"/>
  <c r="H156" i="21"/>
  <c r="F154" i="21"/>
  <c r="H56" i="44"/>
  <c r="H67" i="44" s="1"/>
  <c r="H62" i="44"/>
  <c r="H63" i="44" s="1"/>
  <c r="H68" i="44" s="1"/>
  <c r="K63" i="1"/>
  <c r="J60" i="46"/>
  <c r="C145" i="46" s="1"/>
  <c r="C146" i="46" s="1"/>
  <c r="D145" i="46"/>
  <c r="D146" i="46" s="1"/>
  <c r="K61" i="46"/>
  <c r="G60" i="46"/>
  <c r="G61" i="46" s="1"/>
  <c r="G82" i="46" s="1"/>
  <c r="D164" i="46"/>
  <c r="J79" i="46"/>
  <c r="J80" i="46" s="1"/>
  <c r="K80" i="46"/>
  <c r="I146" i="46"/>
  <c r="K147" i="46" s="1"/>
  <c r="D188" i="46"/>
  <c r="A25" i="71"/>
  <c r="A26" i="71" s="1"/>
  <c r="A28" i="26"/>
  <c r="A30" i="44"/>
  <c r="B45" i="44" s="1"/>
  <c r="G61" i="44"/>
  <c r="A72" i="65"/>
  <c r="A73" i="65" s="1"/>
  <c r="B136" i="65"/>
  <c r="A18" i="8"/>
  <c r="D17" i="56"/>
  <c r="G22" i="32"/>
  <c r="A83" i="46"/>
  <c r="A84" i="46" s="1"/>
  <c r="A85" i="46" s="1"/>
  <c r="A86" i="46" s="1"/>
  <c r="I165" i="46"/>
  <c r="G155" i="46"/>
  <c r="G165" i="46" s="1"/>
  <c r="A37" i="7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I134" i="1"/>
  <c r="A54" i="12"/>
  <c r="B40" i="31"/>
  <c r="B35" i="31"/>
  <c r="A10" i="31"/>
  <c r="A22" i="1"/>
  <c r="A23" i="1" s="1"/>
  <c r="A24" i="1" s="1"/>
  <c r="H40" i="12"/>
  <c r="A48" i="11"/>
  <c r="A18" i="56"/>
  <c r="A19" i="56" s="1"/>
  <c r="A20" i="56" s="1"/>
  <c r="A15" i="22"/>
  <c r="G15" i="22"/>
  <c r="A29" i="32"/>
  <c r="A30" i="32" s="1"/>
  <c r="A34" i="32" s="1"/>
  <c r="A60" i="8"/>
  <c r="A62" i="8" s="1"/>
  <c r="A26" i="17"/>
  <c r="A27" i="17" s="1"/>
  <c r="A28" i="17" s="1"/>
  <c r="A29" i="17" s="1"/>
  <c r="N138" i="21" l="1"/>
  <c r="E40" i="57"/>
  <c r="E41" i="57" s="1"/>
  <c r="D43" i="57" s="1"/>
  <c r="B10" i="31" s="1"/>
  <c r="K82" i="46"/>
  <c r="F164" i="21"/>
  <c r="H164" i="21"/>
  <c r="M14" i="21"/>
  <c r="M15" i="21" s="1"/>
  <c r="M16" i="21" s="1"/>
  <c r="M17" i="21" s="1"/>
  <c r="M18" i="21" s="1"/>
  <c r="M19" i="21" s="1"/>
  <c r="M20" i="21" s="1"/>
  <c r="M21" i="21" s="1"/>
  <c r="M22" i="21" s="1"/>
  <c r="M23" i="21" s="1"/>
  <c r="A42" i="57"/>
  <c r="A43" i="57" s="1"/>
  <c r="G43" i="57"/>
  <c r="E23" i="2"/>
  <c r="A23" i="2"/>
  <c r="A24" i="2" s="1"/>
  <c r="L14" i="21"/>
  <c r="L15" i="21" s="1"/>
  <c r="L16" i="21" s="1"/>
  <c r="L17" i="21" s="1"/>
  <c r="G30" i="32"/>
  <c r="F73" i="65"/>
  <c r="H58" i="8"/>
  <c r="G41" i="57"/>
  <c r="G27" i="26"/>
  <c r="G79" i="64"/>
  <c r="A65" i="64"/>
  <c r="A66" i="64" s="1"/>
  <c r="A67" i="64" s="1"/>
  <c r="A68" i="64" s="1"/>
  <c r="A69" i="64" s="1"/>
  <c r="A70" i="64" s="1"/>
  <c r="A71" i="64" s="1"/>
  <c r="A55" i="12"/>
  <c r="A56" i="12" s="1"/>
  <c r="A57" i="12" s="1"/>
  <c r="A58" i="12" s="1"/>
  <c r="A59" i="12" s="1"/>
  <c r="G13" i="71"/>
  <c r="E81" i="7"/>
  <c r="G11" i="71"/>
  <c r="G12" i="71"/>
  <c r="H29" i="11"/>
  <c r="H26" i="11"/>
  <c r="H30" i="11"/>
  <c r="G10" i="71"/>
  <c r="H27" i="11"/>
  <c r="H28" i="11"/>
  <c r="A144" i="49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G9" i="71"/>
  <c r="K164" i="21"/>
  <c r="N122" i="21"/>
  <c r="N118" i="21"/>
  <c r="E126" i="21"/>
  <c r="E152" i="21" s="1"/>
  <c r="G164" i="21"/>
  <c r="G13" i="2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K14" i="21"/>
  <c r="K15" i="21" s="1"/>
  <c r="K16" i="21" s="1"/>
  <c r="K17" i="21" s="1"/>
  <c r="K18" i="21" s="1"/>
  <c r="K19" i="21" s="1"/>
  <c r="K20" i="21" s="1"/>
  <c r="K21" i="21" s="1"/>
  <c r="K22" i="21" s="1"/>
  <c r="K23" i="21" s="1"/>
  <c r="N143" i="21"/>
  <c r="N105" i="21"/>
  <c r="M164" i="21"/>
  <c r="I13" i="21"/>
  <c r="I164" i="21"/>
  <c r="F14" i="21"/>
  <c r="F15" i="21" s="1"/>
  <c r="F16" i="21" s="1"/>
  <c r="F17" i="21" s="1"/>
  <c r="F18" i="21" s="1"/>
  <c r="F19" i="21" s="1"/>
  <c r="F20" i="21" s="1"/>
  <c r="F21" i="21" s="1"/>
  <c r="F22" i="21" s="1"/>
  <c r="F23" i="21" s="1"/>
  <c r="N124" i="21"/>
  <c r="N120" i="21"/>
  <c r="H14" i="21"/>
  <c r="H15" i="21" s="1"/>
  <c r="H16" i="21" s="1"/>
  <c r="H17" i="21" s="1"/>
  <c r="H18" i="21" s="1"/>
  <c r="H19" i="21" s="1"/>
  <c r="H20" i="21" s="1"/>
  <c r="H21" i="21" s="1"/>
  <c r="H22" i="21" s="1"/>
  <c r="H23" i="21" s="1"/>
  <c r="J13" i="21"/>
  <c r="J14" i="21" s="1"/>
  <c r="J15" i="21" s="1"/>
  <c r="J16" i="21" s="1"/>
  <c r="J17" i="21" s="1"/>
  <c r="J18" i="21" s="1"/>
  <c r="J19" i="21" s="1"/>
  <c r="J20" i="21" s="1"/>
  <c r="J21" i="21" s="1"/>
  <c r="J22" i="21" s="1"/>
  <c r="J23" i="21" s="1"/>
  <c r="J25" i="21" s="1"/>
  <c r="J164" i="21"/>
  <c r="L164" i="21"/>
  <c r="B185" i="71"/>
  <c r="B188" i="71"/>
  <c r="K75" i="1"/>
  <c r="I168" i="46"/>
  <c r="J61" i="46"/>
  <c r="J82" i="46" s="1"/>
  <c r="H145" i="46"/>
  <c r="H146" i="46" s="1"/>
  <c r="F26" i="71"/>
  <c r="H70" i="44"/>
  <c r="H75" i="44" s="1"/>
  <c r="D165" i="46"/>
  <c r="D168" i="46" s="1"/>
  <c r="H164" i="46"/>
  <c r="G164" i="46" s="1"/>
  <c r="C164" i="46"/>
  <c r="C165" i="46" s="1"/>
  <c r="C168" i="46" s="1"/>
  <c r="A49" i="7"/>
  <c r="A50" i="7" s="1"/>
  <c r="A51" i="7" s="1"/>
  <c r="A52" i="7" s="1"/>
  <c r="A53" i="7" s="1"/>
  <c r="A54" i="7" s="1"/>
  <c r="A55" i="7" s="1"/>
  <c r="F64" i="71"/>
  <c r="A31" i="71"/>
  <c r="A32" i="71" s="1"/>
  <c r="A33" i="71" s="1"/>
  <c r="A34" i="71" s="1"/>
  <c r="F65" i="71" s="1"/>
  <c r="I15" i="1"/>
  <c r="A16" i="22"/>
  <c r="A26" i="1"/>
  <c r="A28" i="1" s="1"/>
  <c r="A30" i="1" s="1"/>
  <c r="A32" i="1" s="1"/>
  <c r="A34" i="1" s="1"/>
  <c r="I71" i="64"/>
  <c r="A30" i="17"/>
  <c r="A66" i="8"/>
  <c r="G66" i="8"/>
  <c r="H62" i="8"/>
  <c r="A35" i="32"/>
  <c r="A36" i="32" s="1"/>
  <c r="A40" i="32" s="1"/>
  <c r="A21" i="56"/>
  <c r="A22" i="56" s="1"/>
  <c r="A23" i="56" s="1"/>
  <c r="A24" i="56" s="1"/>
  <c r="A25" i="56" s="1"/>
  <c r="A26" i="56" s="1"/>
  <c r="H41" i="12"/>
  <c r="A49" i="11"/>
  <c r="A50" i="11" s="1"/>
  <c r="A51" i="11" s="1"/>
  <c r="A60" i="11" s="1"/>
  <c r="F68" i="12" s="1"/>
  <c r="I24" i="1"/>
  <c r="B41" i="31"/>
  <c r="B36" i="31"/>
  <c r="A18" i="31"/>
  <c r="E40" i="7"/>
  <c r="A96" i="46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A109" i="46" s="1"/>
  <c r="A110" i="46" s="1"/>
  <c r="A111" i="46" s="1"/>
  <c r="A112" i="46" s="1"/>
  <c r="A113" i="46" s="1"/>
  <c r="A114" i="46" s="1"/>
  <c r="A115" i="46" s="1"/>
  <c r="A116" i="46" s="1"/>
  <c r="A117" i="46" s="1"/>
  <c r="A118" i="46" s="1"/>
  <c r="A119" i="46" s="1"/>
  <c r="A120" i="46" s="1"/>
  <c r="A121" i="46" s="1"/>
  <c r="A122" i="46" s="1"/>
  <c r="A123" i="46" s="1"/>
  <c r="A124" i="46" s="1"/>
  <c r="A125" i="46" s="1"/>
  <c r="A126" i="46" s="1"/>
  <c r="A127" i="46" s="1"/>
  <c r="A128" i="46" s="1"/>
  <c r="A129" i="46" s="1"/>
  <c r="A130" i="46" s="1"/>
  <c r="A131" i="46" s="1"/>
  <c r="A132" i="46" s="1"/>
  <c r="A133" i="46" s="1"/>
  <c r="A134" i="46" s="1"/>
  <c r="A135" i="46" s="1"/>
  <c r="A136" i="46" s="1"/>
  <c r="A137" i="46" s="1"/>
  <c r="A138" i="46" s="1"/>
  <c r="A139" i="46" s="1"/>
  <c r="A140" i="46" s="1"/>
  <c r="A141" i="46" s="1"/>
  <c r="A142" i="46" s="1"/>
  <c r="A143" i="46" s="1"/>
  <c r="A144" i="46" s="1"/>
  <c r="A145" i="46" s="1"/>
  <c r="A146" i="46" s="1"/>
  <c r="A147" i="46" s="1"/>
  <c r="A72" i="64"/>
  <c r="A73" i="64" s="1"/>
  <c r="A19" i="8"/>
  <c r="A20" i="8" s="1"/>
  <c r="A21" i="8" s="1"/>
  <c r="A74" i="65"/>
  <c r="A75" i="65" s="1"/>
  <c r="A76" i="65" s="1"/>
  <c r="A77" i="65" s="1"/>
  <c r="A78" i="65" s="1"/>
  <c r="A79" i="65" s="1"/>
  <c r="A80" i="65" s="1"/>
  <c r="A81" i="65" s="1"/>
  <c r="A82" i="65" s="1"/>
  <c r="A83" i="65" s="1"/>
  <c r="I147" i="1"/>
  <c r="A31" i="44"/>
  <c r="G69" i="44"/>
  <c r="A29" i="26"/>
  <c r="G29" i="26"/>
  <c r="C43" i="57" l="1"/>
  <c r="B9" i="31" s="1"/>
  <c r="E162" i="21"/>
  <c r="N162" i="21" s="1"/>
  <c r="E161" i="21"/>
  <c r="N161" i="21" s="1"/>
  <c r="E163" i="21"/>
  <c r="N163" i="21" s="1"/>
  <c r="L18" i="21"/>
  <c r="L19" i="21" s="1"/>
  <c r="L20" i="21" s="1"/>
  <c r="L21" i="21" s="1"/>
  <c r="L22" i="21" s="1"/>
  <c r="L23" i="21" s="1"/>
  <c r="E159" i="21"/>
  <c r="N159" i="21" s="1"/>
  <c r="E155" i="21"/>
  <c r="N155" i="21" s="1"/>
  <c r="E25" i="2"/>
  <c r="A25" i="2"/>
  <c r="E157" i="21"/>
  <c r="N157" i="21" s="1"/>
  <c r="A44" i="57"/>
  <c r="A45" i="57" s="1"/>
  <c r="G9" i="31"/>
  <c r="G10" i="31"/>
  <c r="I73" i="64"/>
  <c r="B109" i="12"/>
  <c r="H60" i="8"/>
  <c r="A68" i="12"/>
  <c r="G16" i="71"/>
  <c r="G19" i="71"/>
  <c r="G15" i="71"/>
  <c r="H32" i="11"/>
  <c r="H34" i="11"/>
  <c r="G18" i="71"/>
  <c r="G17" i="71"/>
  <c r="H31" i="11"/>
  <c r="H33" i="11"/>
  <c r="G14" i="71"/>
  <c r="E154" i="21"/>
  <c r="E153" i="21"/>
  <c r="N153" i="21" s="1"/>
  <c r="E158" i="21"/>
  <c r="N158" i="21" s="1"/>
  <c r="K80" i="1"/>
  <c r="F93" i="12" s="1"/>
  <c r="K79" i="1"/>
  <c r="K89" i="1" s="1"/>
  <c r="K78" i="1"/>
  <c r="K88" i="1" s="1"/>
  <c r="N126" i="21"/>
  <c r="F25" i="21"/>
  <c r="E13" i="21"/>
  <c r="N152" i="21"/>
  <c r="G25" i="21"/>
  <c r="K25" i="21"/>
  <c r="E156" i="21"/>
  <c r="E160" i="21"/>
  <c r="H25" i="21"/>
  <c r="I14" i="21"/>
  <c r="I15" i="21" s="1"/>
  <c r="I16" i="21" s="1"/>
  <c r="I17" i="21" s="1"/>
  <c r="I18" i="21" s="1"/>
  <c r="I19" i="21" s="1"/>
  <c r="I20" i="21" s="1"/>
  <c r="I21" i="21" s="1"/>
  <c r="I22" i="21" s="1"/>
  <c r="I23" i="21" s="1"/>
  <c r="M25" i="21"/>
  <c r="A19" i="31"/>
  <c r="A20" i="31" s="1"/>
  <c r="A22" i="31" s="1"/>
  <c r="H168" i="46"/>
  <c r="K146" i="46"/>
  <c r="G145" i="46"/>
  <c r="G146" i="46" s="1"/>
  <c r="I35" i="1"/>
  <c r="A56" i="7"/>
  <c r="A57" i="7" s="1"/>
  <c r="A58" i="7" s="1"/>
  <c r="A59" i="7" s="1"/>
  <c r="A60" i="7" s="1"/>
  <c r="A61" i="7" s="1"/>
  <c r="B189" i="71"/>
  <c r="B186" i="71"/>
  <c r="A35" i="71"/>
  <c r="A36" i="71" s="1"/>
  <c r="A37" i="71" s="1"/>
  <c r="A84" i="65"/>
  <c r="A85" i="65" s="1"/>
  <c r="A86" i="65" s="1"/>
  <c r="A87" i="65" s="1"/>
  <c r="A88" i="65" s="1"/>
  <c r="A89" i="65" s="1"/>
  <c r="A90" i="65" s="1"/>
  <c r="A91" i="65" s="1"/>
  <c r="A92" i="65" s="1"/>
  <c r="A93" i="65" s="1"/>
  <c r="A94" i="65" s="1"/>
  <c r="A95" i="65" s="1"/>
  <c r="A96" i="65" s="1"/>
  <c r="A97" i="65" s="1"/>
  <c r="A98" i="65" s="1"/>
  <c r="A99" i="65" s="1"/>
  <c r="A100" i="65" s="1"/>
  <c r="A101" i="65" s="1"/>
  <c r="A102" i="65" s="1"/>
  <c r="A103" i="65" s="1"/>
  <c r="A104" i="65" s="1"/>
  <c r="A105" i="65" s="1"/>
  <c r="A106" i="65" s="1"/>
  <c r="A23" i="8"/>
  <c r="H28" i="8"/>
  <c r="A30" i="26"/>
  <c r="G30" i="26"/>
  <c r="H21" i="8"/>
  <c r="G80" i="64"/>
  <c r="A74" i="64"/>
  <c r="A75" i="64" s="1"/>
  <c r="A76" i="64" s="1"/>
  <c r="A77" i="64" s="1"/>
  <c r="A78" i="64" s="1"/>
  <c r="D26" i="56"/>
  <c r="G36" i="32"/>
  <c r="A67" i="8"/>
  <c r="A68" i="8" s="1"/>
  <c r="A69" i="8" s="1"/>
  <c r="H14" i="65" s="1"/>
  <c r="A31" i="17"/>
  <c r="E48" i="7"/>
  <c r="A39" i="1"/>
  <c r="H12" i="8"/>
  <c r="A23" i="22"/>
  <c r="A38" i="44"/>
  <c r="A39" i="44" s="1"/>
  <c r="A155" i="46"/>
  <c r="A156" i="46" s="1"/>
  <c r="A157" i="46" s="1"/>
  <c r="A158" i="46" s="1"/>
  <c r="A159" i="46" s="1"/>
  <c r="A160" i="46" s="1"/>
  <c r="A161" i="46" s="1"/>
  <c r="A162" i="46" s="1"/>
  <c r="A163" i="46" s="1"/>
  <c r="A164" i="46" s="1"/>
  <c r="A165" i="46" s="1"/>
  <c r="A166" i="46" s="1"/>
  <c r="A167" i="46" s="1"/>
  <c r="A168" i="46" s="1"/>
  <c r="A24" i="31"/>
  <c r="A27" i="31" s="1"/>
  <c r="H54" i="12"/>
  <c r="A61" i="11"/>
  <c r="F69" i="12" s="1"/>
  <c r="A27" i="56"/>
  <c r="A28" i="56" s="1"/>
  <c r="D28" i="56"/>
  <c r="A41" i="32"/>
  <c r="A42" i="32" s="1"/>
  <c r="E14" i="21" l="1"/>
  <c r="K90" i="1"/>
  <c r="K91" i="1" s="1"/>
  <c r="G34" i="32"/>
  <c r="G28" i="32"/>
  <c r="G20" i="32"/>
  <c r="G40" i="32"/>
  <c r="G14" i="32"/>
  <c r="A34" i="56"/>
  <c r="A35" i="56" s="1"/>
  <c r="A36" i="56" s="1"/>
  <c r="E20" i="2"/>
  <c r="E7" i="2"/>
  <c r="I123" i="1"/>
  <c r="A26" i="2"/>
  <c r="A27" i="2" s="1"/>
  <c r="A28" i="2" s="1"/>
  <c r="E28" i="2"/>
  <c r="B145" i="65"/>
  <c r="E63" i="7"/>
  <c r="A107" i="65"/>
  <c r="A108" i="65" s="1"/>
  <c r="A109" i="65" s="1"/>
  <c r="A110" i="65" s="1"/>
  <c r="A111" i="65" s="1"/>
  <c r="A112" i="65" s="1"/>
  <c r="A113" i="65" s="1"/>
  <c r="A114" i="65" s="1"/>
  <c r="A115" i="65" s="1"/>
  <c r="A116" i="65" s="1"/>
  <c r="A117" i="65" s="1"/>
  <c r="A118" i="65" s="1"/>
  <c r="A119" i="65" s="1"/>
  <c r="A120" i="65" s="1"/>
  <c r="B148" i="65"/>
  <c r="G42" i="32"/>
  <c r="L25" i="21"/>
  <c r="A69" i="12"/>
  <c r="A70" i="12" s="1"/>
  <c r="A71" i="12" s="1"/>
  <c r="A81" i="12" s="1"/>
  <c r="A82" i="12" s="1"/>
  <c r="A83" i="12" s="1"/>
  <c r="A84" i="12" s="1"/>
  <c r="A85" i="12" s="1"/>
  <c r="A86" i="12" s="1"/>
  <c r="N14" i="21"/>
  <c r="N160" i="21"/>
  <c r="N156" i="21"/>
  <c r="N154" i="21"/>
  <c r="E15" i="21"/>
  <c r="E164" i="21"/>
  <c r="N13" i="21"/>
  <c r="I25" i="21"/>
  <c r="B38" i="31"/>
  <c r="H27" i="31"/>
  <c r="G7" i="2"/>
  <c r="G15" i="2" s="1"/>
  <c r="G168" i="46"/>
  <c r="K123" i="1" s="1"/>
  <c r="D21" i="7"/>
  <c r="G15" i="12"/>
  <c r="G17" i="12" s="1"/>
  <c r="K81" i="1"/>
  <c r="A62" i="7"/>
  <c r="A63" i="7" s="1"/>
  <c r="E59" i="7"/>
  <c r="A38" i="71"/>
  <c r="A41" i="71" s="1"/>
  <c r="A46" i="71" s="1"/>
  <c r="A47" i="71" s="1"/>
  <c r="A48" i="71" s="1"/>
  <c r="A37" i="56"/>
  <c r="A38" i="56" s="1"/>
  <c r="A169" i="46"/>
  <c r="B85" i="44"/>
  <c r="A40" i="44"/>
  <c r="G69" i="8"/>
  <c r="I124" i="1"/>
  <c r="A36" i="26"/>
  <c r="H55" i="12"/>
  <c r="A62" i="11"/>
  <c r="F70" i="12" s="1"/>
  <c r="B169" i="46"/>
  <c r="B86" i="44"/>
  <c r="A24" i="22"/>
  <c r="A40" i="1"/>
  <c r="A41" i="1" s="1"/>
  <c r="A32" i="17"/>
  <c r="G68" i="8"/>
  <c r="A79" i="64"/>
  <c r="A80" i="64" s="1"/>
  <c r="A81" i="64" s="1"/>
  <c r="I126" i="1" s="1"/>
  <c r="A24" i="8"/>
  <c r="A64" i="7" l="1"/>
  <c r="A65" i="7" s="1"/>
  <c r="I148" i="15"/>
  <c r="I99" i="15"/>
  <c r="I76" i="15"/>
  <c r="I40" i="1"/>
  <c r="G28" i="22"/>
  <c r="G32" i="22"/>
  <c r="G28" i="26"/>
  <c r="A25" i="8"/>
  <c r="H29" i="8" s="1"/>
  <c r="G91" i="12"/>
  <c r="G27" i="22"/>
  <c r="G31" i="22"/>
  <c r="F59" i="21"/>
  <c r="F60" i="21" s="1"/>
  <c r="K23" i="1" s="1"/>
  <c r="K24" i="1" s="1"/>
  <c r="F63" i="4"/>
  <c r="F64" i="4" s="1"/>
  <c r="K10" i="1" s="1"/>
  <c r="F52" i="21"/>
  <c r="F53" i="21" s="1"/>
  <c r="J20" i="8" s="1"/>
  <c r="H148" i="15"/>
  <c r="H149" i="15" s="1"/>
  <c r="H76" i="15"/>
  <c r="H77" i="15" s="1"/>
  <c r="H99" i="15"/>
  <c r="H100" i="15" s="1"/>
  <c r="F58" i="4"/>
  <c r="F59" i="4" s="1"/>
  <c r="J7" i="8" s="1"/>
  <c r="B110" i="12"/>
  <c r="A90" i="12"/>
  <c r="N164" i="21"/>
  <c r="J47" i="8"/>
  <c r="E83" i="12"/>
  <c r="F83" i="12" s="1"/>
  <c r="E82" i="12"/>
  <c r="F82" i="12" s="1"/>
  <c r="E81" i="12"/>
  <c r="F81" i="12" s="1"/>
  <c r="N15" i="21"/>
  <c r="E16" i="21"/>
  <c r="K55" i="1"/>
  <c r="K56" i="1" s="1"/>
  <c r="H72" i="64"/>
  <c r="H73" i="64" s="1"/>
  <c r="F80" i="64" s="1"/>
  <c r="F81" i="64" s="1"/>
  <c r="K126" i="1" s="1"/>
  <c r="J50" i="8" s="1"/>
  <c r="D28" i="54"/>
  <c r="D29" i="54" s="1"/>
  <c r="D38" i="54" s="1"/>
  <c r="G23" i="2"/>
  <c r="F26" i="26"/>
  <c r="F27" i="26" s="1"/>
  <c r="G25" i="2"/>
  <c r="E28" i="54"/>
  <c r="E29" i="54" s="1"/>
  <c r="E38" i="54" s="1"/>
  <c r="K11" i="1" s="1"/>
  <c r="F13" i="22"/>
  <c r="K93" i="1"/>
  <c r="D32" i="71" s="1"/>
  <c r="D34" i="71" s="1"/>
  <c r="D25" i="71"/>
  <c r="D26" i="71" s="1"/>
  <c r="E25" i="71"/>
  <c r="E26" i="71" s="1"/>
  <c r="J32" i="8"/>
  <c r="I41" i="1"/>
  <c r="D51" i="7"/>
  <c r="G39" i="12"/>
  <c r="G40" i="12"/>
  <c r="G41" i="12"/>
  <c r="D41" i="71"/>
  <c r="G55" i="12"/>
  <c r="G56" i="12"/>
  <c r="G54" i="12"/>
  <c r="A53" i="71"/>
  <c r="A54" i="71" s="1"/>
  <c r="A55" i="71" s="1"/>
  <c r="F66" i="71"/>
  <c r="A33" i="17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G41" i="44"/>
  <c r="A41" i="44"/>
  <c r="G81" i="64"/>
  <c r="A43" i="1"/>
  <c r="A44" i="1" s="1"/>
  <c r="A27" i="22"/>
  <c r="H56" i="12"/>
  <c r="A63" i="11"/>
  <c r="A64" i="11" s="1"/>
  <c r="A65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37" i="26"/>
  <c r="A38" i="26" s="1"/>
  <c r="A39" i="26" s="1"/>
  <c r="A40" i="26" s="1"/>
  <c r="A41" i="26" s="1"/>
  <c r="A42" i="26" s="1"/>
  <c r="A39" i="56"/>
  <c r="A40" i="56" s="1"/>
  <c r="G28" i="2" l="1"/>
  <c r="D40" i="56"/>
  <c r="A66" i="7"/>
  <c r="A67" i="7" s="1"/>
  <c r="A68" i="7" s="1"/>
  <c r="A69" i="7" s="1"/>
  <c r="A70" i="7" s="1"/>
  <c r="E69" i="7"/>
  <c r="E65" i="7"/>
  <c r="A28" i="22"/>
  <c r="A29" i="22" s="1"/>
  <c r="F86" i="12"/>
  <c r="A91" i="12"/>
  <c r="A92" i="12" s="1"/>
  <c r="H46" i="11"/>
  <c r="H47" i="11"/>
  <c r="H48" i="11"/>
  <c r="A52" i="17"/>
  <c r="A53" i="17" s="1"/>
  <c r="A54" i="17" s="1"/>
  <c r="A55" i="17" s="1"/>
  <c r="E14" i="17"/>
  <c r="D22" i="7"/>
  <c r="D25" i="7" s="1"/>
  <c r="E112" i="71" s="1"/>
  <c r="E113" i="71" s="1"/>
  <c r="E32" i="71"/>
  <c r="E34" i="71" s="1"/>
  <c r="E100" i="71" s="1"/>
  <c r="J41" i="8"/>
  <c r="N16" i="21"/>
  <c r="E17" i="21"/>
  <c r="J8" i="8"/>
  <c r="F15" i="22"/>
  <c r="K15" i="1" s="1"/>
  <c r="F16" i="22"/>
  <c r="J12" i="8" s="1"/>
  <c r="D48" i="71"/>
  <c r="E55" i="71"/>
  <c r="E48" i="71"/>
  <c r="D55" i="71"/>
  <c r="D55" i="7"/>
  <c r="D59" i="7"/>
  <c r="E83" i="71"/>
  <c r="E77" i="71"/>
  <c r="E82" i="71"/>
  <c r="D65" i="71"/>
  <c r="E84" i="71"/>
  <c r="E85" i="71"/>
  <c r="E81" i="71"/>
  <c r="E79" i="71"/>
  <c r="E80" i="71"/>
  <c r="E78" i="71"/>
  <c r="D101" i="71"/>
  <c r="D96" i="71"/>
  <c r="E64" i="71"/>
  <c r="D94" i="71"/>
  <c r="D95" i="71"/>
  <c r="D98" i="71"/>
  <c r="D97" i="71"/>
  <c r="D99" i="71"/>
  <c r="D100" i="71"/>
  <c r="D102" i="71"/>
  <c r="G59" i="12"/>
  <c r="J60" i="8" s="1"/>
  <c r="G44" i="12"/>
  <c r="K134" i="1" s="1"/>
  <c r="D81" i="71"/>
  <c r="D82" i="71"/>
  <c r="D83" i="71"/>
  <c r="D80" i="71"/>
  <c r="D64" i="71"/>
  <c r="D85" i="71"/>
  <c r="D77" i="71"/>
  <c r="D78" i="71"/>
  <c r="D79" i="71"/>
  <c r="D84" i="71"/>
  <c r="A56" i="71"/>
  <c r="A57" i="71" s="1"/>
  <c r="A64" i="71" s="1"/>
  <c r="F67" i="71"/>
  <c r="A41" i="56"/>
  <c r="A42" i="56" s="1"/>
  <c r="E21" i="2" s="1"/>
  <c r="D42" i="56"/>
  <c r="A85" i="11"/>
  <c r="G74" i="44"/>
  <c r="A52" i="44"/>
  <c r="A43" i="26"/>
  <c r="H13" i="8"/>
  <c r="A31" i="22"/>
  <c r="A45" i="1"/>
  <c r="E46" i="17"/>
  <c r="D82" i="7" l="1"/>
  <c r="D83" i="7" s="1"/>
  <c r="E95" i="71"/>
  <c r="D47" i="7"/>
  <c r="D48" i="7" s="1"/>
  <c r="D63" i="7" s="1"/>
  <c r="D64" i="7" s="1"/>
  <c r="D65" i="7" s="1"/>
  <c r="D69" i="7" s="1"/>
  <c r="E98" i="71"/>
  <c r="E99" i="71"/>
  <c r="G99" i="71" s="1"/>
  <c r="H99" i="71" s="1"/>
  <c r="E101" i="71"/>
  <c r="G101" i="71" s="1"/>
  <c r="H101" i="71" s="1"/>
  <c r="E94" i="71"/>
  <c r="E96" i="71"/>
  <c r="G96" i="71" s="1"/>
  <c r="H96" i="71" s="1"/>
  <c r="E65" i="71"/>
  <c r="E97" i="71"/>
  <c r="G92" i="12"/>
  <c r="A71" i="7"/>
  <c r="E71" i="7"/>
  <c r="E102" i="71"/>
  <c r="G102" i="71" s="1"/>
  <c r="H102" i="71" s="1"/>
  <c r="H38" i="44"/>
  <c r="H41" i="44" s="1"/>
  <c r="H74" i="44" s="1"/>
  <c r="H79" i="44" s="1"/>
  <c r="A44" i="26"/>
  <c r="A45" i="26" s="1"/>
  <c r="A46" i="26" s="1"/>
  <c r="A47" i="26" s="1"/>
  <c r="A48" i="26" s="1"/>
  <c r="A49" i="26" s="1"/>
  <c r="C73" i="26"/>
  <c r="G163" i="15"/>
  <c r="G164" i="15" s="1"/>
  <c r="G76" i="15"/>
  <c r="G77" i="15" s="1"/>
  <c r="D77" i="15" s="1"/>
  <c r="D10" i="15" s="1"/>
  <c r="G99" i="15"/>
  <c r="G100" i="15" s="1"/>
  <c r="D100" i="15" s="1"/>
  <c r="D11" i="15" s="1"/>
  <c r="G148" i="15"/>
  <c r="G149" i="15" s="1"/>
  <c r="D149" i="15" s="1"/>
  <c r="D12" i="15" s="1"/>
  <c r="A32" i="22"/>
  <c r="A33" i="22" s="1"/>
  <c r="G29" i="22"/>
  <c r="A93" i="12"/>
  <c r="A94" i="12" s="1"/>
  <c r="A94" i="1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H61" i="11"/>
  <c r="H60" i="11"/>
  <c r="H62" i="11"/>
  <c r="A56" i="17"/>
  <c r="C57" i="17" s="1"/>
  <c r="N17" i="21"/>
  <c r="E18" i="21"/>
  <c r="D176" i="71"/>
  <c r="D158" i="71"/>
  <c r="D159" i="71"/>
  <c r="D177" i="71"/>
  <c r="D172" i="71"/>
  <c r="D154" i="71"/>
  <c r="D174" i="71"/>
  <c r="D156" i="71"/>
  <c r="D153" i="71"/>
  <c r="D171" i="71"/>
  <c r="D157" i="71"/>
  <c r="D175" i="71"/>
  <c r="D155" i="71"/>
  <c r="D173" i="71"/>
  <c r="D120" i="71"/>
  <c r="E169" i="71" s="1"/>
  <c r="E138" i="71"/>
  <c r="G84" i="71"/>
  <c r="H84" i="71" s="1"/>
  <c r="G85" i="71"/>
  <c r="H85" i="71" s="1"/>
  <c r="G80" i="71"/>
  <c r="H80" i="71" s="1"/>
  <c r="G82" i="71"/>
  <c r="H82" i="71" s="1"/>
  <c r="G98" i="71"/>
  <c r="H98" i="71" s="1"/>
  <c r="G79" i="71"/>
  <c r="H79" i="71" s="1"/>
  <c r="G83" i="71"/>
  <c r="H83" i="71" s="1"/>
  <c r="G81" i="71"/>
  <c r="H81" i="71" s="1"/>
  <c r="G100" i="71"/>
  <c r="H100" i="71" s="1"/>
  <c r="K40" i="1"/>
  <c r="K41" i="1" s="1"/>
  <c r="K58" i="1" s="1"/>
  <c r="F28" i="26"/>
  <c r="F29" i="26" s="1"/>
  <c r="F30" i="26" s="1"/>
  <c r="K124" i="1" s="1"/>
  <c r="K17" i="1" s="1"/>
  <c r="F32" i="22"/>
  <c r="F33" i="22" s="1"/>
  <c r="K16" i="1" s="1"/>
  <c r="F28" i="22"/>
  <c r="F29" i="22" s="1"/>
  <c r="J13" i="8" s="1"/>
  <c r="E114" i="71"/>
  <c r="E115" i="71" s="1"/>
  <c r="A65" i="71"/>
  <c r="D105" i="71"/>
  <c r="E88" i="71"/>
  <c r="F78" i="71"/>
  <c r="D170" i="71" s="1"/>
  <c r="D67" i="71"/>
  <c r="F95" i="71"/>
  <c r="E67" i="71"/>
  <c r="D88" i="71"/>
  <c r="F94" i="71"/>
  <c r="E66" i="71"/>
  <c r="F77" i="71"/>
  <c r="G77" i="71" s="1"/>
  <c r="D66" i="71"/>
  <c r="D127" i="71"/>
  <c r="D124" i="71"/>
  <c r="D123" i="71"/>
  <c r="D126" i="71"/>
  <c r="D128" i="71"/>
  <c r="D121" i="71"/>
  <c r="D125" i="71"/>
  <c r="D122" i="71"/>
  <c r="E47" i="17"/>
  <c r="A53" i="44"/>
  <c r="A54" i="44" s="1"/>
  <c r="G56" i="44"/>
  <c r="A46" i="1"/>
  <c r="A47" i="1" s="1"/>
  <c r="A48" i="1" s="1"/>
  <c r="G94" i="71" l="1"/>
  <c r="H94" i="71" s="1"/>
  <c r="E105" i="71"/>
  <c r="G97" i="71"/>
  <c r="H97" i="71" s="1"/>
  <c r="A72" i="7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I146" i="1" s="1"/>
  <c r="E72" i="7"/>
  <c r="E164" i="15"/>
  <c r="D164" i="15" s="1"/>
  <c r="D13" i="15"/>
  <c r="D14" i="15" s="1"/>
  <c r="G33" i="22"/>
  <c r="K18" i="1"/>
  <c r="A98" i="12"/>
  <c r="G98" i="12"/>
  <c r="G94" i="12"/>
  <c r="K128" i="1"/>
  <c r="J52" i="8" s="1"/>
  <c r="A57" i="17"/>
  <c r="A58" i="17" s="1"/>
  <c r="I53" i="1"/>
  <c r="B180" i="4"/>
  <c r="A137" i="1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10" i="11" s="1"/>
  <c r="A311" i="11" s="1"/>
  <c r="E137" i="71"/>
  <c r="N18" i="21"/>
  <c r="E19" i="21"/>
  <c r="E153" i="71"/>
  <c r="F153" i="71" s="1"/>
  <c r="G153" i="71" s="1"/>
  <c r="E171" i="71"/>
  <c r="F171" i="71" s="1"/>
  <c r="G171" i="71" s="1"/>
  <c r="E152" i="71"/>
  <c r="E170" i="71"/>
  <c r="F170" i="71" s="1"/>
  <c r="E157" i="71"/>
  <c r="F157" i="71" s="1"/>
  <c r="G157" i="71" s="1"/>
  <c r="E175" i="71"/>
  <c r="F175" i="71" s="1"/>
  <c r="G175" i="71" s="1"/>
  <c r="E155" i="71"/>
  <c r="F155" i="71" s="1"/>
  <c r="G155" i="71" s="1"/>
  <c r="E173" i="71"/>
  <c r="F173" i="71" s="1"/>
  <c r="G173" i="71" s="1"/>
  <c r="A66" i="71"/>
  <c r="D151" i="71"/>
  <c r="D152" i="71"/>
  <c r="E156" i="71"/>
  <c r="F156" i="71" s="1"/>
  <c r="E174" i="71"/>
  <c r="F174" i="71" s="1"/>
  <c r="G174" i="71" s="1"/>
  <c r="E159" i="71"/>
  <c r="F159" i="71" s="1"/>
  <c r="G159" i="71" s="1"/>
  <c r="E177" i="71"/>
  <c r="F177" i="71" s="1"/>
  <c r="G177" i="71" s="1"/>
  <c r="E154" i="71"/>
  <c r="F154" i="71" s="1"/>
  <c r="E172" i="71"/>
  <c r="F172" i="71" s="1"/>
  <c r="G172" i="71" s="1"/>
  <c r="E158" i="71"/>
  <c r="E176" i="71"/>
  <c r="F176" i="71" s="1"/>
  <c r="G176" i="71" s="1"/>
  <c r="E128" i="71"/>
  <c r="E126" i="71"/>
  <c r="E124" i="71"/>
  <c r="E122" i="71"/>
  <c r="E120" i="71"/>
  <c r="E127" i="71"/>
  <c r="E125" i="71"/>
  <c r="E123" i="71"/>
  <c r="E121" i="71"/>
  <c r="D169" i="71"/>
  <c r="G95" i="71"/>
  <c r="H77" i="71"/>
  <c r="G78" i="71"/>
  <c r="G88" i="71" s="1"/>
  <c r="E78" i="7"/>
  <c r="J48" i="8"/>
  <c r="E68" i="71"/>
  <c r="E69" i="71" s="1"/>
  <c r="D68" i="71"/>
  <c r="D69" i="71" s="1"/>
  <c r="F88" i="71"/>
  <c r="F105" i="71"/>
  <c r="E151" i="71"/>
  <c r="D131" i="71"/>
  <c r="I44" i="1"/>
  <c r="A55" i="44"/>
  <c r="A56" i="44" s="1"/>
  <c r="G62" i="44"/>
  <c r="A49" i="1"/>
  <c r="A50" i="1" s="1"/>
  <c r="A51" i="1" s="1"/>
  <c r="A52" i="1" s="1"/>
  <c r="E48" i="17"/>
  <c r="G105" i="71" l="1"/>
  <c r="D24" i="15"/>
  <c r="J23" i="8" s="1"/>
  <c r="K26" i="1"/>
  <c r="A99" i="12"/>
  <c r="A100" i="12" s="1"/>
  <c r="A101" i="12" s="1"/>
  <c r="A53" i="1"/>
  <c r="A54" i="1" s="1"/>
  <c r="C55" i="17"/>
  <c r="I54" i="1"/>
  <c r="I52" i="1"/>
  <c r="A312" i="11"/>
  <c r="A315" i="11" s="1"/>
  <c r="A316" i="11" s="1"/>
  <c r="G25" i="12"/>
  <c r="E139" i="71"/>
  <c r="E143" i="71" s="1"/>
  <c r="N19" i="21"/>
  <c r="E20" i="21"/>
  <c r="E131" i="71"/>
  <c r="F158" i="71"/>
  <c r="G158" i="71" s="1"/>
  <c r="G154" i="71"/>
  <c r="G156" i="71"/>
  <c r="F151" i="71"/>
  <c r="G170" i="71"/>
  <c r="F169" i="71"/>
  <c r="F180" i="71" s="1"/>
  <c r="D180" i="71"/>
  <c r="F152" i="71"/>
  <c r="G152" i="71" s="1"/>
  <c r="E180" i="71"/>
  <c r="A67" i="71"/>
  <c r="H78" i="71"/>
  <c r="H88" i="71" s="1"/>
  <c r="H95" i="71"/>
  <c r="H105" i="71" s="1"/>
  <c r="E162" i="71"/>
  <c r="E88" i="7"/>
  <c r="E87" i="7"/>
  <c r="E90" i="7"/>
  <c r="J14" i="8"/>
  <c r="J15" i="8" s="1"/>
  <c r="E79" i="7"/>
  <c r="E85" i="7"/>
  <c r="E49" i="17"/>
  <c r="E83" i="7"/>
  <c r="G67" i="44"/>
  <c r="A61" i="44"/>
  <c r="G169" i="71" l="1"/>
  <c r="G180" i="71" s="1"/>
  <c r="C88" i="26"/>
  <c r="G101" i="12"/>
  <c r="A55" i="1"/>
  <c r="A56" i="1" s="1"/>
  <c r="A317" i="11"/>
  <c r="A320" i="11" s="1"/>
  <c r="A321" i="11" s="1"/>
  <c r="G26" i="12"/>
  <c r="E142" i="71"/>
  <c r="E144" i="71" s="1"/>
  <c r="N20" i="21"/>
  <c r="E21" i="21"/>
  <c r="F137" i="71"/>
  <c r="B183" i="71"/>
  <c r="A68" i="71"/>
  <c r="B184" i="71" s="1"/>
  <c r="B190" i="71"/>
  <c r="G151" i="71"/>
  <c r="F162" i="71"/>
  <c r="B187" i="71"/>
  <c r="G77" i="44"/>
  <c r="K34" i="1"/>
  <c r="K110" i="1" s="1"/>
  <c r="D162" i="71"/>
  <c r="A58" i="1"/>
  <c r="I58" i="1"/>
  <c r="A62" i="44"/>
  <c r="A63" i="44" s="1"/>
  <c r="G63" i="44" l="1"/>
  <c r="I56" i="1"/>
  <c r="E145" i="71"/>
  <c r="D19" i="31" s="1"/>
  <c r="A322" i="11"/>
  <c r="A323" i="11" s="1"/>
  <c r="A326" i="11" s="1"/>
  <c r="A327" i="11" s="1"/>
  <c r="A328" i="11" s="1"/>
  <c r="A329" i="11" s="1"/>
  <c r="A330" i="11" s="1"/>
  <c r="A333" i="11" s="1"/>
  <c r="A334" i="11" s="1"/>
  <c r="A335" i="11" s="1"/>
  <c r="A338" i="11" s="1"/>
  <c r="A339" i="11" s="1"/>
  <c r="A340" i="11" s="1"/>
  <c r="A343" i="11" s="1"/>
  <c r="A344" i="11" s="1"/>
  <c r="A345" i="11" s="1"/>
  <c r="A348" i="11" s="1"/>
  <c r="A349" i="11" s="1"/>
  <c r="A350" i="11" s="1"/>
  <c r="A353" i="11" s="1"/>
  <c r="A354" i="11" s="1"/>
  <c r="A355" i="11" s="1"/>
  <c r="A358" i="11" s="1"/>
  <c r="A359" i="11" s="1"/>
  <c r="A360" i="11" s="1"/>
  <c r="A363" i="11" s="1"/>
  <c r="A364" i="11" s="1"/>
  <c r="A365" i="11" s="1"/>
  <c r="A368" i="11" s="1"/>
  <c r="A369" i="11" s="1"/>
  <c r="A370" i="11" s="1"/>
  <c r="G27" i="12"/>
  <c r="N21" i="21"/>
  <c r="E22" i="21"/>
  <c r="A69" i="71"/>
  <c r="A77" i="71" s="1"/>
  <c r="F69" i="71"/>
  <c r="K95" i="1"/>
  <c r="K130" i="1" s="1"/>
  <c r="K131" i="1"/>
  <c r="G162" i="71"/>
  <c r="E51" i="17"/>
  <c r="A66" i="44"/>
  <c r="A67" i="44" s="1"/>
  <c r="A68" i="44" s="1"/>
  <c r="A69" i="44" s="1"/>
  <c r="A70" i="44" s="1"/>
  <c r="G68" i="44"/>
  <c r="I128" i="1"/>
  <c r="A63" i="1"/>
  <c r="E19" i="31" l="1"/>
  <c r="N22" i="21"/>
  <c r="E23" i="21"/>
  <c r="A78" i="71"/>
  <c r="A79" i="71" s="1"/>
  <c r="A80" i="71" s="1"/>
  <c r="A81" i="71" s="1"/>
  <c r="A82" i="71" s="1"/>
  <c r="A83" i="71" s="1"/>
  <c r="A84" i="71" s="1"/>
  <c r="A85" i="71" s="1"/>
  <c r="A86" i="71" s="1"/>
  <c r="A87" i="71" s="1"/>
  <c r="I88" i="71" s="1"/>
  <c r="K135" i="1"/>
  <c r="K137" i="1" s="1"/>
  <c r="A74" i="44"/>
  <c r="G75" i="44"/>
  <c r="A64" i="1"/>
  <c r="A75" i="44" l="1"/>
  <c r="A76" i="44" s="1"/>
  <c r="A77" i="44" s="1"/>
  <c r="A78" i="44" s="1"/>
  <c r="A79" i="44" s="1"/>
  <c r="A80" i="44" s="1"/>
  <c r="G78" i="44"/>
  <c r="N23" i="21"/>
  <c r="N25" i="21" s="1"/>
  <c r="J18" i="8" s="1"/>
  <c r="J21" i="8" s="1"/>
  <c r="J28" i="8" s="1"/>
  <c r="E25" i="21"/>
  <c r="A88" i="71"/>
  <c r="A94" i="71" s="1"/>
  <c r="B192" i="71"/>
  <c r="K138" i="1"/>
  <c r="H76" i="44" s="1"/>
  <c r="A65" i="1"/>
  <c r="I155" i="1"/>
  <c r="B88" i="44" l="1"/>
  <c r="F90" i="12"/>
  <c r="F92" i="12" s="1"/>
  <c r="F94" i="12" s="1"/>
  <c r="F98" i="12" s="1"/>
  <c r="F101" i="12" s="1"/>
  <c r="J33" i="8"/>
  <c r="J54" i="8" s="1"/>
  <c r="J40" i="8"/>
  <c r="J37" i="8"/>
  <c r="J55" i="8" s="1"/>
  <c r="A95" i="71"/>
  <c r="A96" i="71" s="1"/>
  <c r="A97" i="71" s="1"/>
  <c r="A98" i="71" s="1"/>
  <c r="A99" i="71" s="1"/>
  <c r="A100" i="71" s="1"/>
  <c r="A101" i="71" s="1"/>
  <c r="A102" i="71" s="1"/>
  <c r="A103" i="71" s="1"/>
  <c r="A104" i="71" s="1"/>
  <c r="A105" i="71" s="1"/>
  <c r="A111" i="71" s="1"/>
  <c r="K140" i="1"/>
  <c r="G80" i="44"/>
  <c r="A68" i="1"/>
  <c r="I83" i="1"/>
  <c r="J58" i="8" l="1"/>
  <c r="J62" i="8" s="1"/>
  <c r="E66" i="8" s="1"/>
  <c r="E68" i="8" s="1"/>
  <c r="E69" i="8" s="1"/>
  <c r="E14" i="65" s="1"/>
  <c r="I105" i="71"/>
  <c r="A112" i="71"/>
  <c r="A113" i="71" s="1"/>
  <c r="F113" i="71"/>
  <c r="K145" i="1"/>
  <c r="D70" i="7" s="1"/>
  <c r="D71" i="7" s="1"/>
  <c r="C6" i="9"/>
  <c r="A69" i="1"/>
  <c r="A70" i="1" s="1"/>
  <c r="E28" i="65" l="1"/>
  <c r="H28" i="65" s="1"/>
  <c r="E32" i="65"/>
  <c r="H32" i="65" s="1"/>
  <c r="E25" i="65"/>
  <c r="H25" i="65" s="1"/>
  <c r="E29" i="65"/>
  <c r="H29" i="65" s="1"/>
  <c r="E33" i="65"/>
  <c r="H33" i="65" s="1"/>
  <c r="E24" i="65"/>
  <c r="H24" i="65" s="1"/>
  <c r="J24" i="65" s="1"/>
  <c r="E26" i="65"/>
  <c r="H26" i="65" s="1"/>
  <c r="E30" i="65"/>
  <c r="H30" i="65" s="1"/>
  <c r="E34" i="65"/>
  <c r="H34" i="65" s="1"/>
  <c r="E27" i="65"/>
  <c r="H27" i="65" s="1"/>
  <c r="E31" i="65"/>
  <c r="H31" i="65" s="1"/>
  <c r="E35" i="65"/>
  <c r="H35" i="65" s="1"/>
  <c r="F114" i="71"/>
  <c r="A114" i="71"/>
  <c r="A115" i="71" s="1"/>
  <c r="A120" i="71" s="1"/>
  <c r="F115" i="71"/>
  <c r="F138" i="71"/>
  <c r="D72" i="7"/>
  <c r="D78" i="7" s="1"/>
  <c r="D79" i="7" s="1"/>
  <c r="D85" i="7" s="1"/>
  <c r="A73" i="1"/>
  <c r="I75" i="1" s="1"/>
  <c r="I84" i="1"/>
  <c r="K24" i="65" l="1"/>
  <c r="L24" i="65" s="1"/>
  <c r="J25" i="65" s="1"/>
  <c r="A121" i="71"/>
  <c r="A122" i="71" s="1"/>
  <c r="A123" i="71" s="1"/>
  <c r="A124" i="71" s="1"/>
  <c r="A125" i="71" s="1"/>
  <c r="A126" i="71" s="1"/>
  <c r="A127" i="71" s="1"/>
  <c r="A128" i="71" s="1"/>
  <c r="A129" i="71" s="1"/>
  <c r="A130" i="71" s="1"/>
  <c r="A131" i="71" s="1"/>
  <c r="A137" i="71" s="1"/>
  <c r="D88" i="7"/>
  <c r="H77" i="44" s="1"/>
  <c r="H78" i="44" s="1"/>
  <c r="H80" i="44" s="1"/>
  <c r="K155" i="1" s="1"/>
  <c r="D87" i="7"/>
  <c r="A75" i="1"/>
  <c r="I80" i="1" s="1"/>
  <c r="K25" i="65" l="1"/>
  <c r="L25" i="65" s="1"/>
  <c r="A138" i="71"/>
  <c r="A139" i="71" s="1"/>
  <c r="F131" i="71"/>
  <c r="B193" i="71"/>
  <c r="D90" i="7"/>
  <c r="K146" i="1" s="1"/>
  <c r="K151" i="1" s="1"/>
  <c r="D4" i="53" s="1"/>
  <c r="A78" i="1"/>
  <c r="I78" i="1"/>
  <c r="I79" i="1"/>
  <c r="J26" i="65" l="1"/>
  <c r="K26" i="65" s="1"/>
  <c r="L26" i="65" s="1"/>
  <c r="D19" i="53"/>
  <c r="D25" i="53"/>
  <c r="D21" i="53"/>
  <c r="D20" i="53"/>
  <c r="D18" i="53"/>
  <c r="D23" i="53"/>
  <c r="D16" i="53"/>
  <c r="D26" i="53"/>
  <c r="D15" i="53"/>
  <c r="D22" i="53"/>
  <c r="D13" i="53"/>
  <c r="D24" i="53"/>
  <c r="D17" i="53"/>
  <c r="D12" i="53"/>
  <c r="F139" i="71"/>
  <c r="A140" i="71"/>
  <c r="A141" i="71" s="1"/>
  <c r="A142" i="71" s="1"/>
  <c r="A143" i="71" s="1"/>
  <c r="A144" i="71" s="1"/>
  <c r="A145" i="71" s="1"/>
  <c r="K154" i="1"/>
  <c r="K156" i="1" s="1"/>
  <c r="B4" i="31" s="1"/>
  <c r="D18" i="31" s="1"/>
  <c r="C7" i="9"/>
  <c r="C10" i="9" s="1"/>
  <c r="A79" i="1"/>
  <c r="I88" i="1"/>
  <c r="D28" i="53" l="1"/>
  <c r="J27" i="65"/>
  <c r="K27" i="65" s="1"/>
  <c r="L27" i="65" s="1"/>
  <c r="J28" i="65" s="1"/>
  <c r="C55" i="53"/>
  <c r="I22" i="53"/>
  <c r="C37" i="53"/>
  <c r="G37" i="53" s="1"/>
  <c r="I37" i="53" s="1"/>
  <c r="I55" i="53" s="1"/>
  <c r="E55" i="53" s="1"/>
  <c r="I25" i="53"/>
  <c r="C58" i="53"/>
  <c r="C57" i="53"/>
  <c r="I24" i="53"/>
  <c r="C59" i="53"/>
  <c r="D59" i="53" s="1"/>
  <c r="G59" i="53" s="1"/>
  <c r="H26" i="53"/>
  <c r="C53" i="53"/>
  <c r="D53" i="53" s="1"/>
  <c r="H53" i="53" s="1"/>
  <c r="I20" i="53"/>
  <c r="H13" i="53"/>
  <c r="J14" i="53" s="1"/>
  <c r="C47" i="53"/>
  <c r="C49" i="53"/>
  <c r="I16" i="53"/>
  <c r="I21" i="53"/>
  <c r="C54" i="53"/>
  <c r="C36" i="53"/>
  <c r="G36" i="53" s="1"/>
  <c r="I36" i="53" s="1"/>
  <c r="I54" i="53" s="1"/>
  <c r="C46" i="53"/>
  <c r="H12" i="53"/>
  <c r="C56" i="53"/>
  <c r="C38" i="53"/>
  <c r="G38" i="53" s="1"/>
  <c r="I38" i="53" s="1"/>
  <c r="I56" i="53" s="1"/>
  <c r="E56" i="53" s="1"/>
  <c r="I23" i="53"/>
  <c r="C50" i="53"/>
  <c r="I17" i="53"/>
  <c r="C48" i="53"/>
  <c r="D48" i="53" s="1"/>
  <c r="G48" i="53" s="1"/>
  <c r="H15" i="53"/>
  <c r="I18" i="53"/>
  <c r="C51" i="53"/>
  <c r="D51" i="53" s="1"/>
  <c r="H51" i="53" s="1"/>
  <c r="C52" i="53"/>
  <c r="D52" i="53" s="1"/>
  <c r="H52" i="53" s="1"/>
  <c r="I19" i="53"/>
  <c r="A151" i="71"/>
  <c r="A152" i="71" s="1"/>
  <c r="A153" i="71" s="1"/>
  <c r="A154" i="71" s="1"/>
  <c r="A155" i="71" s="1"/>
  <c r="A156" i="71" s="1"/>
  <c r="A157" i="71" s="1"/>
  <c r="A158" i="71" s="1"/>
  <c r="A159" i="71" s="1"/>
  <c r="A160" i="71" s="1"/>
  <c r="A161" i="71" s="1"/>
  <c r="A162" i="71" s="1"/>
  <c r="A169" i="71" s="1"/>
  <c r="A170" i="71" s="1"/>
  <c r="A171" i="71" s="1"/>
  <c r="A172" i="71" s="1"/>
  <c r="A173" i="71" s="1"/>
  <c r="A174" i="71" s="1"/>
  <c r="A175" i="71" s="1"/>
  <c r="A176" i="71" s="1"/>
  <c r="A177" i="71" s="1"/>
  <c r="A178" i="71" s="1"/>
  <c r="A179" i="71" s="1"/>
  <c r="A180" i="71" s="1"/>
  <c r="B37" i="31"/>
  <c r="E18" i="31"/>
  <c r="E20" i="31" s="1"/>
  <c r="D20" i="31"/>
  <c r="F142" i="71"/>
  <c r="F145" i="71"/>
  <c r="F144" i="71"/>
  <c r="F143" i="71"/>
  <c r="F18" i="31"/>
  <c r="F20" i="31" s="1"/>
  <c r="A80" i="1"/>
  <c r="G93" i="12" s="1"/>
  <c r="I89" i="1"/>
  <c r="K28" i="65" l="1"/>
  <c r="L28" i="65" s="1"/>
  <c r="K14" i="53"/>
  <c r="I14" i="53" s="1"/>
  <c r="I47" i="53" s="1"/>
  <c r="E47" i="53" s="1"/>
  <c r="D56" i="53"/>
  <c r="H56" i="53" s="1"/>
  <c r="I49" i="53"/>
  <c r="E49" i="53" s="1"/>
  <c r="D49" i="53" s="1"/>
  <c r="H49" i="53" s="1"/>
  <c r="I50" i="53"/>
  <c r="E50" i="53" s="1"/>
  <c r="D50" i="53" s="1"/>
  <c r="H50" i="53" s="1"/>
  <c r="I58" i="53"/>
  <c r="E58" i="53" s="1"/>
  <c r="D58" i="53" s="1"/>
  <c r="H58" i="53" s="1"/>
  <c r="I57" i="53"/>
  <c r="E54" i="53"/>
  <c r="D54" i="53" s="1"/>
  <c r="H54" i="53" s="1"/>
  <c r="D46" i="53"/>
  <c r="C61" i="53"/>
  <c r="D55" i="53"/>
  <c r="H55" i="53" s="1"/>
  <c r="A83" i="1"/>
  <c r="A84" i="1" s="1"/>
  <c r="A85" i="1" s="1"/>
  <c r="I90" i="1" s="1"/>
  <c r="I15" i="12"/>
  <c r="I81" i="1"/>
  <c r="J29" i="65" l="1"/>
  <c r="K29" i="65" s="1"/>
  <c r="L29" i="65" s="1"/>
  <c r="J30" i="65" s="1"/>
  <c r="H47" i="53"/>
  <c r="D47" i="53"/>
  <c r="G47" i="53" s="1"/>
  <c r="G46" i="53"/>
  <c r="K57" i="53"/>
  <c r="E57" i="53"/>
  <c r="D57" i="53" s="1"/>
  <c r="H57" i="53" s="1"/>
  <c r="J57" i="53" s="1"/>
  <c r="A88" i="1"/>
  <c r="G100" i="12"/>
  <c r="A89" i="1"/>
  <c r="E21" i="7"/>
  <c r="K30" i="65" l="1"/>
  <c r="L30" i="65" s="1"/>
  <c r="J31" i="65" s="1"/>
  <c r="E61" i="53"/>
  <c r="B8" i="31" s="1"/>
  <c r="D61" i="53"/>
  <c r="A90" i="1"/>
  <c r="I93" i="1" s="1"/>
  <c r="K31" i="65" l="1"/>
  <c r="L31" i="65" s="1"/>
  <c r="J32" i="65" s="1"/>
  <c r="I91" i="1"/>
  <c r="A91" i="1"/>
  <c r="K32" i="65" l="1"/>
  <c r="L32" i="65" s="1"/>
  <c r="F24" i="31"/>
  <c r="F27" i="31" s="1"/>
  <c r="D24" i="31"/>
  <c r="D27" i="31" s="1"/>
  <c r="E24" i="31"/>
  <c r="E27" i="31" s="1"/>
  <c r="F25" i="71"/>
  <c r="A93" i="1"/>
  <c r="H32" i="8"/>
  <c r="I95" i="1"/>
  <c r="J33" i="65" l="1"/>
  <c r="K33" i="65" s="1"/>
  <c r="L33" i="65" s="1"/>
  <c r="J34" i="65" s="1"/>
  <c r="E28" i="32"/>
  <c r="E30" i="32" s="1"/>
  <c r="E34" i="32"/>
  <c r="E36" i="32" s="1"/>
  <c r="E20" i="32"/>
  <c r="E22" i="32" s="1"/>
  <c r="E14" i="32"/>
  <c r="E16" i="32" s="1"/>
  <c r="E40" i="32"/>
  <c r="E42" i="32" s="1"/>
  <c r="F32" i="71"/>
  <c r="H41" i="8"/>
  <c r="A95" i="1"/>
  <c r="E22" i="7"/>
  <c r="K34" i="65" l="1"/>
  <c r="L34" i="65" s="1"/>
  <c r="A100" i="1"/>
  <c r="I130" i="1"/>
  <c r="J35" i="65" l="1"/>
  <c r="K35" i="65" s="1"/>
  <c r="L35" i="65" s="1"/>
  <c r="J36" i="65" s="1"/>
  <c r="A101" i="1"/>
  <c r="A102" i="1" s="1"/>
  <c r="J16" i="28" s="1"/>
  <c r="K36" i="65" l="1"/>
  <c r="L36" i="65" s="1"/>
  <c r="I102" i="1"/>
  <c r="F33" i="71"/>
  <c r="H42" i="8"/>
  <c r="I16" i="12"/>
  <c r="G53" i="44"/>
  <c r="A105" i="1"/>
  <c r="E23" i="7"/>
  <c r="J37" i="65" l="1"/>
  <c r="K37" i="65" s="1"/>
  <c r="L37" i="65" s="1"/>
  <c r="J38" i="65" s="1"/>
  <c r="A106" i="1"/>
  <c r="A107" i="1" s="1"/>
  <c r="A108" i="1" s="1"/>
  <c r="H43" i="8" s="1"/>
  <c r="K38" i="65" l="1"/>
  <c r="L38" i="65" s="1"/>
  <c r="J39" i="65" s="1"/>
  <c r="A110" i="1"/>
  <c r="I108" i="1"/>
  <c r="I131" i="1"/>
  <c r="A112" i="1"/>
  <c r="K39" i="65" l="1"/>
  <c r="L39" i="65" s="1"/>
  <c r="J40" i="65" s="1"/>
  <c r="A123" i="1"/>
  <c r="I110" i="1"/>
  <c r="A124" i="1"/>
  <c r="I17" i="1" s="1"/>
  <c r="H47" i="8"/>
  <c r="K40" i="65" l="1"/>
  <c r="L40" i="65" s="1"/>
  <c r="H48" i="8"/>
  <c r="A125" i="1"/>
  <c r="J41" i="65" l="1"/>
  <c r="K41" i="65" s="1"/>
  <c r="L41" i="65" s="1"/>
  <c r="J42" i="65" s="1"/>
  <c r="K42" i="65" s="1"/>
  <c r="A126" i="1"/>
  <c r="H49" i="8"/>
  <c r="L42" i="65" l="1"/>
  <c r="J43" i="65" s="1"/>
  <c r="H50" i="8"/>
  <c r="A127" i="1"/>
  <c r="A128" i="1" l="1"/>
  <c r="H51" i="8"/>
  <c r="K43" i="65"/>
  <c r="L43" i="65" s="1"/>
  <c r="J44" i="65" l="1"/>
  <c r="K44" i="65" s="1"/>
  <c r="H52" i="8"/>
  <c r="A129" i="1"/>
  <c r="A130" i="1" l="1"/>
  <c r="A131" i="1" s="1"/>
  <c r="A132" i="1" s="1"/>
  <c r="H53" i="8"/>
  <c r="L44" i="65"/>
  <c r="F53" i="65" s="1"/>
  <c r="H53" i="65" l="1"/>
  <c r="I53" i="65" s="1"/>
  <c r="H56" i="8"/>
  <c r="A133" i="1"/>
  <c r="A134" i="1" s="1"/>
  <c r="A135" i="1" l="1"/>
  <c r="I135" i="1"/>
  <c r="A137" i="1"/>
  <c r="A138" i="1" s="1"/>
  <c r="I138" i="1"/>
  <c r="I137" i="1"/>
  <c r="H57" i="8"/>
  <c r="J53" i="65"/>
  <c r="F54" i="65" s="1"/>
  <c r="A140" i="1" l="1"/>
  <c r="G76" i="44"/>
  <c r="I145" i="1"/>
  <c r="A145" i="1"/>
  <c r="I140" i="1"/>
  <c r="H54" i="65"/>
  <c r="I54" i="65" s="1"/>
  <c r="E70" i="7" l="1"/>
  <c r="A146" i="1"/>
  <c r="A147" i="1" s="1"/>
  <c r="A148" i="1" s="1"/>
  <c r="A149" i="1" s="1"/>
  <c r="A151" i="1" s="1"/>
  <c r="J54" i="65"/>
  <c r="F55" i="65" s="1"/>
  <c r="A154" i="1" l="1"/>
  <c r="I154" i="1"/>
  <c r="I151" i="1"/>
  <c r="H55" i="65"/>
  <c r="A155" i="1" l="1"/>
  <c r="A156" i="1" s="1"/>
  <c r="G4" i="31" s="1"/>
  <c r="I55" i="65"/>
  <c r="J55" i="65" s="1"/>
  <c r="F56" i="65" s="1"/>
  <c r="I156" i="1" l="1"/>
  <c r="H56" i="65"/>
  <c r="I56" i="65" s="1"/>
  <c r="J56" i="65" l="1"/>
  <c r="F57" i="65" s="1"/>
  <c r="H57" i="65" l="1"/>
  <c r="I57" i="65" l="1"/>
  <c r="J57" i="65" s="1"/>
  <c r="F58" i="65" s="1"/>
  <c r="H58" i="65" l="1"/>
  <c r="I58" i="65" s="1"/>
  <c r="J58" i="65" l="1"/>
  <c r="F59" i="65" s="1"/>
  <c r="H59" i="65" l="1"/>
  <c r="I59" i="65" l="1"/>
  <c r="J59" i="65" s="1"/>
  <c r="F60" i="65" s="1"/>
  <c r="H60" i="65" l="1"/>
  <c r="I60" i="65" s="1"/>
  <c r="J60" i="65" l="1"/>
  <c r="F61" i="65" s="1"/>
  <c r="H61" i="65" l="1"/>
  <c r="I61" i="65" l="1"/>
  <c r="J61" i="65" s="1"/>
  <c r="F62" i="65" s="1"/>
  <c r="H62" i="65" l="1"/>
  <c r="I62" i="65" s="1"/>
  <c r="J62" i="65" l="1"/>
  <c r="F63" i="65" s="1"/>
  <c r="H63" i="65" l="1"/>
  <c r="I63" i="65" l="1"/>
  <c r="J63" i="65" s="1"/>
  <c r="F64" i="65" s="1"/>
  <c r="H64" i="65" l="1"/>
  <c r="I64" i="65" s="1"/>
  <c r="J64" i="65" l="1"/>
  <c r="I16" i="1"/>
</calcChain>
</file>

<file path=xl/sharedStrings.xml><?xml version="1.0" encoding="utf-8"?>
<sst xmlns="http://schemas.openxmlformats.org/spreadsheetml/2006/main" count="5452" uniqueCount="2502">
  <si>
    <t>True-Up</t>
  </si>
  <si>
    <t>CWIP</t>
  </si>
  <si>
    <t>Balances</t>
  </si>
  <si>
    <t>In Service</t>
  </si>
  <si>
    <t>Total:</t>
  </si>
  <si>
    <t>Income Taxes</t>
  </si>
  <si>
    <t>Calculation of Components of Working Capital</t>
  </si>
  <si>
    <t xml:space="preserve">Prepayments is an allocated portion of Total Prepayments based </t>
  </si>
  <si>
    <t>Incentive</t>
  </si>
  <si>
    <t>ROE Adder</t>
  </si>
  <si>
    <t>13-Month Avg.</t>
  </si>
  <si>
    <t>Revenue Credits</t>
  </si>
  <si>
    <t>FERC</t>
  </si>
  <si>
    <t>Rate</t>
  </si>
  <si>
    <t>HV</t>
  </si>
  <si>
    <t>LV</t>
  </si>
  <si>
    <t>Total Property Taxes</t>
  </si>
  <si>
    <t>FICA</t>
  </si>
  <si>
    <t>SUI</t>
  </si>
  <si>
    <t>Inputs are shaded yellow</t>
  </si>
  <si>
    <t>Forecast Period</t>
  </si>
  <si>
    <t>Monthly</t>
  </si>
  <si>
    <t>Retail</t>
  </si>
  <si>
    <t>Revenues</t>
  </si>
  <si>
    <t>in Revenue</t>
  </si>
  <si>
    <t>Interest</t>
  </si>
  <si>
    <t>Calculation of Components of Cost of Capital Rate</t>
  </si>
  <si>
    <t>Cost of Preferred Stock</t>
  </si>
  <si>
    <t>Debt</t>
  </si>
  <si>
    <t>Preferred Stock</t>
  </si>
  <si>
    <t>Equity</t>
  </si>
  <si>
    <t>True Up Adjustment</t>
  </si>
  <si>
    <t>Excess (-) or</t>
  </si>
  <si>
    <t>Shortfall (+)</t>
  </si>
  <si>
    <t>True Up Adjustment:</t>
  </si>
  <si>
    <t>SCE Records</t>
  </si>
  <si>
    <t>FF1 207.104g</t>
  </si>
  <si>
    <t>Apportionment</t>
  </si>
  <si>
    <t>Factor</t>
  </si>
  <si>
    <t>California</t>
  </si>
  <si>
    <t>New Mexico</t>
  </si>
  <si>
    <t>Arizona</t>
  </si>
  <si>
    <t>D.C.</t>
  </si>
  <si>
    <t>State</t>
  </si>
  <si>
    <t>Statutory</t>
  </si>
  <si>
    <t>1) Federal Income Tax rate</t>
  </si>
  <si>
    <t>Federal</t>
  </si>
  <si>
    <t>2) Composite State Income Tax Rate</t>
  </si>
  <si>
    <t>FUTA</t>
  </si>
  <si>
    <t>Fed Ins Cont Amt -- Current</t>
  </si>
  <si>
    <t>FICA/OASDI Emp Incntv.</t>
  </si>
  <si>
    <t>FICA/HIT Emp Incntv.</t>
  </si>
  <si>
    <t>Less Unamortized Discount on Long Term Debt -- Account 226</t>
  </si>
  <si>
    <t>Long-Term Debt Cost Percentage</t>
  </si>
  <si>
    <t>Preferred Stock Amount -- Account 204</t>
  </si>
  <si>
    <t>Cost of Preferred Stock -- Account 437</t>
  </si>
  <si>
    <t>Preferred Stock Cost Percentage</t>
  </si>
  <si>
    <t>Common Stock Equity Amount</t>
  </si>
  <si>
    <t>Less Preferred Stock Amount -- Account 204</t>
  </si>
  <si>
    <t>Total Capital</t>
  </si>
  <si>
    <t>Preferred Stock Amount</t>
  </si>
  <si>
    <t>Capital Percentages</t>
  </si>
  <si>
    <t>Common Stock Capital Percentage</t>
  </si>
  <si>
    <t>Return on Equity</t>
  </si>
  <si>
    <t>Weighted Cost of Long Term Debt</t>
  </si>
  <si>
    <t>Weighted Cost of Preferred Stock</t>
  </si>
  <si>
    <t>Weighted Cost of Common Stock</t>
  </si>
  <si>
    <t>Cost of Capital Rate</t>
  </si>
  <si>
    <t xml:space="preserve">Equity Rate of Return Including Preferred Stock </t>
  </si>
  <si>
    <t>Return on Capital: Rate Base times Cost of Capital Rate</t>
  </si>
  <si>
    <t>Network Upgrade Credits</t>
  </si>
  <si>
    <t>Network Upgrade Interest Expense</t>
  </si>
  <si>
    <t>Transmission Plant Allocation Factor</t>
  </si>
  <si>
    <t>Total General Plant</t>
  </si>
  <si>
    <t>Total Electric Miscellaneous Intangible Plant</t>
  </si>
  <si>
    <t>Electric Miscellaneous Intangible Plant</t>
  </si>
  <si>
    <t>Property Taxes</t>
  </si>
  <si>
    <t>Total Electric Payroll Tax Expense</t>
  </si>
  <si>
    <t>PRIOR YEAR TRANSMISSION REVENUE REQUIREMENT</t>
  </si>
  <si>
    <t>Prior Year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</si>
  <si>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</si>
  <si>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</si>
  <si>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</si>
  <si>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</si>
  <si>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</si>
  <si>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</si>
  <si>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</si>
  <si>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</si>
  <si>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</si>
  <si>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</si>
  <si>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</si>
  <si>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HV/LV</t>
  </si>
  <si>
    <t>---</t>
  </si>
  <si>
    <t>Revenue</t>
  </si>
  <si>
    <t>Prior Year Incentive Adder =</t>
  </si>
  <si>
    <t>Other Taxes</t>
  </si>
  <si>
    <t xml:space="preserve"> = LV Allocation Factor</t>
  </si>
  <si>
    <t xml:space="preserve"> = HV Allocation Factor</t>
  </si>
  <si>
    <t>SCE Retail Standby Rate Revenue</t>
  </si>
  <si>
    <t>TRR Values</t>
  </si>
  <si>
    <t>Average BOY/EOY Value:</t>
  </si>
  <si>
    <t>Beginning of year ("BOY") amount</t>
  </si>
  <si>
    <t>b) Return on Capital</t>
  </si>
  <si>
    <t>c) Income Taxes</t>
  </si>
  <si>
    <t>Return on Capital</t>
  </si>
  <si>
    <t xml:space="preserve">Enter positive </t>
  </si>
  <si>
    <t>Miscellaneous General Expense</t>
  </si>
  <si>
    <t>End of Year ("EOY") amount</t>
  </si>
  <si>
    <t>Working Capital</t>
  </si>
  <si>
    <t>Materials and Supplies</t>
  </si>
  <si>
    <t>Prepayments</t>
  </si>
  <si>
    <t>Transmission Wages and Salaries Allocation Factor</t>
  </si>
  <si>
    <t>Transmission Plant Allocation Factor:</t>
  </si>
  <si>
    <t>Prior Year TRR</t>
  </si>
  <si>
    <t>True-Up Adjustment</t>
  </si>
  <si>
    <t>Subtotal:</t>
  </si>
  <si>
    <t>Calculation of Accumulated Deferred Income Taxes</t>
  </si>
  <si>
    <t>Account</t>
  </si>
  <si>
    <t>Description</t>
  </si>
  <si>
    <t>O&amp;M Expense</t>
  </si>
  <si>
    <t>A&amp;G Salaries</t>
  </si>
  <si>
    <t>Office Supplies and Expenses</t>
  </si>
  <si>
    <t>A&amp;G Expenses Transferred</t>
  </si>
  <si>
    <t>Outside Services Employed</t>
  </si>
  <si>
    <t>Property Insurance</t>
  </si>
  <si>
    <t>Injuries and Damages</t>
  </si>
  <si>
    <t>Employee Pensions and Benefits</t>
  </si>
  <si>
    <t>Franchise Requirements</t>
  </si>
  <si>
    <t>Regulatory Commission Expenses</t>
  </si>
  <si>
    <t>Duplicate Charges</t>
  </si>
  <si>
    <t>General Advertising Expense</t>
  </si>
  <si>
    <t>Rents</t>
  </si>
  <si>
    <t>Maintenance of General Plant</t>
  </si>
  <si>
    <t>Acct.</t>
  </si>
  <si>
    <t>Excluded</t>
  </si>
  <si>
    <t>FF1 323.181b</t>
  </si>
  <si>
    <t>FF1 323.182b</t>
  </si>
  <si>
    <t>FF1 323.183b</t>
  </si>
  <si>
    <t>FF1 323.184b</t>
  </si>
  <si>
    <t>FF1 323.185b</t>
  </si>
  <si>
    <t>FF1 323.186b</t>
  </si>
  <si>
    <t>FF1 323.187b</t>
  </si>
  <si>
    <t>FF1 323.188b</t>
  </si>
  <si>
    <t>FF1 323.189b</t>
  </si>
  <si>
    <t>FF1 323.190b</t>
  </si>
  <si>
    <t>FF1 323.191b</t>
  </si>
  <si>
    <t>FF1 323.192b</t>
  </si>
  <si>
    <t>FF1 323.193b</t>
  </si>
  <si>
    <t>FF1 323.196b</t>
  </si>
  <si>
    <t>Total A&amp;G Expenses:</t>
  </si>
  <si>
    <t>Transmission Wages and Salaries Allocation Factor:</t>
  </si>
  <si>
    <t xml:space="preserve"> = Wholesale Base TRR</t>
  </si>
  <si>
    <t xml:space="preserve"> = Total Wholesale TRBAA</t>
  </si>
  <si>
    <t xml:space="preserve"> = HV Wholesale TRBAA</t>
  </si>
  <si>
    <t xml:space="preserve"> = LV Wholesale TRBAA</t>
  </si>
  <si>
    <t xml:space="preserve"> = Total Standby Transmission Revenues</t>
  </si>
  <si>
    <t>TOTAL</t>
  </si>
  <si>
    <t>Wholesale TRBAA:</t>
  </si>
  <si>
    <t>SCE's wholesale rates are as follows:</t>
  </si>
  <si>
    <t>1) Low Voltage Access Charge</t>
  </si>
  <si>
    <t>2) Low Voltage Wheeling Access Charge</t>
  </si>
  <si>
    <t>3) High Voltage Utility-Specific Rate</t>
  </si>
  <si>
    <t>4) HV Existing Contracts Access Charge</t>
  </si>
  <si>
    <t>5) LV Existing Contracts Access Charge</t>
  </si>
  <si>
    <t>Calculation of Low Voltage Access Charge:</t>
  </si>
  <si>
    <t>per kWh</t>
  </si>
  <si>
    <t>Calculation of Low Voltage Wheeling Access Charge:</t>
  </si>
  <si>
    <t>Calculation of High Voltage Utility Specific Rate:</t>
  </si>
  <si>
    <t>(used by ISO in billing of ISO TAC)</t>
  </si>
  <si>
    <t>SCE HV TRR =</t>
  </si>
  <si>
    <t>Calculation of High Voltage Existing Contracts Access Charge:</t>
  </si>
  <si>
    <t>MW</t>
  </si>
  <si>
    <t>Calculation of Low Voltage Existing Contracts Access Charge:</t>
  </si>
  <si>
    <t>Wholesale Base TRR:</t>
  </si>
  <si>
    <t>Determination of Incentive Adders Components of the TRR</t>
  </si>
  <si>
    <t>Negative amount</t>
  </si>
  <si>
    <t>Rate Base Item</t>
  </si>
  <si>
    <t>Method</t>
  </si>
  <si>
    <t>Calculation</t>
  </si>
  <si>
    <t>BOY/EOY Avg.</t>
  </si>
  <si>
    <t>EOY Value:</t>
  </si>
  <si>
    <t>Transmission Plant Held for Future Use</t>
  </si>
  <si>
    <t>on the Transmission Plant Allocation Factor.</t>
  </si>
  <si>
    <t>2) Calculation of Prepayments</t>
  </si>
  <si>
    <t>Results</t>
  </si>
  <si>
    <t>Adjustment</t>
  </si>
  <si>
    <t>1) Calculation of Materials and Supplies</t>
  </si>
  <si>
    <t>FF1 111.57d</t>
  </si>
  <si>
    <t>FF1 111.57c</t>
  </si>
  <si>
    <t>Prepayments:</t>
  </si>
  <si>
    <t>Accumulated Depreciation Reserve</t>
  </si>
  <si>
    <t>Accumulated Deferred Income Taxes</t>
  </si>
  <si>
    <t>General Plant</t>
  </si>
  <si>
    <t>Accumulated Depreciation Reserve Balances</t>
  </si>
  <si>
    <t>Southern California Edison Company</t>
  </si>
  <si>
    <t>Formula Transmission Rate</t>
  </si>
  <si>
    <t>Notes</t>
  </si>
  <si>
    <t xml:space="preserve">FERC Form 1 Reference </t>
  </si>
  <si>
    <t>or Instruction</t>
  </si>
  <si>
    <t>Value</t>
  </si>
  <si>
    <t>Cash Working Capital</t>
  </si>
  <si>
    <t>Rate Base</t>
  </si>
  <si>
    <t>TRR Component</t>
  </si>
  <si>
    <t>Amount</t>
  </si>
  <si>
    <t>RATE BASE</t>
  </si>
  <si>
    <t>RETURN AND CAPITALIZATION CALCULATIONS</t>
  </si>
  <si>
    <t>INCOME TAXES</t>
  </si>
  <si>
    <t>Source</t>
  </si>
  <si>
    <t>December</t>
  </si>
  <si>
    <t>January</t>
  </si>
  <si>
    <t>February</t>
  </si>
  <si>
    <t>April</t>
  </si>
  <si>
    <t>May</t>
  </si>
  <si>
    <t xml:space="preserve">June </t>
  </si>
  <si>
    <t>July</t>
  </si>
  <si>
    <t>August</t>
  </si>
  <si>
    <t>September</t>
  </si>
  <si>
    <t xml:space="preserve">October </t>
  </si>
  <si>
    <t>November</t>
  </si>
  <si>
    <t>October</t>
  </si>
  <si>
    <t>Month</t>
  </si>
  <si>
    <t>Year</t>
  </si>
  <si>
    <t>Data</t>
  </si>
  <si>
    <t>March</t>
  </si>
  <si>
    <t>Beginning of year amount</t>
  </si>
  <si>
    <t>Total</t>
  </si>
  <si>
    <t>Totals:</t>
  </si>
  <si>
    <t>End of year amount</t>
  </si>
  <si>
    <t>Forecast</t>
  </si>
  <si>
    <t>Period</t>
  </si>
  <si>
    <t>Transmission Wages and Salary Allocation Factor</t>
  </si>
  <si>
    <t>ADIT</t>
  </si>
  <si>
    <t>Calculation of Allocation Factors</t>
  </si>
  <si>
    <t xml:space="preserve">1) The Prior Year TRR component is the TRR associated with the Prior Year (most recent calendar year).  </t>
  </si>
  <si>
    <t>Cumulative</t>
  </si>
  <si>
    <t>Reference</t>
  </si>
  <si>
    <t>Bonds -- Account 221</t>
  </si>
  <si>
    <t>Less Reacquired Bonds -- Account 222</t>
  </si>
  <si>
    <t>Other Long Term Debt -- Account 224</t>
  </si>
  <si>
    <t>Long Term Debt Amount</t>
  </si>
  <si>
    <t>Amortization of Debt Discount and Expense -- Account 428</t>
  </si>
  <si>
    <t>Interest on Long-Term Debt -- Account 427</t>
  </si>
  <si>
    <t>Amortization of Loss on Reacquired Debt -- Account 428.1</t>
  </si>
  <si>
    <t>Enter negative</t>
  </si>
  <si>
    <t>Less Amort. of Gain on Reacquired Debt -- Account 429.1</t>
  </si>
  <si>
    <t>Total Proprietary Capital</t>
  </si>
  <si>
    <t>See Note 2</t>
  </si>
  <si>
    <t>See Note 1</t>
  </si>
  <si>
    <t>SCE Return on Equity</t>
  </si>
  <si>
    <t>Federal Income Tax Rate</t>
  </si>
  <si>
    <t>Used for Tax calculation</t>
  </si>
  <si>
    <t>Where:</t>
  </si>
  <si>
    <t>RB = Rate Base</t>
  </si>
  <si>
    <t>CTR = Composite Tax Rate</t>
  </si>
  <si>
    <t>CO = Credits and Other</t>
  </si>
  <si>
    <t>Amortization of Excess Deferred Tax Liability</t>
  </si>
  <si>
    <t>Investment Tax Credit Flowed Through</t>
  </si>
  <si>
    <t>Annual Cost of Capital Components</t>
  </si>
  <si>
    <t>CWIP:</t>
  </si>
  <si>
    <t>Yes</t>
  </si>
  <si>
    <t>ROE adder:</t>
  </si>
  <si>
    <t>No</t>
  </si>
  <si>
    <t>Tehachapi</t>
  </si>
  <si>
    <t>Project</t>
  </si>
  <si>
    <t>1) Rancho Vista</t>
  </si>
  <si>
    <t>2) Tehachapi</t>
  </si>
  <si>
    <t>End-of-Year</t>
  </si>
  <si>
    <t>13-Month</t>
  </si>
  <si>
    <t>Average</t>
  </si>
  <si>
    <t>Notes:</t>
  </si>
  <si>
    <t>Franchise Fee Expense:</t>
  </si>
  <si>
    <t>From</t>
  </si>
  <si>
    <t>To</t>
  </si>
  <si>
    <t>FF Factor</t>
  </si>
  <si>
    <t>U Factor</t>
  </si>
  <si>
    <t>Note:</t>
  </si>
  <si>
    <t>Total Wages and Salaries</t>
  </si>
  <si>
    <t>Less Total A&amp;G Wages and Salaries</t>
  </si>
  <si>
    <t>Transmission W&amp;S Allocation Factor:</t>
  </si>
  <si>
    <t>CWIP Plant</t>
  </si>
  <si>
    <t>a) BOY/EOY Average calculation</t>
  </si>
  <si>
    <t>b) EOY calculation</t>
  </si>
  <si>
    <t>Total Prepayments</t>
  </si>
  <si>
    <t>Working Capital amounts</t>
  </si>
  <si>
    <t>Plant Balances For Incentive Projects Receiving either ROE Incentives ("Transmission Incentive Plant")</t>
  </si>
  <si>
    <t>or CWIP ("CWIP Plant")</t>
  </si>
  <si>
    <t>Input data is shaded yellow</t>
  </si>
  <si>
    <t>A) Summary of Incentive Project plant balances receiving ROE incentives</t>
  </si>
  <si>
    <t>("Transmission Incentive Plant") and/or CWIP ("CWIP Plant") and calculation</t>
  </si>
  <si>
    <t>Portion</t>
  </si>
  <si>
    <t>Depreciation Expense</t>
  </si>
  <si>
    <t>OTHER TAXES</t>
  </si>
  <si>
    <t>Payroll Taxes Expense</t>
  </si>
  <si>
    <t>Cost of Long Term Debt</t>
  </si>
  <si>
    <t>Long Term Debt Cost Percentage</t>
  </si>
  <si>
    <t>Long Term Debt Capital Percentage</t>
  </si>
  <si>
    <t>Preferred Stock Capital Percentage</t>
  </si>
  <si>
    <t>Composite Tax Rate</t>
  </si>
  <si>
    <t>State Income Tax Rate</t>
  </si>
  <si>
    <t>Calculation of Cost of Capital Rate</t>
  </si>
  <si>
    <t>Calculation of Credits and Other:</t>
  </si>
  <si>
    <t>Credits and Other</t>
  </si>
  <si>
    <t>South Georgia Income Tax Adjustment</t>
  </si>
  <si>
    <t>ER = Equity Rate of Return Including Preferred Stock</t>
  </si>
  <si>
    <t>Income Taxes:</t>
  </si>
  <si>
    <t>Component of Prior Year TRR:</t>
  </si>
  <si>
    <t>A&amp;G Expense</t>
  </si>
  <si>
    <t>Prior Year Incentive Adder</t>
  </si>
  <si>
    <t>TOTAL BASE TRANSMISSION REVENUE REQUIREMENT</t>
  </si>
  <si>
    <t>For Retail Purposes</t>
  </si>
  <si>
    <t>Calculation of Long Term Debt Amount</t>
  </si>
  <si>
    <t>Calculation of Cost of Long-Term Debt</t>
  </si>
  <si>
    <t>Calculation of Common Stock Equity Amount</t>
  </si>
  <si>
    <t>Less Amortization of Premium on Debt -- Account 429</t>
  </si>
  <si>
    <t>Forecast Plant Additions:</t>
  </si>
  <si>
    <t>AFCR:</t>
  </si>
  <si>
    <t>1) Calculation of Incremental Return on Equity Factor</t>
  </si>
  <si>
    <t>2) Determination of multiplicative factors for use in calculating Incentive Adders:</t>
  </si>
  <si>
    <t>3) Calculation of Prior Year Incentive Adder (EOY)</t>
  </si>
  <si>
    <t>Multiplicative</t>
  </si>
  <si>
    <t>Adder</t>
  </si>
  <si>
    <t>Working Capital Amounts</t>
  </si>
  <si>
    <t>Accumulated Depreciation Reserve Amounts</t>
  </si>
  <si>
    <t>ER = Equity Rate of Return including Preferred Stock</t>
  </si>
  <si>
    <t>True Up</t>
  </si>
  <si>
    <t>Calculation of Administrative and General Expense</t>
  </si>
  <si>
    <t>Income Tax Rate =</t>
  </si>
  <si>
    <t>Composite State</t>
  </si>
  <si>
    <t>See Note 3</t>
  </si>
  <si>
    <t>MWh</t>
  </si>
  <si>
    <t>FF1 354.28b</t>
  </si>
  <si>
    <t>FF1 354.27b</t>
  </si>
  <si>
    <t>Uncollectibles Expense</t>
  </si>
  <si>
    <t>Franchise Fees Expense</t>
  </si>
  <si>
    <t>Difference</t>
  </si>
  <si>
    <t>(1/(1-CTR))</t>
  </si>
  <si>
    <t>Composite Tax Rate ("CTR")</t>
  </si>
  <si>
    <t>for apportionment factors and state tax rates.</t>
  </si>
  <si>
    <t xml:space="preserve">Determination of amount of Abandoned Plant and Abandoned Plant Amortization Expense </t>
  </si>
  <si>
    <t>Abandoned Plant Amortization Expense</t>
  </si>
  <si>
    <t>Less Account  924:</t>
  </si>
  <si>
    <t>Remaining A&amp;G after exclusions &amp; Results Sharing Adjustment:</t>
  </si>
  <si>
    <t>Property Insurance portion of A&amp;G:</t>
  </si>
  <si>
    <t>Administrative and General Expenses:</t>
  </si>
  <si>
    <t>1/8 (O&amp;M + A&amp;G)</t>
  </si>
  <si>
    <t>The Incremental Return on Equity Factor is the incremental Prior Year TRR expressed per 100 basis points of</t>
  </si>
  <si>
    <t>Incremental</t>
  </si>
  <si>
    <t>of balances needed to determine the following:</t>
  </si>
  <si>
    <t>TIP Net Plant</t>
  </si>
  <si>
    <t>EOY</t>
  </si>
  <si>
    <t xml:space="preserve">Multiplicative factors are used to calculate the Incentive Adders on an Transmission Incentive Project specific basis.  </t>
  </si>
  <si>
    <t>Cells shaded yellow are input cells</t>
  </si>
  <si>
    <t>Wages and Salaries AF:</t>
  </si>
  <si>
    <t>General and Intangible Plant is an allocated portion of Total G&amp;I Plant based on the Trans. W&amp;S Allocation Factor</t>
  </si>
  <si>
    <t>General + Intangible Plant:</t>
  </si>
  <si>
    <t>Distribution</t>
  </si>
  <si>
    <t>Transmission</t>
  </si>
  <si>
    <t>G + I Depreciation Reserve</t>
  </si>
  <si>
    <t>General + Intangible Plant Depreciation Reserve</t>
  </si>
  <si>
    <t>Transmission Wages and Salaries AF:</t>
  </si>
  <si>
    <t>Upon Commission approval of recovery of abandoned plant costs for a specific project or projects, SCE will</t>
  </si>
  <si>
    <t>Abandoned Plant Amortization Expense:</t>
  </si>
  <si>
    <t>Abandoned Plant</t>
  </si>
  <si>
    <t>Abandoned Plant (EOY):</t>
  </si>
  <si>
    <t>Abandoned Plant (BOY/EOY Average):</t>
  </si>
  <si>
    <t>Initially Abandoned Plant Amortization Expense and Abandoned Plant are both zero.</t>
  </si>
  <si>
    <t>complete this worksheet in accordance with that Order.</t>
  </si>
  <si>
    <t>General Plant + Electric Miscellaneous Intangible Plant</t>
  </si>
  <si>
    <t>Incremental Forecast Period TRR</t>
  </si>
  <si>
    <t xml:space="preserve">Line </t>
  </si>
  <si>
    <t>1) Transmission Plant - ISO</t>
  </si>
  <si>
    <t>2) Distribution Plant - ISO</t>
  </si>
  <si>
    <t>Average value:</t>
  </si>
  <si>
    <t>Expense</t>
  </si>
  <si>
    <t>Forecast Gross Load:</t>
  </si>
  <si>
    <t>Sum of above</t>
  </si>
  <si>
    <t>Gross Load WS</t>
  </si>
  <si>
    <t>per kW</t>
  </si>
  <si>
    <t>1) Transmission Depreciation Reserve - ISO</t>
  </si>
  <si>
    <t xml:space="preserve"> </t>
  </si>
  <si>
    <t>Line</t>
  </si>
  <si>
    <t>Income Tax Adjustment to the TRR:</t>
  </si>
  <si>
    <t>Wholesale South Georgia</t>
  </si>
  <si>
    <t>ISO Transmission Wages and Salaries</t>
  </si>
  <si>
    <t>Transmission Plant - ISO</t>
  </si>
  <si>
    <t>Distribution Plant - ISO</t>
  </si>
  <si>
    <t>SCE Retail Sales at ISO Grid level:</t>
  </si>
  <si>
    <t>Pump Load forecast:</t>
  </si>
  <si>
    <t>Forecast 12-CP Load:</t>
  </si>
  <si>
    <t>Line 1 + Line 2</t>
  </si>
  <si>
    <t>1) Tehachapi</t>
  </si>
  <si>
    <t>2) Devers-Colorado River</t>
  </si>
  <si>
    <t>3) Eldorado-Ivanpah</t>
  </si>
  <si>
    <t>1) Forecast Plant Additions * AFCR</t>
  </si>
  <si>
    <t>2) Forecast Period Incremental CWIP * AFCR for CWIP</t>
  </si>
  <si>
    <t>It is calculated on a 13-Month Average Basis during the Rate Effective Period.</t>
  </si>
  <si>
    <t>Devers to</t>
  </si>
  <si>
    <t>Colorado River</t>
  </si>
  <si>
    <t>Ivanpah</t>
  </si>
  <si>
    <t>Eldorado</t>
  </si>
  <si>
    <t>Col 2</t>
  </si>
  <si>
    <t>Col 3</t>
  </si>
  <si>
    <t>Col 4</t>
  </si>
  <si>
    <t>Col 5</t>
  </si>
  <si>
    <t>Col 6</t>
  </si>
  <si>
    <t>Col 7</t>
  </si>
  <si>
    <t>Yellow shaded cells are Input Data</t>
  </si>
  <si>
    <t>2) Calculation of IFP TRR</t>
  </si>
  <si>
    <t>AFCR * Forecast Plant Additions:</t>
  </si>
  <si>
    <t>AFCRCWIP:</t>
  </si>
  <si>
    <t>AFCRCWIP * FP Incremental CWIP:</t>
  </si>
  <si>
    <t>Forecast Period Incremental CWIP:</t>
  </si>
  <si>
    <t>Incremental Forecast Period TRR:</t>
  </si>
  <si>
    <t xml:space="preserve">Transmission Incentive Project plant balances and CWIP Plant may affect the following: </t>
  </si>
  <si>
    <t>Other</t>
  </si>
  <si>
    <t>Gains and Losses on Transmission Plant Held for Future Use -- Land</t>
  </si>
  <si>
    <t>Regulatory Debits</t>
  </si>
  <si>
    <t>Col 1</t>
  </si>
  <si>
    <t>Note 1</t>
  </si>
  <si>
    <t>Note 2</t>
  </si>
  <si>
    <t>Depreciation Expense for Distribution Plant - ISO</t>
  </si>
  <si>
    <t>Other Regulatory Assets/Liabilities</t>
  </si>
  <si>
    <t>where:</t>
  </si>
  <si>
    <t>CSCP = Common Stock Capital Percentage</t>
  </si>
  <si>
    <t>Above formula</t>
  </si>
  <si>
    <t>FF1 117.62c</t>
  </si>
  <si>
    <t>FF1 117.63c</t>
  </si>
  <si>
    <t>FF1 117.64c</t>
  </si>
  <si>
    <t>FF1 117.65c</t>
  </si>
  <si>
    <t>FF1 117.66c</t>
  </si>
  <si>
    <t>FF1 118.29c</t>
  </si>
  <si>
    <t>Unamortized Premium on Long Term Debt -- Account 225</t>
  </si>
  <si>
    <t>Calculation of Composite State Income Tax Rate for the Prior Year:</t>
  </si>
  <si>
    <t xml:space="preserve">The Final True Up Adjustment begins on the month after the last True Up Adjustment and extends through the termination date of </t>
  </si>
  <si>
    <t>this formula transmission rate.</t>
  </si>
  <si>
    <t>The Final True Up Adjustment shall be calculated as above, with interest to the termination date of the Formula Transmission Rate.</t>
  </si>
  <si>
    <t>Add additional lines as appropriate</t>
  </si>
  <si>
    <t>Calculation of SCE Retail Transmission Rates</t>
  </si>
  <si>
    <t>Abandoned</t>
  </si>
  <si>
    <t>Plant</t>
  </si>
  <si>
    <t>Amort.</t>
  </si>
  <si>
    <t xml:space="preserve">Abandoned Plant Amortization Expense for each project represents the annual amortization of abandoned costs </t>
  </si>
  <si>
    <t>that the Order approves as an annual expense.</t>
  </si>
  <si>
    <t>Abandoned Plant for each project represents the amount of costs that the Order approves for inclusion in Rate Base.</t>
  </si>
  <si>
    <t xml:space="preserve">Amount for </t>
  </si>
  <si>
    <t>Instructions:</t>
  </si>
  <si>
    <t>1) Upon Commission approval of recovery of abandoned plant costs for a project:</t>
  </si>
  <si>
    <t>Abandoned Plant (BOY):</t>
  </si>
  <si>
    <t>BOY</t>
  </si>
  <si>
    <t>c) Sum project-specific amounts for each project and enter in lines 1, 2, and 3 for the Prior Year at issue.</t>
  </si>
  <si>
    <t>2) Add additional projects if necessary in same format.</t>
  </si>
  <si>
    <t>Abandoned Plant Amortization Expense amounts in Accordance with the Order.</t>
  </si>
  <si>
    <t>If table can not be filled out completely, fill out at least through the Prior Year at issue.</t>
  </si>
  <si>
    <t>Sum of projects below for PY.</t>
  </si>
  <si>
    <t>1) Enter Franchise Fee and Uncollectibles Factors as approved by the California Public Utilities Commission</t>
  </si>
  <si>
    <t>on the length of time each FF and U factor was in effect during the Prior Year at issue.</t>
  </si>
  <si>
    <t>intended to be placed under the Operational Control of the ISO, plus an allocated amount of any General</t>
  </si>
  <si>
    <t>FF1 page 214</t>
  </si>
  <si>
    <t>End of Year Balance</t>
  </si>
  <si>
    <t>Beginning of Year Balance</t>
  </si>
  <si>
    <t>General Plant Held for Future Use</t>
  </si>
  <si>
    <t>Electric Plant Held for Future Use, with the allocation factor being the Transmission Wages and Salaries AF.</t>
  </si>
  <si>
    <t>1) For any Electric Plant Held for Future Use intended to be placed under the Operational Control of the ISO,</t>
  </si>
  <si>
    <t>Operational Control of the ISO.</t>
  </si>
  <si>
    <t>Plant intended to be placed under the Operational Control of the ISO:</t>
  </si>
  <si>
    <t>All other Electric Plant Held for Future Use not intended to be placed under the Operational Control of the ISO:</t>
  </si>
  <si>
    <t>of Plant</t>
  </si>
  <si>
    <t>Type</t>
  </si>
  <si>
    <t>Portion for Transmission PHFU:</t>
  </si>
  <si>
    <t>Transmission PHFU:</t>
  </si>
  <si>
    <t>Total Electric PHFU</t>
  </si>
  <si>
    <t>Average of BOY and EOY</t>
  </si>
  <si>
    <t>1) Input most recent available Apportionment Factors.</t>
  </si>
  <si>
    <t>Prior</t>
  </si>
  <si>
    <t>Tax Rate ("STR")</t>
  </si>
  <si>
    <t>Income Tax</t>
  </si>
  <si>
    <t>Rate ("CSITR")</t>
  </si>
  <si>
    <t>for the applicable Prior Year</t>
  </si>
  <si>
    <t>Calculation of Income Tax Rates</t>
  </si>
  <si>
    <t>Rate ("FITR")</t>
  </si>
  <si>
    <t>Factors ("AFs")</t>
  </si>
  <si>
    <t>The IFP TRR is equal to the sum of:</t>
  </si>
  <si>
    <t>Determination of Regulatory Assets/Liabilities and Regulatory Debits</t>
  </si>
  <si>
    <t>resulting from the ratemaking actions of regulatory agencies, not includable in other accounts.</t>
  </si>
  <si>
    <t>Other Regulatory Assets/Liabilities are a component of Rate Base representing costs that are created</t>
  </si>
  <si>
    <t>approval received subsequent to an SCE Section 205 filing requesting such treatment.</t>
  </si>
  <si>
    <t xml:space="preserve">SCE shall include a non-zero amount of Other Regulatory Assets/Liabilities only with Commission </t>
  </si>
  <si>
    <t>approved annual recovery of Other Regulatory Assets/Liabilities as an expense item in the Base TRR,</t>
  </si>
  <si>
    <t xml:space="preserve">consistent with a Commission Order.  </t>
  </si>
  <si>
    <t>Regulatory Debits are amounts approved for recovery in this formula transmission rate representing the</t>
  </si>
  <si>
    <t>Regulatory Debits:</t>
  </si>
  <si>
    <t>Other Regulatory Assets/Liabilities (EOY):</t>
  </si>
  <si>
    <t>Description of Issue</t>
  </si>
  <si>
    <t>Resulting in Other Regulatory</t>
  </si>
  <si>
    <t>Asset/Liability</t>
  </si>
  <si>
    <t>Issue #1</t>
  </si>
  <si>
    <t>Issue #2</t>
  </si>
  <si>
    <t>Issue #3</t>
  </si>
  <si>
    <t>Other Reg</t>
  </si>
  <si>
    <t>Regulatory</t>
  </si>
  <si>
    <t>Debit</t>
  </si>
  <si>
    <t>(1)</t>
  </si>
  <si>
    <t>(2)</t>
  </si>
  <si>
    <t>(3)</t>
  </si>
  <si>
    <t>costs through this formula transmission rate:</t>
  </si>
  <si>
    <t>1) Upon Commission approval of recovery of Other Regulatory Assets/Liabilities or Regulatory Debits</t>
  </si>
  <si>
    <t>2) Add additional lines as necessary for additional issues.</t>
  </si>
  <si>
    <t>Total Substation</t>
  </si>
  <si>
    <t>Land</t>
  </si>
  <si>
    <t>Total Substation and Land</t>
  </si>
  <si>
    <t>Lines</t>
  </si>
  <si>
    <t>Total Lines</t>
  </si>
  <si>
    <t>Substation</t>
  </si>
  <si>
    <t>Land:</t>
  </si>
  <si>
    <t>Structures:</t>
  </si>
  <si>
    <t>Total Structures</t>
  </si>
  <si>
    <t>Transmission Plant Study</t>
  </si>
  <si>
    <t>ISO</t>
  </si>
  <si>
    <t>ISO %</t>
  </si>
  <si>
    <t>of Total</t>
  </si>
  <si>
    <t>A) Plant Classified as Transmission in  FERC Form 1:</t>
  </si>
  <si>
    <t>B) Plant Classified as Distribution in  FERC Form 1:</t>
  </si>
  <si>
    <t>Total Transmission</t>
  </si>
  <si>
    <t>Data Source</t>
  </si>
  <si>
    <t>FF1 207.49g</t>
  </si>
  <si>
    <t>FF1 207.50g</t>
  </si>
  <si>
    <t>FF1 207.48g</t>
  </si>
  <si>
    <t>FF1 207.51g</t>
  </si>
  <si>
    <t>FF1 207.52g</t>
  </si>
  <si>
    <t>FF1 207.53g</t>
  </si>
  <si>
    <t>FF1 207.54g</t>
  </si>
  <si>
    <t>FF1 207.55g</t>
  </si>
  <si>
    <t>FF1 207.56g</t>
  </si>
  <si>
    <t>FF1 207.60g</t>
  </si>
  <si>
    <t>FF1 207.61g</t>
  </si>
  <si>
    <t>FF1 207.62g</t>
  </si>
  <si>
    <t>1) Total transmission does not include account 359.1 "Asset Retirement Costs for Transmission Plant"</t>
  </si>
  <si>
    <t>Input cells are shaded yellow</t>
  </si>
  <si>
    <t>less FF1 207.57g (Asset Retirement Costs for Transmission Plant).</t>
  </si>
  <si>
    <t>1) Perform annual Transmission Study pursuant to instructions in tariff.</t>
  </si>
  <si>
    <t>2) Only accounts 360-362 included as there is no ISO plant in any other Distribution accounts.</t>
  </si>
  <si>
    <t>Total on this line is also equal to FF1 207.58g (Total Transmission Plant)</t>
  </si>
  <si>
    <t>Structures</t>
  </si>
  <si>
    <t>Substations:</t>
  </si>
  <si>
    <t>Total Lines and Substations</t>
  </si>
  <si>
    <t>Derivation of High Voltage and Low Voltage Gross Plant Percentages</t>
  </si>
  <si>
    <t>LV Transmission Lines</t>
  </si>
  <si>
    <t>Total ISO</t>
  </si>
  <si>
    <t>Gross Plant</t>
  </si>
  <si>
    <t>HV Land</t>
  </si>
  <si>
    <t>LV Land</t>
  </si>
  <si>
    <t>Transformers</t>
  </si>
  <si>
    <t>Classification of Facility:</t>
  </si>
  <si>
    <t>LV Substations (Less Than 220kV)</t>
  </si>
  <si>
    <t>Straddle Substations (Cross 200 kV boundary):</t>
  </si>
  <si>
    <t>HV Substations (&gt;= 200 kV)</t>
  </si>
  <si>
    <t>Total all Substations</t>
  </si>
  <si>
    <t>Lines:</t>
  </si>
  <si>
    <t>Total  Transmission Lines:</t>
  </si>
  <si>
    <t>Determination of HV and LV Gross Plant Percentages for ISO Transmission Plant in accordance with ISO Tariff Appendix F, Schedule 3, Section 12.</t>
  </si>
  <si>
    <t>Gross Plant That can directly be determined to be HV or LV:</t>
  </si>
  <si>
    <t>Voltage</t>
  </si>
  <si>
    <t>High</t>
  </si>
  <si>
    <t>Low</t>
  </si>
  <si>
    <t>Gross Plant Percentages (Prior Year):</t>
  </si>
  <si>
    <t>Total Determined HV/LV:</t>
  </si>
  <si>
    <t>Straddling Transformers</t>
  </si>
  <si>
    <t>Straddling Transformers split by Gross Plant Percentages</t>
  </si>
  <si>
    <t>From above Line 12</t>
  </si>
  <si>
    <t>Sum of lines 18 and 19</t>
  </si>
  <si>
    <t>Percent of Total</t>
  </si>
  <si>
    <t>Total HV and LV Gross Plant for Prior Year</t>
  </si>
  <si>
    <t>Sum of lines 20 and 23</t>
  </si>
  <si>
    <t>Total HV and LV Gross Plant for REP</t>
  </si>
  <si>
    <t>A) Total ISO Plant from Prior Year</t>
  </si>
  <si>
    <t>B) Gross Plant Percentage for the Rate Effective Period:</t>
  </si>
  <si>
    <t>FERC Form 1</t>
  </si>
  <si>
    <t>Total Amount Excluded</t>
  </si>
  <si>
    <t>Shareholder</t>
  </si>
  <si>
    <t>Franchise</t>
  </si>
  <si>
    <t>Requirements</t>
  </si>
  <si>
    <t>Sharing</t>
  </si>
  <si>
    <t>PBOPs</t>
  </si>
  <si>
    <t>Authorized PBOPs expense amount:</t>
  </si>
  <si>
    <t>Prior Year FF1 PBOPs expense:</t>
  </si>
  <si>
    <t>Note 1: Itemization of exclusions</t>
  </si>
  <si>
    <t>PBOPs Expense Exclusion:</t>
  </si>
  <si>
    <t>Note 3: PBOPs Exclusion Calculation</t>
  </si>
  <si>
    <t>through the Franchise Fees Expense item.</t>
  </si>
  <si>
    <t>See instruction #4</t>
  </si>
  <si>
    <t>1) Summary of True Up Adjustment calculation:</t>
  </si>
  <si>
    <t>4) True Up Adjustment</t>
  </si>
  <si>
    <t>2) Calculate in module 3 the weighted average FF and U factors from the factors in modules 1 and 2 based</t>
  </si>
  <si>
    <t>One Time Adjustments:</t>
  </si>
  <si>
    <t>a) Enter CWIP mechanism final balance in first True Up Adjustment calculation in accordance with tariff protocols.</t>
  </si>
  <si>
    <t>3) Devers to Colorado River</t>
  </si>
  <si>
    <t>IREF =</t>
  </si>
  <si>
    <t>Multiplicative factor for each project is the ratio of its ROE adder to 1%.</t>
  </si>
  <si>
    <t>IREF, the Multiplicative Factor, and the million $ of Prior Year Incentive Rate Base.</t>
  </si>
  <si>
    <t>2) Sum project-specific Incentive Adders to yield the total Prior Year Incentive Adder.</t>
  </si>
  <si>
    <t>Transmission Plant Held for Future Use shall be amounts of Electric Plant Held for Future Use (account 105)</t>
  </si>
  <si>
    <t>Gain or Loss on Transmission Plant Held for Future Use --- Land</t>
  </si>
  <si>
    <t>Calculation of Gain or Loss on Transmission Plant Held for Future Use -- Land</t>
  </si>
  <si>
    <t>2) Input STR for the Prior Year</t>
  </si>
  <si>
    <t>3) FF and U Factors</t>
  </si>
  <si>
    <t>1) Approved Franchise Fee Factor(s)</t>
  </si>
  <si>
    <t>in modules 1 and 2 above.  If approved factors changed during Prior Year, enter both,</t>
  </si>
  <si>
    <t>and note period of time for which each applies in "From" and "To" columns.</t>
  </si>
  <si>
    <t>FF1 263.2 (see note to left)</t>
  </si>
  <si>
    <t>FF1 263 (see note to left)</t>
  </si>
  <si>
    <t>Sum of Column 2 below</t>
  </si>
  <si>
    <t>a) Fill in Description for issue in above table.</t>
  </si>
  <si>
    <t>b) Enter costs in columns 1-3 in above table for the applicable Prior Year.</t>
  </si>
  <si>
    <t>Actual</t>
  </si>
  <si>
    <t>Including previous year True Up Adjustment.</t>
  </si>
  <si>
    <t>First Project:</t>
  </si>
  <si>
    <t>Fill in Name</t>
  </si>
  <si>
    <t>…</t>
  </si>
  <si>
    <t>2nd Project:</t>
  </si>
  <si>
    <t>3rd Project:</t>
  </si>
  <si>
    <t>(BOY value is EOY value from previous year)</t>
  </si>
  <si>
    <t>3) Add additional years past 2035 if necessary.</t>
  </si>
  <si>
    <t>b) Fill in the table with annual End of Year ("EOY") Abandoned Plant and</t>
  </si>
  <si>
    <t>2a</t>
  </si>
  <si>
    <t>2b</t>
  </si>
  <si>
    <t>2c</t>
  </si>
  <si>
    <t>2d</t>
  </si>
  <si>
    <t>2e</t>
  </si>
  <si>
    <t>2f</t>
  </si>
  <si>
    <t>2g</t>
  </si>
  <si>
    <t>2h</t>
  </si>
  <si>
    <t>BOY amount will be EOY value from previous year FERC Form 1, EOY amount will be in current year FF1.</t>
  </si>
  <si>
    <t>Sum of above lines</t>
  </si>
  <si>
    <t>Generation</t>
  </si>
  <si>
    <t>Public</t>
  </si>
  <si>
    <t>Purpose</t>
  </si>
  <si>
    <t>Retail Base</t>
  </si>
  <si>
    <t>"Total Sales to Ultimate Consumers" from FERC Form 1 Page 300, Line 10, Column b:</t>
  </si>
  <si>
    <t>See Note 6</t>
  </si>
  <si>
    <t>See Note 7</t>
  </si>
  <si>
    <t xml:space="preserve">a) Transmission Revenue Balancing Account Adjustment revenue </t>
  </si>
  <si>
    <t>b) Transmission Access Charge Balancing Account Adjustment</t>
  </si>
  <si>
    <t>c) Reliability Services Revenue</t>
  </si>
  <si>
    <t>= C2 - C3 + C 4</t>
  </si>
  <si>
    <t>Any other Base Transmission Revenue or refunds  is included in "Other".</t>
  </si>
  <si>
    <t>Sum of left</t>
  </si>
  <si>
    <t>1) If additional projects receive ROE adders, add to end of lists, and include in calculation</t>
  </si>
  <si>
    <t>of each Incentive Adder.</t>
  </si>
  <si>
    <t xml:space="preserve">Prior </t>
  </si>
  <si>
    <t>Rancho</t>
  </si>
  <si>
    <t>Vista</t>
  </si>
  <si>
    <t xml:space="preserve">Total TIP </t>
  </si>
  <si>
    <t xml:space="preserve">Net Plant </t>
  </si>
  <si>
    <t xml:space="preserve">Prior Year CWIP and Forecast Period Incremental CWIP by Project </t>
  </si>
  <si>
    <t>Col 8</t>
  </si>
  <si>
    <t>Total CWIP</t>
  </si>
  <si>
    <t>13 Month Averages:</t>
  </si>
  <si>
    <t>to include CWIP in Rate Base.</t>
  </si>
  <si>
    <t>Lugo-Pisgah/</t>
  </si>
  <si>
    <t>Red Bluff</t>
  </si>
  <si>
    <t>3) Devers-Colorado R</t>
  </si>
  <si>
    <t>columns</t>
  </si>
  <si>
    <t>or Other</t>
  </si>
  <si>
    <t>Exclusions</t>
  </si>
  <si>
    <t>The Prior Year TRR is calculated using End-of-Year Rate Base values, as set forth in the "BaseTRR" Worksheet.</t>
  </si>
  <si>
    <t>2) The Incremental Forecast Period TRR is the component of Base TRR associated with forecast additions to in-service</t>
  </si>
  <si>
    <t>plant or CWIP, as set forth in the "IFPTRR" Worksheet.</t>
  </si>
  <si>
    <t>These components represent the following costs that SCE incurs:</t>
  </si>
  <si>
    <t>the municipality.</t>
  </si>
  <si>
    <t xml:space="preserve">1) Franchise Fees represent payments that SCE makes to municipal entities for the right to locate facilities within </t>
  </si>
  <si>
    <t>FF1 227.12c</t>
  </si>
  <si>
    <t>FF1 227.12b</t>
  </si>
  <si>
    <t xml:space="preserve">Materials and Supplies is the amount of  total Account 154 Materials and Supplies </t>
  </si>
  <si>
    <t>times the Transmission Wages and Salaries AF</t>
  </si>
  <si>
    <t>Average BOY/EOY Value Account 154: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</si>
  <si>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</si>
  <si>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</si>
  <si>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</si>
  <si>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</si>
  <si>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</si>
  <si>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</si>
  <si>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</si>
  <si>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</si>
  <si>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</si>
  <si>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</si>
  <si>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</si>
  <si>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</si>
  <si>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</si>
  <si>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</si>
  <si>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Traditional OOR</t>
  </si>
  <si>
    <t>GRSM</t>
  </si>
  <si>
    <t>Other Ratemaking</t>
  </si>
  <si>
    <t>FERC ACCT</t>
  </si>
  <si>
    <t>ACCT</t>
  </si>
  <si>
    <t>ACCT DESCRIPTION</t>
  </si>
  <si>
    <t>DOLLARS</t>
  </si>
  <si>
    <t>Category</t>
  </si>
  <si>
    <t>Non-ISO</t>
  </si>
  <si>
    <t>A/P</t>
  </si>
  <si>
    <t>Threshold [10]</t>
  </si>
  <si>
    <t>1a</t>
  </si>
  <si>
    <t>4191110</t>
  </si>
  <si>
    <t>1b</t>
  </si>
  <si>
    <t>4191115</t>
  </si>
  <si>
    <t>Residential Late Payment</t>
  </si>
  <si>
    <t>1c</t>
  </si>
  <si>
    <t>4191120</t>
  </si>
  <si>
    <t>Non-Residential Late Payment</t>
  </si>
  <si>
    <t>450 Total</t>
  </si>
  <si>
    <t>4a</t>
  </si>
  <si>
    <t>4182110</t>
  </si>
  <si>
    <t>Recover Unauthorized Use/Non-Energy</t>
  </si>
  <si>
    <t>4b</t>
  </si>
  <si>
    <t>4182115</t>
  </si>
  <si>
    <t>Miscellaneous Service Revenue - Ownership Cost</t>
  </si>
  <si>
    <t>4c</t>
  </si>
  <si>
    <t>4192110</t>
  </si>
  <si>
    <t>Miscellaneous Service Revenues</t>
  </si>
  <si>
    <t>4d</t>
  </si>
  <si>
    <t>4192115</t>
  </si>
  <si>
    <t>Returned Check Charges</t>
  </si>
  <si>
    <t>4e</t>
  </si>
  <si>
    <t>4192125</t>
  </si>
  <si>
    <t>Service Reconnection Charges</t>
  </si>
  <si>
    <t>4f</t>
  </si>
  <si>
    <t>4192130</t>
  </si>
  <si>
    <t>Service Establishment Charge</t>
  </si>
  <si>
    <t>4g</t>
  </si>
  <si>
    <t>4192140</t>
  </si>
  <si>
    <t>Field Collection Charges</t>
  </si>
  <si>
    <t>4h</t>
  </si>
  <si>
    <t>4192510</t>
  </si>
  <si>
    <t>Quickcheck Revenue</t>
  </si>
  <si>
    <t>P</t>
  </si>
  <si>
    <t>4i</t>
  </si>
  <si>
    <t>4192910</t>
  </si>
  <si>
    <t>PUC Reimbursement Fee-Elect</t>
  </si>
  <si>
    <t>451 Total</t>
  </si>
  <si>
    <t>7a</t>
  </si>
  <si>
    <t>7b</t>
  </si>
  <si>
    <t>7c</t>
  </si>
  <si>
    <t>4183110</t>
  </si>
  <si>
    <t>Sales of Water &amp; Water Power - San Joaquin</t>
  </si>
  <si>
    <t>4183115</t>
  </si>
  <si>
    <t>Sales of Water &amp; Water Power - Headwater</t>
  </si>
  <si>
    <t>453 Total</t>
  </si>
  <si>
    <t>10a</t>
  </si>
  <si>
    <t>10b</t>
  </si>
  <si>
    <t>10c</t>
  </si>
  <si>
    <t>10d</t>
  </si>
  <si>
    <t>4184110</t>
  </si>
  <si>
    <t>Joint Pole - Tariffed Conduit Rental</t>
  </si>
  <si>
    <t>10e</t>
  </si>
  <si>
    <t>4184112</t>
  </si>
  <si>
    <t>Joint Pole - Tariffed Pole Rental - Cable Cos.</t>
  </si>
  <si>
    <t>10f</t>
  </si>
  <si>
    <t>4184114</t>
  </si>
  <si>
    <t>Joint Pole - Tariffed Process &amp; Eng Fees - Cable</t>
  </si>
  <si>
    <t>10g</t>
  </si>
  <si>
    <t>4184116</t>
  </si>
  <si>
    <t>Joint Pole - Tariffed Process &amp; Eng Fees - Conduit</t>
  </si>
  <si>
    <t>10h</t>
  </si>
  <si>
    <t>4184118</t>
  </si>
  <si>
    <t>Joint Pole - Pl Attchmnt Audit - Undoc P&amp;E Fee</t>
  </si>
  <si>
    <t>10i</t>
  </si>
  <si>
    <t>4184510</t>
  </si>
  <si>
    <t>Joint Pole - Non-Tariffed Pole Rental</t>
  </si>
  <si>
    <t>10j</t>
  </si>
  <si>
    <t>4184512</t>
  </si>
  <si>
    <t>Joint Pole - Non-Tariff Process &amp; Engineering Fees</t>
  </si>
  <si>
    <t>10k</t>
  </si>
  <si>
    <t>4184514</t>
  </si>
  <si>
    <t>Joint Pole - Non-Tariff Requests for Information</t>
  </si>
  <si>
    <t>10l</t>
  </si>
  <si>
    <t>4184516</t>
  </si>
  <si>
    <t>Oil And Gas Royalties</t>
  </si>
  <si>
    <t>10m</t>
  </si>
  <si>
    <t>4184518</t>
  </si>
  <si>
    <t>10n</t>
  </si>
  <si>
    <t>4184810</t>
  </si>
  <si>
    <t>Facility Cost -EIX/Nonutility</t>
  </si>
  <si>
    <t>6, 12</t>
  </si>
  <si>
    <t>10o</t>
  </si>
  <si>
    <t>4184815</t>
  </si>
  <si>
    <t>Facility Cost- Utility</t>
  </si>
  <si>
    <t>10p</t>
  </si>
  <si>
    <t>4184820</t>
  </si>
  <si>
    <t>Rent Billed to Non-Utility Affiliates</t>
  </si>
  <si>
    <t>10q</t>
  </si>
  <si>
    <t>4184825</t>
  </si>
  <si>
    <t>Rent Billed to Utility Affiliates</t>
  </si>
  <si>
    <t>10r</t>
  </si>
  <si>
    <t>4194110</t>
  </si>
  <si>
    <t>Meter Leasing Revenue</t>
  </si>
  <si>
    <t>10s</t>
  </si>
  <si>
    <t>4194115</t>
  </si>
  <si>
    <t>Company Financed Added Facilities</t>
  </si>
  <si>
    <t>10t</t>
  </si>
  <si>
    <t>4194120</t>
  </si>
  <si>
    <t>Company Financed Interconnect Facilities</t>
  </si>
  <si>
    <t>10u</t>
  </si>
  <si>
    <t>4194130</t>
  </si>
  <si>
    <t>SCE Financed Added Faclty</t>
  </si>
  <si>
    <t>10v</t>
  </si>
  <si>
    <t>4194135</t>
  </si>
  <si>
    <t>Interconnect Facility Finance Charge</t>
  </si>
  <si>
    <t>10w</t>
  </si>
  <si>
    <t>4204515</t>
  </si>
  <si>
    <t>Operating Land &amp; Facilities Rent Revenue</t>
  </si>
  <si>
    <t>4867020</t>
  </si>
  <si>
    <t>Nonoperating Misc Land &amp; Facilities Rent</t>
  </si>
  <si>
    <t>454 Total</t>
  </si>
  <si>
    <t>12a</t>
  </si>
  <si>
    <t>12b</t>
  </si>
  <si>
    <t>12c</t>
  </si>
  <si>
    <t>12d</t>
  </si>
  <si>
    <t>4186114</t>
  </si>
  <si>
    <t>Energy Related Services</t>
  </si>
  <si>
    <t>4186118</t>
  </si>
  <si>
    <t>Distribution Miscellaneous Electric Revenues</t>
  </si>
  <si>
    <t>4186120</t>
  </si>
  <si>
    <t>Added Facilities - One Time Charge</t>
  </si>
  <si>
    <t>12e</t>
  </si>
  <si>
    <t>4186122</t>
  </si>
  <si>
    <t>Building Rental - Nev Power/Mohave Cr</t>
  </si>
  <si>
    <t>12f</t>
  </si>
  <si>
    <t>4186126</t>
  </si>
  <si>
    <t>Service Fee - Optimal Bill Prd</t>
  </si>
  <si>
    <t>12g</t>
  </si>
  <si>
    <t>4186128</t>
  </si>
  <si>
    <t>Miscellaneous Revenues</t>
  </si>
  <si>
    <t>12h</t>
  </si>
  <si>
    <t>4186130</t>
  </si>
  <si>
    <t>Tule Power Plant - Revenue</t>
  </si>
  <si>
    <t>12i</t>
  </si>
  <si>
    <t>4186150</t>
  </si>
  <si>
    <t>Utility Subs Labor Markup</t>
  </si>
  <si>
    <t>12j</t>
  </si>
  <si>
    <t>4186155</t>
  </si>
  <si>
    <t>Non Utility Subs Labor Markup</t>
  </si>
  <si>
    <t>12k</t>
  </si>
  <si>
    <t>4186162</t>
  </si>
  <si>
    <t>Reliant Eng FSA Ann Pymnt-Mandalay</t>
  </si>
  <si>
    <t>12l</t>
  </si>
  <si>
    <t>4186164</t>
  </si>
  <si>
    <t>Reliant Eng FSA Ann Pymnt-Ormond Beach</t>
  </si>
  <si>
    <t>12m</t>
  </si>
  <si>
    <t>4186166</t>
  </si>
  <si>
    <t>Reliant Eng FSA Ann Pymnt-Etiwanda</t>
  </si>
  <si>
    <t>12n</t>
  </si>
  <si>
    <t>4186168</t>
  </si>
  <si>
    <t>Reliant Eng FSA Ann Pymnt-Ellwood</t>
  </si>
  <si>
    <t>12o</t>
  </si>
  <si>
    <t>4186170</t>
  </si>
  <si>
    <t>Reliant Eng FSA Ann Pymnt-Coolwater</t>
  </si>
  <si>
    <t>12p</t>
  </si>
  <si>
    <t>4186194</t>
  </si>
  <si>
    <t>Property License Fee revenue</t>
  </si>
  <si>
    <t>12q</t>
  </si>
  <si>
    <t>4186512</t>
  </si>
  <si>
    <t>Revenue From Recreation, Fish &amp; Wildlife</t>
  </si>
  <si>
    <t>12r</t>
  </si>
  <si>
    <t>4186514</t>
  </si>
  <si>
    <t>Mapping Services</t>
  </si>
  <si>
    <t>12s</t>
  </si>
  <si>
    <t>4186518</t>
  </si>
  <si>
    <t>Enhanced Pump Test Revenue</t>
  </si>
  <si>
    <t>12t</t>
  </si>
  <si>
    <t>4186520</t>
  </si>
  <si>
    <t>RTTC Revenue</t>
  </si>
  <si>
    <t>12u</t>
  </si>
  <si>
    <t>4186524</t>
  </si>
  <si>
    <t>Revenue From Scrap Paper - General Office</t>
  </si>
  <si>
    <t>12v</t>
  </si>
  <si>
    <t>4186528</t>
  </si>
  <si>
    <t>CTAC Revenues</t>
  </si>
  <si>
    <t>12w</t>
  </si>
  <si>
    <t>4186530</t>
  </si>
  <si>
    <t>AGTAC Revenues</t>
  </si>
  <si>
    <t>12x</t>
  </si>
  <si>
    <t>Other Inc/erd Party DC-ESM</t>
  </si>
  <si>
    <t>12y</t>
  </si>
  <si>
    <t>3rd Party-Div Tmg-Cr PPD training</t>
  </si>
  <si>
    <t>12z</t>
  </si>
  <si>
    <t>4186716</t>
  </si>
  <si>
    <t>ADT Vendor Service Revenue</t>
  </si>
  <si>
    <t>12aa</t>
  </si>
  <si>
    <t>4186718</t>
  </si>
  <si>
    <t>Read Water Meters - Irvine Ranch</t>
  </si>
  <si>
    <t>12bb</t>
  </si>
  <si>
    <t>4186720</t>
  </si>
  <si>
    <t>Read Water Meters - Rancho California</t>
  </si>
  <si>
    <t>12cc</t>
  </si>
  <si>
    <t>4186722</t>
  </si>
  <si>
    <t>Read Water Meters - Long Beach</t>
  </si>
  <si>
    <t>12dd</t>
  </si>
  <si>
    <t>4186730</t>
  </si>
  <si>
    <t>SSID Transformer Repair Services Revenue</t>
  </si>
  <si>
    <t>12ee</t>
  </si>
  <si>
    <t>4186815</t>
  </si>
  <si>
    <t>Employee Transfer/Affiliate Fee</t>
  </si>
  <si>
    <t>12ff</t>
  </si>
  <si>
    <t>4186910</t>
  </si>
  <si>
    <t>ITCC/CIAC Revenues</t>
  </si>
  <si>
    <t>12gg</t>
  </si>
  <si>
    <t>4186912</t>
  </si>
  <si>
    <t>Revenue From Decomission Trust Fund</t>
  </si>
  <si>
    <t>12hh</t>
  </si>
  <si>
    <t>4186914</t>
  </si>
  <si>
    <t>Revenue From Decomissioning Trust FAS115</t>
  </si>
  <si>
    <t>12ii</t>
  </si>
  <si>
    <t>4186916</t>
  </si>
  <si>
    <t>Offset to Revenue from NDT Earnings/Realized</t>
  </si>
  <si>
    <t>12jj</t>
  </si>
  <si>
    <t>4186918</t>
  </si>
  <si>
    <t>Offset to Revenue from FAS 115 FMV</t>
  </si>
  <si>
    <t>12kk</t>
  </si>
  <si>
    <t>4186920</t>
  </si>
  <si>
    <t>Revenue From Decomissioning Trust FAS115-1</t>
  </si>
  <si>
    <t>12ll</t>
  </si>
  <si>
    <t>4186922</t>
  </si>
  <si>
    <t>Offset to Revenue from FAS 115-1 Gains &amp; Loss</t>
  </si>
  <si>
    <t>12mm</t>
  </si>
  <si>
    <t>4188712</t>
  </si>
  <si>
    <t>Power Supply Installations - IMS</t>
  </si>
  <si>
    <t>12nn</t>
  </si>
  <si>
    <t>4188714</t>
  </si>
  <si>
    <t>Consulting Fees - IMS</t>
  </si>
  <si>
    <t>12oo</t>
  </si>
  <si>
    <t>4188818</t>
  </si>
  <si>
    <t>FTR Auction Revenue</t>
  </si>
  <si>
    <t>12pp</t>
  </si>
  <si>
    <t>4196105</t>
  </si>
  <si>
    <t>DA Revenue</t>
  </si>
  <si>
    <t>12qq</t>
  </si>
  <si>
    <t>4196154</t>
  </si>
  <si>
    <t>Direct Access Monthly Customer Charges</t>
  </si>
  <si>
    <t>12rr</t>
  </si>
  <si>
    <t>4196158</t>
  </si>
  <si>
    <t>EDBL Customer Finance Added Facilities</t>
  </si>
  <si>
    <t>12ss</t>
  </si>
  <si>
    <t>4196162</t>
  </si>
  <si>
    <t>SCE Energy Manager Fee Based Services</t>
  </si>
  <si>
    <t>12tt</t>
  </si>
  <si>
    <t>4196166</t>
  </si>
  <si>
    <t>SCE Energy Manager Fee Based Services Adj</t>
  </si>
  <si>
    <t>12uu</t>
  </si>
  <si>
    <t>4196172</t>
  </si>
  <si>
    <t>Off Grid Photo Voltaic Revenues</t>
  </si>
  <si>
    <t>12vv</t>
  </si>
  <si>
    <t>4196174</t>
  </si>
  <si>
    <t>Scheduling/Dispatch Revenues</t>
  </si>
  <si>
    <t>12ww</t>
  </si>
  <si>
    <t>4196176</t>
  </si>
  <si>
    <t>Interconnect Facilities Charges-Customer Financed</t>
  </si>
  <si>
    <t>12xx</t>
  </si>
  <si>
    <t>4196178</t>
  </si>
  <si>
    <t>Interconnect Facilities Charges - SCE Financed</t>
  </si>
  <si>
    <t>12yy</t>
  </si>
  <si>
    <t>4196184</t>
  </si>
  <si>
    <t>DMS Service Fees</t>
  </si>
  <si>
    <t>12zz</t>
  </si>
  <si>
    <t>4196188</t>
  </si>
  <si>
    <t>CCA - Information Fees</t>
  </si>
  <si>
    <t>4206515</t>
  </si>
  <si>
    <t>Operating Miscellaneous Land &amp; Facilitie</t>
  </si>
  <si>
    <t>456 Total</t>
  </si>
  <si>
    <t>15a</t>
  </si>
  <si>
    <t>4188112</t>
  </si>
  <si>
    <t>Trans of Elec of Others - Pasadena</t>
  </si>
  <si>
    <t>15b</t>
  </si>
  <si>
    <t>4188114</t>
  </si>
  <si>
    <t>FTS PPU/Non-ISO</t>
  </si>
  <si>
    <t>15c</t>
  </si>
  <si>
    <t>4188116</t>
  </si>
  <si>
    <t>FTS Non-PPU/Non-ISO</t>
  </si>
  <si>
    <t>15d</t>
  </si>
  <si>
    <t>4188812</t>
  </si>
  <si>
    <t>ISO-Wheeling Revenue - Low Voltage</t>
  </si>
  <si>
    <t>15e</t>
  </si>
  <si>
    <t>4188814</t>
  </si>
  <si>
    <t>ISO-Wheeling Revenue - High Voltage</t>
  </si>
  <si>
    <t>15f</t>
  </si>
  <si>
    <t>4188816</t>
  </si>
  <si>
    <t>ISO-Congestion Revenue</t>
  </si>
  <si>
    <t>15g</t>
  </si>
  <si>
    <t>4198110</t>
  </si>
  <si>
    <t>Transmission of Elec of Others</t>
  </si>
  <si>
    <t>15h</t>
  </si>
  <si>
    <t>4198112</t>
  </si>
  <si>
    <t>WDAT</t>
  </si>
  <si>
    <t>15i</t>
  </si>
  <si>
    <t>4198114</t>
  </si>
  <si>
    <t>Radial Line Rev-Base Cost - Reliant Coolwater</t>
  </si>
  <si>
    <t>15j</t>
  </si>
  <si>
    <t>4198115</t>
  </si>
  <si>
    <t>High Voltage Trans Access Rev (Existing Contracts)</t>
  </si>
  <si>
    <t>15k</t>
  </si>
  <si>
    <t>4198116</t>
  </si>
  <si>
    <t>Radial Line Rev-Base Cost - Reliant Ormond Beach</t>
  </si>
  <si>
    <t>15l</t>
  </si>
  <si>
    <t>4198118</t>
  </si>
  <si>
    <t>Radial Line Rev-O&amp;M - AES Huntington Beach</t>
  </si>
  <si>
    <t>15m</t>
  </si>
  <si>
    <t>4198120</t>
  </si>
  <si>
    <t>Radial Line Rev-O&amp;M - Reliant Mandalay</t>
  </si>
  <si>
    <t>15n</t>
  </si>
  <si>
    <t>4198122</t>
  </si>
  <si>
    <t>Radial Line Rev-O&amp;M - Reliant Coolwater</t>
  </si>
  <si>
    <t>15o</t>
  </si>
  <si>
    <t>4198124</t>
  </si>
  <si>
    <t>Radial Line Rev-O&amp;M - Ormond Beach</t>
  </si>
  <si>
    <t>15p</t>
  </si>
  <si>
    <t>4198126</t>
  </si>
  <si>
    <t>High Desert Tie-Line Rental Rev</t>
  </si>
  <si>
    <t>15q</t>
  </si>
  <si>
    <t>4198128</t>
  </si>
  <si>
    <t>Scheduling/Dispatch Revenues (CSS)</t>
  </si>
  <si>
    <t>15r</t>
  </si>
  <si>
    <t>4198130</t>
  </si>
  <si>
    <t>Inland Empire CRT Tie-Line EX</t>
  </si>
  <si>
    <t>15s</t>
  </si>
  <si>
    <t>4198910</t>
  </si>
  <si>
    <t>Reliability Service Revenue - Non-PTO's</t>
  </si>
  <si>
    <t>456.1 Total</t>
  </si>
  <si>
    <t>18a</t>
  </si>
  <si>
    <t>457.1 Total</t>
  </si>
  <si>
    <t>21a</t>
  </si>
  <si>
    <t>457.2 Total</t>
  </si>
  <si>
    <t>Edison Carrier Solutions (ECS)</t>
  </si>
  <si>
    <t>24a</t>
  </si>
  <si>
    <t>ECS - Pass Pole Attachments</t>
  </si>
  <si>
    <t>24b</t>
  </si>
  <si>
    <t>ECS - Distribution Facilities</t>
  </si>
  <si>
    <t>24c</t>
  </si>
  <si>
    <t>ECS - Dark Fiber</t>
  </si>
  <si>
    <t>24d</t>
  </si>
  <si>
    <t>ECS - SCE Net Fiber</t>
  </si>
  <si>
    <t>24e</t>
  </si>
  <si>
    <t>ECS - Transmission Right of Way</t>
  </si>
  <si>
    <t>24f</t>
  </si>
  <si>
    <t>ECS - Wholesale FCC</t>
  </si>
  <si>
    <t>24g</t>
  </si>
  <si>
    <t>ECS - Infrstructure Leasing</t>
  </si>
  <si>
    <t>24h</t>
  </si>
  <si>
    <t>ECS - EU FCC Rev</t>
  </si>
  <si>
    <t>24i</t>
  </si>
  <si>
    <t>ECS - Cell Site Rent and Use (Active)</t>
  </si>
  <si>
    <t>24j</t>
  </si>
  <si>
    <t>ECS - Cell Site Reimbursable (Active)</t>
  </si>
  <si>
    <t>24k</t>
  </si>
  <si>
    <t>ECS - Communication Sites</t>
  </si>
  <si>
    <t>24l</t>
  </si>
  <si>
    <t>ECS - Cell Site Rent and Use (Passive)</t>
  </si>
  <si>
    <t>24m</t>
  </si>
  <si>
    <t>ECS - Cell Site Reimbursable (Passive)</t>
  </si>
  <si>
    <t>24n</t>
  </si>
  <si>
    <t>ECS - Micro Cell</t>
  </si>
  <si>
    <t>24o</t>
  </si>
  <si>
    <t>ECS - End User Universal Service Fund Fee</t>
  </si>
  <si>
    <t>417 ECS Total</t>
  </si>
  <si>
    <t>417 Other</t>
  </si>
  <si>
    <t>Subsidiaries</t>
  </si>
  <si>
    <t>28a</t>
  </si>
  <si>
    <t>ESI (Gross Revenues - Active)</t>
  </si>
  <si>
    <t>2,9</t>
  </si>
  <si>
    <t>28b</t>
  </si>
  <si>
    <t>ESI (Gross Revenues - Passive)</t>
  </si>
  <si>
    <t>28c</t>
  </si>
  <si>
    <t>Mono Power Company</t>
  </si>
  <si>
    <t>12, 13</t>
  </si>
  <si>
    <t>28d</t>
  </si>
  <si>
    <t>SCE Capital Company</t>
  </si>
  <si>
    <t>12, 14</t>
  </si>
  <si>
    <t>418.1 Subsidiaries Total</t>
  </si>
  <si>
    <t>418.1 Other</t>
  </si>
  <si>
    <t>Totals</t>
  </si>
  <si>
    <t>Ratepayers' Share of Threshold Revenue</t>
  </si>
  <si>
    <t>= Line 32K</t>
  </si>
  <si>
    <t>ISO Ratepayers' Share of Threshold Revenue (%)</t>
  </si>
  <si>
    <t>see Note 11</t>
  </si>
  <si>
    <t xml:space="preserve">ISO Ratepayers' Share of Threshold Revenue </t>
  </si>
  <si>
    <t>= Line 33D * Line 34D</t>
  </si>
  <si>
    <t>Total Active Incremental Revenue</t>
  </si>
  <si>
    <t>= Sum Active categories in column L</t>
  </si>
  <si>
    <t>Ratepayers' Share of Active Incremental Revenue</t>
  </si>
  <si>
    <t>= Line 37D * 10%</t>
  </si>
  <si>
    <t>Total Passive Incremental Revenue</t>
  </si>
  <si>
    <t>= Sum Passive categories in column L</t>
  </si>
  <si>
    <t>Ratepayers' Share of Passive Incremental Revenue</t>
  </si>
  <si>
    <t>= Line 39D * 30%</t>
  </si>
  <si>
    <t>Total Ratepayers' Share of Incremental Revenue</t>
  </si>
  <si>
    <t>= Line 38D + Line 40D</t>
  </si>
  <si>
    <t>ISO Ratepayers' Share of Incremental Revenue (%)</t>
  </si>
  <si>
    <t xml:space="preserve">ISO Ratepayers' Share of Incremental Revenue </t>
  </si>
  <si>
    <t>= Line 41D * Line 42D</t>
  </si>
  <si>
    <t>Total ISO Ratepayers' Share of NTP&amp;S Gross Revenue</t>
  </si>
  <si>
    <t>= Line 35D * Line 43D</t>
  </si>
  <si>
    <t>1-</t>
  </si>
  <si>
    <t>2-</t>
  </si>
  <si>
    <t>3-</t>
  </si>
  <si>
    <t>Generation related.</t>
  </si>
  <si>
    <t>4-</t>
  </si>
  <si>
    <t>5-</t>
  </si>
  <si>
    <t>ISO transmission system related.</t>
  </si>
  <si>
    <t>6-</t>
  </si>
  <si>
    <t>Subject to balancing account treatment</t>
  </si>
  <si>
    <t>7-</t>
  </si>
  <si>
    <t>Allocated based on the currently approved CPUC GRC allocator.</t>
  </si>
  <si>
    <t>ISO Allocator =</t>
  </si>
  <si>
    <t>8-</t>
  </si>
  <si>
    <t xml:space="preserve">ISO portion of Traditional OOR relates to monthly revenues received from customers for facilities that are part of the ISO network.  </t>
  </si>
  <si>
    <t>9-</t>
  </si>
  <si>
    <t>Edison ESI is a subsidiary company.  Gross revenues are not reported in FF-1, only net earnings.  Net Earnings for ESI are reported on Acct 418.1, pg 225.5e.</t>
  </si>
  <si>
    <t>10-</t>
  </si>
  <si>
    <t>The first $16,671,389 million in gross revenues generated by GRSM activities are automatically classified as Threshold Revenue.</t>
  </si>
  <si>
    <t>11-</t>
  </si>
  <si>
    <t>Allocator is equal to the jurisdictional split of the Threshold Revenue, which is jurisdictionalized as $5.425M to FERC ratepayers and $11.246M to CPUC ratepayers per the 2009 CPUC General Rate Case.  The ISO ratepayers' share of ratepayer revenue is $5.425M/$16.671M = 32.54%.</t>
  </si>
  <si>
    <t>12-</t>
  </si>
  <si>
    <t>Allocated based on the currently approved CPUC Base Revenue Requirement Balancing Account (BRRBA) allocator.  ISO portion of revenue is treated as Traditional OOR.</t>
  </si>
  <si>
    <t>13-</t>
  </si>
  <si>
    <t>Mono Power Company is a subsidiary company.  Net Earnings are reported on Acct 418.1, pg 225.11e</t>
  </si>
  <si>
    <t>14-</t>
  </si>
  <si>
    <t>SCE Capital Company is a subsidiary company.  Net Earnings are reported on Acct 418.1, pg 225.23e</t>
  </si>
  <si>
    <t>Gains and Losses on Trans. Plant Held for Future Use -- Land</t>
  </si>
  <si>
    <t>Total Revenue Credits:</t>
  </si>
  <si>
    <t>Sum of Column D, Line 44 and Column G, Line 32</t>
  </si>
  <si>
    <t>Prior Year CWIP is the amount of Construction Work In Progress for projects that have received Commission approval</t>
  </si>
  <si>
    <t>Col 9</t>
  </si>
  <si>
    <t>Calculations:</t>
  </si>
  <si>
    <t>See Note 4</t>
  </si>
  <si>
    <t>See Note 5</t>
  </si>
  <si>
    <t>=C7 + C8</t>
  </si>
  <si>
    <t>Previous</t>
  </si>
  <si>
    <t>wo Interest</t>
  </si>
  <si>
    <t>TRR</t>
  </si>
  <si>
    <t>with Interest</t>
  </si>
  <si>
    <t>3) Amortization of September balance over Rate Effective Period:</t>
  </si>
  <si>
    <t>Beginning</t>
  </si>
  <si>
    <t>Ending</t>
  </si>
  <si>
    <t>Balance</t>
  </si>
  <si>
    <t>5) Final True Up Adjustment</t>
  </si>
  <si>
    <t>3) Enter monthly interest rates in accordance with interest rate specified in the regulations of FERC at</t>
  </si>
  <si>
    <t>d) Any Base Transmission Revenue not attributable to this formula.</t>
  </si>
  <si>
    <t>1) Depreciation Expense for Transmission Plant - ISO</t>
  </si>
  <si>
    <t>Col 10</t>
  </si>
  <si>
    <t>Account:</t>
  </si>
  <si>
    <t>1) Calculation of Depreciation Expense for Transmission Plant - ISO</t>
  </si>
  <si>
    <t>Col 11</t>
  </si>
  <si>
    <t>Monthly Depreciation Expense for Transmission Plant - ISO by FERC Account:</t>
  </si>
  <si>
    <t>Balances for Transmission Plant - ISO during the Prior Year, including December of previous year:</t>
  </si>
  <si>
    <t>Total Annual Depreciation Expense for Transmission Plant - ISO:</t>
  </si>
  <si>
    <t>(equals sum of monthly amounts)</t>
  </si>
  <si>
    <t>Total General Plant Depreciation Expense</t>
  </si>
  <si>
    <t>Total Intangible Plant Depreciation Expense</t>
  </si>
  <si>
    <t>FF1 336.10f</t>
  </si>
  <si>
    <t>FF1 336.1f</t>
  </si>
  <si>
    <t>Sum of Total General and Total Intangible Depreciation Expense</t>
  </si>
  <si>
    <t>General and Intangible Depreciation Expense</t>
  </si>
  <si>
    <t>3) General and Intangible Depreciation Expense</t>
  </si>
  <si>
    <t>2) Depreciation Expense for Distribution Plant - ISO</t>
  </si>
  <si>
    <t>Two Incentive Adders are calculated:</t>
  </si>
  <si>
    <t>a) The Prior Year Incentive Adder is a component of the Prior Year TRR.</t>
  </si>
  <si>
    <t xml:space="preserve"> = Sum of all</t>
  </si>
  <si>
    <t>Whirlwind</t>
  </si>
  <si>
    <t>Expansion</t>
  </si>
  <si>
    <t>Col 12</t>
  </si>
  <si>
    <t xml:space="preserve">Colorado </t>
  </si>
  <si>
    <t>River</t>
  </si>
  <si>
    <t>Kramer</t>
  </si>
  <si>
    <t>South of</t>
  </si>
  <si>
    <t>West of</t>
  </si>
  <si>
    <t>Devers</t>
  </si>
  <si>
    <t>Project X</t>
  </si>
  <si>
    <t>Project Y</t>
  </si>
  <si>
    <t>1) Enter recorded amounts of CWIP during Prior Year on Lines 1-13, 15-27 (including December of year previous to Prior Year).</t>
  </si>
  <si>
    <t>2) Enter forecast CWIP total balances for these projects on Lines 29-49, 50-70.</t>
  </si>
  <si>
    <t xml:space="preserve">3) If Commission approval is granted to include CWIP in Rate Base for additional projects, utilize Project X, Y, and Z columns. </t>
  </si>
  <si>
    <t>1) Summary of CWIP Plant in Prior Year and Forecast Period</t>
  </si>
  <si>
    <t>1) Rate Base in Prior Year</t>
  </si>
  <si>
    <t>4) Project X</t>
  </si>
  <si>
    <t>Net Plant</t>
  </si>
  <si>
    <t>Prior Year TRR:</t>
  </si>
  <si>
    <t>b) Annual Fixed Charge Rate ("AFCR")</t>
  </si>
  <si>
    <t>Net Plant:</t>
  </si>
  <si>
    <t>1) Calculation of Annual Fixed Charge Rates:</t>
  </si>
  <si>
    <t>4) Lugo-Pisgah</t>
  </si>
  <si>
    <t>5) Red Bluff</t>
  </si>
  <si>
    <t>6) Whirlwind Substation Exp.</t>
  </si>
  <si>
    <t>7) Colorado River Sub. Exp.</t>
  </si>
  <si>
    <t>8) South of Kramer</t>
  </si>
  <si>
    <t>9) West of Devers</t>
  </si>
  <si>
    <t>10) Project X</t>
  </si>
  <si>
    <t>4) Prior Year TIP Net Plant In Service</t>
  </si>
  <si>
    <t>Net  Plant</t>
  </si>
  <si>
    <t>Additions</t>
  </si>
  <si>
    <t>to Prior Year</t>
  </si>
  <si>
    <t>year previous</t>
  </si>
  <si>
    <t>←December of</t>
  </si>
  <si>
    <t>Depreciation Rates (Percent per year)  See "DepRates" worksheet.</t>
  </si>
  <si>
    <t>2) Calculation of Depreciation Expense for Distribution Plant - ISO</t>
  </si>
  <si>
    <t>Distribution Plant - ISO BOY</t>
  </si>
  <si>
    <t>Distribution Plant - ISO EOY</t>
  </si>
  <si>
    <t>Average BOY/EOY :</t>
  </si>
  <si>
    <t xml:space="preserve">Total is sum of Depreciation Expense for accounts </t>
  </si>
  <si>
    <t>360, 361, and 362</t>
  </si>
  <si>
    <t>3) Calculation of Depreciation Expense for General Plant and Intangible Plant</t>
  </si>
  <si>
    <t>Depreciation Expense:</t>
  </si>
  <si>
    <t>Depreciation Rates</t>
  </si>
  <si>
    <t>Less</t>
  </si>
  <si>
    <t>Removal</t>
  </si>
  <si>
    <t>Salvage</t>
  </si>
  <si>
    <t>Cost</t>
  </si>
  <si>
    <t>Fee Land</t>
  </si>
  <si>
    <t>Easements</t>
  </si>
  <si>
    <t>Structures and Improvements</t>
  </si>
  <si>
    <t>Station Equipment</t>
  </si>
  <si>
    <t>Poles and Fixtures</t>
  </si>
  <si>
    <t>Overhead Conductors and Devices</t>
  </si>
  <si>
    <t>Underground Conduit</t>
  </si>
  <si>
    <t>Underground Conductors and Devices</t>
  </si>
  <si>
    <t>Roads and Trails</t>
  </si>
  <si>
    <t>Land and Land Rights</t>
  </si>
  <si>
    <t>3) General Plant</t>
  </si>
  <si>
    <t>Office Furniture</t>
  </si>
  <si>
    <t>4) Intangible Plant</t>
  </si>
  <si>
    <t>Hydro Relicensing</t>
  </si>
  <si>
    <t>Radio Frequency</t>
  </si>
  <si>
    <t>Other Intangibles</t>
  </si>
  <si>
    <t>Cap Soft 5yr</t>
  </si>
  <si>
    <t>Cap Soft 7yr</t>
  </si>
  <si>
    <t>Cap Soft 10yr</t>
  </si>
  <si>
    <t>Cap Soft 15yr</t>
  </si>
  <si>
    <t>CLTD = Weighted Cost of Long Term Debt</t>
  </si>
  <si>
    <t>COS = Weighted Cost of Common and Preferred Stock</t>
  </si>
  <si>
    <t>AFCRWIP = CLTD  + (COS * (1/(1 - CTR)))</t>
  </si>
  <si>
    <t>AFCRCWIP =</t>
  </si>
  <si>
    <t>Composite Tax Rate:</t>
  </si>
  <si>
    <t>expressed as a percent.</t>
  </si>
  <si>
    <t>AFCR = (Prior Year TRR - CWIP-related costs) / Net Plant</t>
  </si>
  <si>
    <t>ISO Transmission Plant</t>
  </si>
  <si>
    <t>3) ISO Transmission Plant</t>
  </si>
  <si>
    <t>ISO Transmission Plant is the sum of "Transmission Plant - ISO" and "Distribution Plant - ISO"</t>
  </si>
  <si>
    <t xml:space="preserve">Transmission Depreciation Reserve - ISO </t>
  </si>
  <si>
    <t xml:space="preserve">Distribution Depreciation Reserve - ISO </t>
  </si>
  <si>
    <t>Transmission Plant - ISO:</t>
  </si>
  <si>
    <t>Distribution Plant - ISO:</t>
  </si>
  <si>
    <t>c) Compare costs in (a) to revenues in (b) on a monthly basis and determine "Cumulative Excess (-) or Shortfall (+) in Revenue with Interest".</t>
  </si>
  <si>
    <t>One-Time and</t>
  </si>
  <si>
    <t>wo Interest for</t>
  </si>
  <si>
    <t>for Current</t>
  </si>
  <si>
    <t>Current Month</t>
  </si>
  <si>
    <t>See Note 8</t>
  </si>
  <si>
    <t>See Note 9</t>
  </si>
  <si>
    <t>See Note 10</t>
  </si>
  <si>
    <t>=C3 + C4</t>
  </si>
  <si>
    <t>See Note 11</t>
  </si>
  <si>
    <t>=C5 + C6</t>
  </si>
  <si>
    <t>= - C4</t>
  </si>
  <si>
    <t>Received (+)/</t>
  </si>
  <si>
    <t>Amortization</t>
  </si>
  <si>
    <t>Returned (-)</t>
  </si>
  <si>
    <t>Total Amortization in Rate Effective Period (See Instruction #4):</t>
  </si>
  <si>
    <t>Shortfall or Excess Revenue in Prior Year:</t>
  </si>
  <si>
    <t>Column 8, Line 52</t>
  </si>
  <si>
    <t>TRR AAF</t>
  </si>
  <si>
    <t>See Note 13</t>
  </si>
  <si>
    <t>1) Enter applicable years on Column 1, Lines 11-31 and 40-51.</t>
  </si>
  <si>
    <t>2) Enter Previous Period True Up Adjustment (if any) on Column 4, Lines 20-31.  See Note 4 for definition of Previous Period True Up Adjustment.</t>
  </si>
  <si>
    <t>Enter with the same sign as in previous Informational Update.  If there is no Previous Period True Up Adjustment, then enter $0 in these cells.</t>
  </si>
  <si>
    <t>4) Enter "Total Amortization" amount on Line 54, column 6 to set September Month Ending Balance Column 7, Line 51 equal to $0.  Iterate if necessary to solve.</t>
  </si>
  <si>
    <t>(i.e., so that the Month Beginning Balance in Column 3, Line 40 is completely amortized away by the Amortization amounts in Column 4).</t>
  </si>
  <si>
    <t xml:space="preserve">5) Enter any One time Adjustments on Column 4, Line 11 and Line 58.  If SCE is owed enter as positive, if SCE is to return to customers enter as negative.  </t>
  </si>
  <si>
    <t xml:space="preserve"> One time adjustments include:</t>
  </si>
  <si>
    <t>SCE shall also include that difference in the True Up Adjustment, including interest, at the first opportunity, in accordance with tariff protocols.</t>
  </si>
  <si>
    <t>6) Fill in matrix of all retail revenues from Prior Year in table on lines 93 to 104.</t>
  </si>
  <si>
    <t>7) Enter Total Sales to Ultimate Consumers on line 107 and verify that it equals the total on line 105.</t>
  </si>
  <si>
    <t>Actual Retail Base Transmission Revenues for any months not included in True Up Period.</t>
  </si>
  <si>
    <t>3) "Actual Retail Base Transmission Revenues" are SCE retail transmission revenues attributable to this formula transmission rate.</t>
  </si>
  <si>
    <t>4) The "Previous Period True Up Adjustment" are the values of the "True Up Adjustment Received/Returned" in the previous Informational Filing (Same sign).</t>
  </si>
  <si>
    <t>These are the 12 monthly values of the "True Up Adjustment Received/Returned" in Column 8, Lines 40 -51 from the previous Informational Filing,</t>
  </si>
  <si>
    <t>They are input into Column 4, lines 20-31 of this current Informational Filing, corresponding to the Rate Effective Period of the previous Informational Filing.</t>
  </si>
  <si>
    <t>One time True Up Adjustment amounts (see Instruction #5) attributable to a previous Prior Year are entered on Column 4, Line 11.</t>
  </si>
  <si>
    <t>6) "Cumulative Excess (-) or Shortfall (+) in Revenue wo Interest for Current Month" is: 1) in month 1, the amount in Column 5;</t>
  </si>
  <si>
    <t>and 2) in subsequent months is the amount in Column 9 for previous month plus the current month amount in Column 5.</t>
  </si>
  <si>
    <t>7) Interest for Current Month is calculated on average of beginning and ending balances (Column 9 previous month and Column 7 current month).</t>
  </si>
  <si>
    <t>(First month average is 1/2 of ending balance).</t>
  </si>
  <si>
    <t>8) The Interest Rate in Rate Effective Period is equal to average of interest rates in previous 12 months (lines 20-31).</t>
  </si>
  <si>
    <t>9) The "Month Beginning Balance"  is Month Ending Balance from previous month in Column 7 (October is from Column 9, Line 31).</t>
  </si>
  <si>
    <t>Transmission Dep. Reserve - ISO:</t>
  </si>
  <si>
    <t>Distribution Dep. Reserve - ISO:</t>
  </si>
  <si>
    <t>Determination of Net Plant:</t>
  </si>
  <si>
    <t>CWIP Related Costs:</t>
  </si>
  <si>
    <t>a) Annual Fixed Charge Rate for CWIP ("AFCRCWIP")</t>
  </si>
  <si>
    <t>Calculation of Incremental Forecast Period TRR ("IFPTRR")</t>
  </si>
  <si>
    <t>NETWORK UPGRADE CREDIT AND INTEREST EXPENSE</t>
  </si>
  <si>
    <t>Outstanding Network Upgrade Credits Recorded in FERC Acct 252</t>
  </si>
  <si>
    <t>Acct 252 Other</t>
  </si>
  <si>
    <t>Total Acct 252</t>
  </si>
  <si>
    <t>FF-1 total for Acct 252 - Customer Advances for Construction 
 (Must equal Line 3)</t>
  </si>
  <si>
    <t>FF-1 total for Acct 252 - Customer Advances for Construction 
(Must equal Line 7)</t>
  </si>
  <si>
    <t>FF1 113.56c</t>
  </si>
  <si>
    <t>Average Outstanding Network Upgrade Credits Beginning and End of Year</t>
  </si>
  <si>
    <t>Interest On Network Upgrade Credits Recorded in FERC Acct 242</t>
  </si>
  <si>
    <t>Acct 242 Other</t>
  </si>
  <si>
    <t>Total Acct 242</t>
  </si>
  <si>
    <t>FF-1 total for Acct 242 - Miscellaneous Current and Accrued Liabilities
(Must equal Line 12)</t>
  </si>
  <si>
    <t>FF1 113.48c</t>
  </si>
  <si>
    <t xml:space="preserve">Interest relates to refund of facility and one-time payments by generator.  For facility costs, pre-in-service date interest is excluded.  </t>
  </si>
  <si>
    <t>For one-time costs, pre-in-service and post-in-service interest is included.</t>
  </si>
  <si>
    <t>Wtd. Cost of Long Term Debt:</t>
  </si>
  <si>
    <t>Wtd. Cost of Common + Pref. Stock:</t>
  </si>
  <si>
    <t>The AFCR is calculated by dividing the Prior Year TRR (without CWIP related costs)</t>
  </si>
  <si>
    <t>by Net Plant:</t>
  </si>
  <si>
    <t>Overview</t>
  </si>
  <si>
    <t>ROR</t>
  </si>
  <si>
    <t>Depreciation</t>
  </si>
  <si>
    <t>DepRates</t>
  </si>
  <si>
    <t>PlantInService</t>
  </si>
  <si>
    <t>PlantStudy</t>
  </si>
  <si>
    <t>PHFU</t>
  </si>
  <si>
    <t>AbandonedPlant</t>
  </si>
  <si>
    <t>IncentivePlant</t>
  </si>
  <si>
    <t>IncentiveAdder</t>
  </si>
  <si>
    <t>PlantAdditions</t>
  </si>
  <si>
    <t>IFPTRR</t>
  </si>
  <si>
    <t>TrueUpAdjust</t>
  </si>
  <si>
    <t>WorkCap</t>
  </si>
  <si>
    <t>AccDep</t>
  </si>
  <si>
    <t>OandM</t>
  </si>
  <si>
    <t>AandG</t>
  </si>
  <si>
    <t>pursuant to Commission acceptance of an SCE FPA Section 205 filing to revise the authorized PBOPs expense,</t>
  </si>
  <si>
    <t>(Sum of Col 1 to Col 4)</t>
  </si>
  <si>
    <t>Beginning of Year Balances are from December of the year previous to the Prior Year.</t>
  </si>
  <si>
    <t>1) Beginning of Year Balances: (Note 1)</t>
  </si>
  <si>
    <t>2) End of Year Balances: (Note 2)</t>
  </si>
  <si>
    <t>End of Year Balances are from December of the Prior Year.</t>
  </si>
  <si>
    <t>100% Abandoned Plant:</t>
  </si>
  <si>
    <t>A) Rancho Vista Incentives Received:</t>
  </si>
  <si>
    <t>B) Tehachapi Incentives Received:</t>
  </si>
  <si>
    <t>Cite:</t>
  </si>
  <si>
    <t>C) Devers to  Colorado River Incentives Received:</t>
  </si>
  <si>
    <t>D) Devers to  Palo Verde 2 Incentives Received:</t>
  </si>
  <si>
    <t>E) Eldorado Ivanpah Incentives Received:</t>
  </si>
  <si>
    <t>F) Lugo Pisgah Incentives Received:</t>
  </si>
  <si>
    <t>G) Red Bluff Incentives Received:</t>
  </si>
  <si>
    <t>H) Whirlwind Substation Expansion Incentives Received:</t>
  </si>
  <si>
    <t>I) Colorado River Substation Expansion Incentives Received:</t>
  </si>
  <si>
    <t>J) South of Kramer Incentives Received:</t>
  </si>
  <si>
    <t>K) West of Devers Incentives Received:</t>
  </si>
  <si>
    <t>L) Future Incentive Projects</t>
  </si>
  <si>
    <t>Commission decision.</t>
  </si>
  <si>
    <t>in accordance with the tariff protocols.  Accordingly, any amount different than the authorized PBOPs</t>
  </si>
  <si>
    <t>included in the FERC Form 1 recorded cost amounts and the actual A&amp;G Results Sharing payout (see note 2).</t>
  </si>
  <si>
    <t>expense is excluded from account 926 (see note 3).</t>
  </si>
  <si>
    <t>RevenueCredits</t>
  </si>
  <si>
    <t>NUCs</t>
  </si>
  <si>
    <t>RegAssets</t>
  </si>
  <si>
    <t>FFU</t>
  </si>
  <si>
    <t>Allocators</t>
  </si>
  <si>
    <t>TaxRates</t>
  </si>
  <si>
    <t>WholesaleTRRs</t>
  </si>
  <si>
    <t>Wholesale Rates</t>
  </si>
  <si>
    <t>HVLV</t>
  </si>
  <si>
    <t>GrossLoad</t>
  </si>
  <si>
    <t>RetailRates</t>
  </si>
  <si>
    <t xml:space="preserve">b) Forecast Period Incremental CWIP contributes to Forecast Plant Additions </t>
  </si>
  <si>
    <t>ROE incentive, for each million dollars of Incentive Net Plant.  It is calculated according to the following formula:</t>
  </si>
  <si>
    <t>1) Calculation of Transmission Wages and Salaries Allocation Factor</t>
  </si>
  <si>
    <t>2) Calculation of Transmission Plant Allocation Factor</t>
  </si>
  <si>
    <t xml:space="preserve">Transmission </t>
  </si>
  <si>
    <t>Plant - ISO</t>
  </si>
  <si>
    <t>Total Plant In Service</t>
  </si>
  <si>
    <t>HV and LV Gross Plant Percentages:</t>
  </si>
  <si>
    <t xml:space="preserve">Total Wages and Salaries wo A&amp;G </t>
  </si>
  <si>
    <t>Total Results Sharing</t>
  </si>
  <si>
    <t>Less A&amp;G Results Sharing</t>
  </si>
  <si>
    <t>Results Sharing wo A&amp;G Results Sharing</t>
  </si>
  <si>
    <t xml:space="preserve">Total non-A&amp;G W&amp;S with Results Sharing </t>
  </si>
  <si>
    <t>Franchise Fee Factor:</t>
  </si>
  <si>
    <t>Reference:</t>
  </si>
  <si>
    <t>is calculated in Note 3.</t>
  </si>
  <si>
    <t xml:space="preserve">3) Results Sharing adjustment in Column 3 is made by determining the difference between the total accrued Results Sharing amount </t>
  </si>
  <si>
    <t>Table of Contents</t>
  </si>
  <si>
    <t>Worksheet Name</t>
  </si>
  <si>
    <t>BaseTRR</t>
  </si>
  <si>
    <t>Base TRR Components.</t>
  </si>
  <si>
    <t>Determination of Capital Structure</t>
  </si>
  <si>
    <t>Calculation of Depreciation Expense</t>
  </si>
  <si>
    <t>Presentation of Depreciation Rates</t>
  </si>
  <si>
    <t xml:space="preserve">Determination of Plant In Service balances </t>
  </si>
  <si>
    <t>Calculation of Abandoned Plant</t>
  </si>
  <si>
    <t>Summary of Incentive Plant balances in the Prior Year</t>
  </si>
  <si>
    <t>Calculation of the Incremental Forecast Period TRR</t>
  </si>
  <si>
    <t>Calculation of the True Up Adjustment</t>
  </si>
  <si>
    <t>Calculation of Accumulated Depreciation</t>
  </si>
  <si>
    <t>Calculation of Operations and Maintenance Expense</t>
  </si>
  <si>
    <t>Calculation of Revenue Credits</t>
  </si>
  <si>
    <t>Calculation of Regulatory Assets/Liabilities and Regulatory Debits</t>
  </si>
  <si>
    <t>Calculation of Composite Tax Rate</t>
  </si>
  <si>
    <t>Calculation of Franchise Fees Factor and Uncollectibles Expense Factor</t>
  </si>
  <si>
    <t>Calculation of components of SCE's Wholesale TRR</t>
  </si>
  <si>
    <t>Calculation of High and Low Voltage percentages of Gross Plant</t>
  </si>
  <si>
    <t>Presentation of forecast Gross Load for wholesale rate calculations</t>
  </si>
  <si>
    <t>Calculation of retail transmission rates</t>
  </si>
  <si>
    <t xml:space="preserve">Calculation of Materials and Supplies and Prepayments </t>
  </si>
  <si>
    <t>Gain negative, loss positive</t>
  </si>
  <si>
    <t>Partial Year</t>
  </si>
  <si>
    <t>Unamortized Debt Expenses -- Account 181</t>
  </si>
  <si>
    <t>Unamortized Loss on Reacquired Debt -- Account 189</t>
  </si>
  <si>
    <t xml:space="preserve">After tax amount of Unamortized Loss on Reacquired Debt </t>
  </si>
  <si>
    <t>Removal of Long Term Debt Related to Fuel Inventories</t>
  </si>
  <si>
    <t>Adjustments related to "LT Debt Related to Fuel Inventories"</t>
  </si>
  <si>
    <t>Interest on Long Term Debt Related to Fuel Inventories</t>
  </si>
  <si>
    <t>Amortizations related to "Long-Term Debt Related to Fuel Inventories"</t>
  </si>
  <si>
    <t>Net Gain (Loss) From Purchase and Tender Offers</t>
  </si>
  <si>
    <t>Amortization of Net Gain (Loss)  From Purchases and Tender Offers</t>
  </si>
  <si>
    <t>Amortization Issuance Costs</t>
  </si>
  <si>
    <t>Retail Base TRR:</t>
  </si>
  <si>
    <t>1) Derivation of "Total Demand Rate" and "Total Energy Rate":</t>
  </si>
  <si>
    <t>Note 3</t>
  </si>
  <si>
    <t>CPUC Rate Group</t>
  </si>
  <si>
    <t>12-CP factors</t>
  </si>
  <si>
    <t>Total Allocated costs</t>
  </si>
  <si>
    <t>1d</t>
  </si>
  <si>
    <t>1e</t>
  </si>
  <si>
    <t>1f</t>
  </si>
  <si>
    <t>1g</t>
  </si>
  <si>
    <t>1h</t>
  </si>
  <si>
    <t>1i</t>
  </si>
  <si>
    <t>1j</t>
  </si>
  <si>
    <t>1k</t>
  </si>
  <si>
    <t>1l</t>
  </si>
  <si>
    <t>1m</t>
  </si>
  <si>
    <t>1n</t>
  </si>
  <si>
    <t>Note 4</t>
  </si>
  <si>
    <t>1o</t>
  </si>
  <si>
    <t>Note 5</t>
  </si>
  <si>
    <t>Note 6</t>
  </si>
  <si>
    <t>Note 7</t>
  </si>
  <si>
    <t>Note 8</t>
  </si>
  <si>
    <t>Note 9</t>
  </si>
  <si>
    <t>Note 10</t>
  </si>
  <si>
    <t>Note 11</t>
  </si>
  <si>
    <t>Energy Charge - $/kWh</t>
  </si>
  <si>
    <t>Rate Schedules in each CPUC Rate Group:</t>
  </si>
  <si>
    <t>Rate Schedules included in Each Rate Group in the Rate Effective Period</t>
  </si>
  <si>
    <t>Recorded 12-CP Load Data by Rate Group (MW)</t>
  </si>
  <si>
    <t>Line losses</t>
  </si>
  <si>
    <t>28e</t>
  </si>
  <si>
    <t>If additional projects receive approval, add additional columns in same format.</t>
  </si>
  <si>
    <t>Calculation of Plant Held for Future Use</t>
  </si>
  <si>
    <t>Plant In Service</t>
  </si>
  <si>
    <t>13-Mo. Avg:</t>
  </si>
  <si>
    <t>Sum C2 - C4</t>
  </si>
  <si>
    <t>Average:</t>
  </si>
  <si>
    <t>G&amp;I Plant</t>
  </si>
  <si>
    <r>
      <rPr>
        <b/>
        <sz val="10"/>
        <rFont val="Arial"/>
        <family val="2"/>
      </rPr>
      <t xml:space="preserve">Source: </t>
    </r>
    <r>
      <rPr>
        <sz val="10"/>
        <rFont val="Arial"/>
        <family val="2"/>
      </rPr>
      <t>PlantInService worksheet, Lines 1-13.</t>
    </r>
  </si>
  <si>
    <t>c) Any refunds attributable to SCE's previous CWIP TRR cases (Docket Nos. ER08-375, ER09-187, ER10-160, and ER11-1952), not previously returned to customers.</t>
  </si>
  <si>
    <t>Calculation of Network Upgrade Credits and Network Upgrade Interest Expense</t>
  </si>
  <si>
    <t>Forecast Additions to Net Plant</t>
  </si>
  <si>
    <t>Calculation of SCE's Wholesale transmission rates</t>
  </si>
  <si>
    <t>Towers and Fixtures</t>
  </si>
  <si>
    <t>a) Fill in the name the project in order (First Project, Second Project, Third Project, etc.).</t>
  </si>
  <si>
    <t xml:space="preserve">1) Upon Commission approval of any incentives for additional projects, add additional projects and provide cite to the </t>
  </si>
  <si>
    <t>General + Elec. Misc. Intangible Plant</t>
  </si>
  <si>
    <t>Late Payment Charge- Comm. &amp; Ind.</t>
  </si>
  <si>
    <t>HV Transmission Lines</t>
  </si>
  <si>
    <t>Schedule</t>
  </si>
  <si>
    <t>TRANSMISSION PLANT HELD FOR FUTURE USE</t>
  </si>
  <si>
    <t>Partial Year TRR Attribution Allocation Factors:</t>
  </si>
  <si>
    <t>10) Amortization equals amount in Line 54 divided by 12 each month.  See Instruction #4 also for further detail.</t>
  </si>
  <si>
    <t>3) The True Up Adjustment is a component of the Base TRR that reflects the difference between projected and</t>
  </si>
  <si>
    <t>Initial Prior Year?:</t>
  </si>
  <si>
    <t>If Initial Prior Year, enter "Yes", else "No"</t>
  </si>
  <si>
    <t>Any gain or loss on non-land portions of Transmission Plant Held for Future Use is not included.</t>
  </si>
  <si>
    <t>list on lines 2a, 2b, etc.  Provide description in Column 1.  Note type of plant (land or other) in Column 2.</t>
  </si>
  <si>
    <t>Under "Source" (Column 5), state the line number on FERC Form 1 page 214 from which the amount is derived.</t>
  </si>
  <si>
    <t xml:space="preserve">3) Add additional lines 2 i, j, k, etc. as necessary to include additional projects intended to be placed under the </t>
  </si>
  <si>
    <t>See Note 2.</t>
  </si>
  <si>
    <t xml:space="preserve">Subject to sharing per the Gross Revenue Sharing Mechanism (GRSM).  On an annual basis, once SCE obtains $16,671,389.55 (Threshold Gross Revenue) in NTP&amp;S Revenues, any additional revenues (Incremental Gross Revenues) that SCE receives are shared between shareholders and ratepayers.  For GRSM categories deemed Active, the Imcremental Gross Revenues are shared 90/10 between shareholders and ratepayers.  For those categories deemed Passive, the Incremental Gross Revenues are shared 70/30 between shareholders and ratepayers.  </t>
  </si>
  <si>
    <t>Pursuant to the Commission's Uniform System of Accounts, they are booked to account 182.3.</t>
  </si>
  <si>
    <t>General</t>
  </si>
  <si>
    <t>Intangible</t>
  </si>
  <si>
    <t>FF1 206.99.b and 204.5b</t>
  </si>
  <si>
    <t>FF1 207.99.g and 204.5g</t>
  </si>
  <si>
    <t>4) General Plant + Electric Miscellaneous Intangible Plant ("G&amp;I Plant)</t>
  </si>
  <si>
    <t>b) EOY G&amp;I Plant</t>
  </si>
  <si>
    <t xml:space="preserve">a) BOY/EOY Average G&amp;I Plant </t>
  </si>
  <si>
    <t>FF1 page 214.47d</t>
  </si>
  <si>
    <t>1) Amount of Line 1 not intended to be placed under the Operational Control of the ISO.</t>
  </si>
  <si>
    <t xml:space="preserve">Accumulated Deferred Income Taxes </t>
  </si>
  <si>
    <t>Reason</t>
  </si>
  <si>
    <t>FF1 277.19k</t>
  </si>
  <si>
    <t>Account 282</t>
  </si>
  <si>
    <t>Account 283</t>
  </si>
  <si>
    <t>Account 190</t>
  </si>
  <si>
    <t>FF1 234.18c</t>
  </si>
  <si>
    <t>Effective State</t>
  </si>
  <si>
    <t>Tax Rate</t>
  </si>
  <si>
    <t>Ratio of SCE</t>
  </si>
  <si>
    <t>Sum C2 - C11</t>
  </si>
  <si>
    <t>Total Distribution</t>
  </si>
  <si>
    <t>FF1 113.56d</t>
  </si>
  <si>
    <t>1) Latest SCE approved sales forecast as of April 15 of each year.</t>
  </si>
  <si>
    <t>2) SCE pump load forecast as of April 15 of each year.</t>
  </si>
  <si>
    <t>Forecast Period CWIP is the amount of CWIP in Rate Base expected for these projects.</t>
  </si>
  <si>
    <t>3) Forecast Period Incremental CWIP, Total and by Project</t>
  </si>
  <si>
    <t>Sum of all Cols</t>
  </si>
  <si>
    <t>2) Forecast Period CWIP, Total and by Project</t>
  </si>
  <si>
    <t>1) Prior Year CWIP, Total and by Project</t>
  </si>
  <si>
    <t xml:space="preserve">Forecast Period Incremental CWIP is the amount of CWIP in Rate Base expected for these projects, minus the </t>
  </si>
  <si>
    <t>Def Operating Land &amp; Facilities Rent Rev</t>
  </si>
  <si>
    <t>FF-1 Total for Account 456.1 - Revenues from Trans. Of Electricity of Others, p300.22b (Must Equal Line 16)</t>
  </si>
  <si>
    <t>FF-1 Total for Acct 450 - Forfeited Discounts, p300.16b (Must Equal Line 2)
(Must Equal Line X)</t>
  </si>
  <si>
    <t>FF-1 Total for Acct 451 - Misc. Service Revenues, p300.17b 
(Must Equal Line 5)</t>
  </si>
  <si>
    <t>FF-1 Total for Acct 453 - Sales of Water and Power, p300.18b
(Must Equal Line 8)</t>
  </si>
  <si>
    <t>FF-1 Total for Acct 454 - Rent from Elec. Property, p300.19b
(Must Equal Line 11)</t>
  </si>
  <si>
    <t>FF-1 Total for Acct 456 - Other electric Revenues, p300.21b
(Must Equal Line 13)</t>
  </si>
  <si>
    <t>FF-1 Total for Account 457.1 - Regional Control Service Revenues, p300.23b (Must Equal Line 19)</t>
  </si>
  <si>
    <t>FF-1 Total for Account 457.2- Miscellaneous Revenues, p300.24b 
(Must Equal Line 22)</t>
  </si>
  <si>
    <t>FF-1 Total for Account 418.1 -Equity in Earnings of Subsidiary Companies, p117.36c (Must Equal Line 29 + 30)</t>
  </si>
  <si>
    <t>FF-1 Total for Account 417 - Revenues From Nonutility Operations  p117.33c (Must Equal Line 25 + 26)</t>
  </si>
  <si>
    <t>Calculation of the Contribution of CWIP to the Base TRR</t>
  </si>
  <si>
    <t>Cost of Capital Rate:</t>
  </si>
  <si>
    <t>Income Taxes = [(RB * ER) * (CTR/(1 – CTR)]</t>
  </si>
  <si>
    <t>Return:</t>
  </si>
  <si>
    <t>ROE Adder %:</t>
  </si>
  <si>
    <t>DCR EOY CWIP:</t>
  </si>
  <si>
    <t>ROE Adder Tehachapi:</t>
  </si>
  <si>
    <t>ROE Adder DCR:</t>
  </si>
  <si>
    <t>FF Factor:</t>
  </si>
  <si>
    <t>U Factor:</t>
  </si>
  <si>
    <t>2) Summary of Prior Year Incentive Rate Base amounts (EOY Values)</t>
  </si>
  <si>
    <t>d) ROE Incentives:</t>
  </si>
  <si>
    <t>2) Devers to Colorado River</t>
  </si>
  <si>
    <t>2) Contribution from the Incremental Forecast Period TRR</t>
  </si>
  <si>
    <t>b) Return:</t>
  </si>
  <si>
    <t>Tehachapi:</t>
  </si>
  <si>
    <t>Devers to Colorado River:</t>
  </si>
  <si>
    <t>Eldorado Ivanpah:</t>
  </si>
  <si>
    <t>Lugo-Pisgah:</t>
  </si>
  <si>
    <t>Red Bluff:</t>
  </si>
  <si>
    <t>Whirlwind Sub Expansion:</t>
  </si>
  <si>
    <t>Colorado River Sub Expansion:</t>
  </si>
  <si>
    <t>South of Kramer:</t>
  </si>
  <si>
    <t>West of Devers:</t>
  </si>
  <si>
    <t>Project X:</t>
  </si>
  <si>
    <t>Project Y:</t>
  </si>
  <si>
    <t>Formula below</t>
  </si>
  <si>
    <t>PY Total Return, Taxes, Incentive:</t>
  </si>
  <si>
    <t>Total without FF&amp;U:</t>
  </si>
  <si>
    <t>Total Contribution of CWIP to Retail Base TRR:</t>
  </si>
  <si>
    <t>Transmission Revenues: (Note 12)</t>
  </si>
  <si>
    <t>13) Only include Base Transmission Revenue attributable to this formula transmission rate.</t>
  </si>
  <si>
    <t>14) Other Transmission Revenue includes the following:</t>
  </si>
  <si>
    <t>12) Only provide if formula was in effect during Prior Year.</t>
  </si>
  <si>
    <t>See Note 14</t>
  </si>
  <si>
    <t>Operations and Maintenance Expenses</t>
  </si>
  <si>
    <t>1) Determination of Adjusted Operations and Maintenance Expenses for each account (Note 1)</t>
  </si>
  <si>
    <t>= C3 + C4</t>
  </si>
  <si>
    <t>= C7 + C8</t>
  </si>
  <si>
    <t>= C10 + C11</t>
  </si>
  <si>
    <t>= C3 + C7</t>
  </si>
  <si>
    <t>= C4 + C8</t>
  </si>
  <si>
    <t>Account/Work Activity  Rev</t>
  </si>
  <si>
    <t>Total Recorded O&amp;M Expenses</t>
  </si>
  <si>
    <t>Adjustments</t>
  </si>
  <si>
    <t>Adjusted Recorded O&amp;M Expenses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</si>
  <si>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</si>
  <si>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</si>
  <si>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</si>
  <si>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</si>
  <si>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</si>
  <si>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</si>
  <si>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</si>
  <si>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</si>
  <si>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</si>
  <si>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</si>
  <si>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</si>
  <si>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</si>
  <si>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</si>
  <si>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</si>
  <si>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</si>
  <si>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</si>
  <si>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</si>
  <si>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</si>
  <si>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</si>
  <si>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</si>
  <si>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Training/Other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</si>
  <si>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</si>
  <si>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</si>
  <si>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</si>
  <si>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</si>
  <si>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</si>
  <si>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</si>
  <si>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</si>
  <si>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</si>
  <si>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</si>
  <si>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</si>
  <si>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</si>
  <si>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</si>
  <si>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</si>
  <si>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</si>
  <si>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</si>
  <si>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</si>
  <si>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</si>
  <si>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</si>
  <si>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</si>
  <si>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</si>
  <si>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</si>
  <si>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</si>
  <si>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</si>
  <si>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</si>
  <si>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</si>
  <si>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</si>
  <si>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</si>
  <si>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</si>
  <si>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</si>
  <si>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</si>
  <si>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</si>
  <si>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</si>
  <si>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</si>
  <si>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</si>
  <si>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</si>
  <si>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</si>
  <si>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</si>
  <si>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</si>
  <si>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</si>
  <si>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</si>
  <si>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>Total Transmission and Distribution O&amp;M</t>
  </si>
  <si>
    <t>Total Transmission O&amp;M Expenses in FERC Form 1:</t>
  </si>
  <si>
    <t>FF1 321.112b</t>
  </si>
  <si>
    <t>Total Distribution O&amp;M Expenses in FERC Form 1:</t>
  </si>
  <si>
    <t>FF1322.156b</t>
  </si>
  <si>
    <t>Total TDBU Results Sharing</t>
  </si>
  <si>
    <t>From C9 above</t>
  </si>
  <si>
    <t>From C10 above</t>
  </si>
  <si>
    <t>From C11 above</t>
  </si>
  <si>
    <t>ISO O&amp;M Expenses</t>
  </si>
  <si>
    <t>Total Transmission - ISO O&amp;M</t>
  </si>
  <si>
    <t>Total Distribution - ISO O&amp;M</t>
  </si>
  <si>
    <t>1) "Adjusted Operations and Maintenance Expenses for each account" are the total amounts of O&amp;M costs booked to each Transmission or Distribution account, less adjustments as noted.</t>
  </si>
  <si>
    <t>2) Reasons for excluded amounts:</t>
  </si>
  <si>
    <t>Transmission Results Sharing (Note 3)</t>
  </si>
  <si>
    <t>Distribution Results Sharing (Note 3)</t>
  </si>
  <si>
    <t>3) Input most recent available ratios based on</t>
  </si>
  <si>
    <t xml:space="preserve">      taxable income from state return filings.</t>
  </si>
  <si>
    <t>Remaining Electric Payroll Tax Expense to Allocate</t>
  </si>
  <si>
    <t>BOY:</t>
  </si>
  <si>
    <t>EOY:</t>
  </si>
  <si>
    <t>BOY/EOY Average:</t>
  </si>
  <si>
    <t>General and</t>
  </si>
  <si>
    <t xml:space="preserve">Depreciation </t>
  </si>
  <si>
    <t>Reserve</t>
  </si>
  <si>
    <t>FF1 219.28c for previous year</t>
  </si>
  <si>
    <t>FF1 219.28c</t>
  </si>
  <si>
    <t>a) Average BOY/EOY General and Intangible Depreciation Reserve</t>
  </si>
  <si>
    <t xml:space="preserve">a) EOY General and Intangible Depreciation Reserve </t>
  </si>
  <si>
    <t>Total G+I Dep. Reserve on Average BOY/EOY basis:</t>
  </si>
  <si>
    <t>G + I Plant Dep. Reserve (BOY/EOY Average):</t>
  </si>
  <si>
    <t>Total G+I Dep. Reserve on Average EOY basis:</t>
  </si>
  <si>
    <t>G + I Plant Dep. Reserve (EOY):</t>
  </si>
  <si>
    <t>Calculation of Wholesale Difference to the Base TRR</t>
  </si>
  <si>
    <t xml:space="preserve">The Wholesale Difference to the Base TRR represents the amount by which the Wholesale Base TRR differs as </t>
  </si>
  <si>
    <t>These five items may affect the Base TRR by affecting Rate Base, or affecting an annual expense (amortization).</t>
  </si>
  <si>
    <t>If the annual amortization affects Income Taxes, there is an additional annual Income Tax Effect.  The table</t>
  </si>
  <si>
    <t>summarizes these impacts for each item:</t>
  </si>
  <si>
    <t xml:space="preserve">Expense </t>
  </si>
  <si>
    <t>(Amortization)</t>
  </si>
  <si>
    <t>Tax Impact</t>
  </si>
  <si>
    <t>a) Depreciation</t>
  </si>
  <si>
    <t>b) Taxes Deferred -Make Up Adjustment (South Georgia)</t>
  </si>
  <si>
    <t>d) Taxes Deferred - Acct. 282 ACRS/MACRS</t>
  </si>
  <si>
    <t>e) Uncollectibles Expense</t>
  </si>
  <si>
    <t>1) Calculation of Wholesale Rate Base Difference and Wholesale Rate Base Adjustment</t>
  </si>
  <si>
    <t>a) Quantification of the Initial 2010 Wholesale Rate Base Difference and annual change</t>
  </si>
  <si>
    <t>The difference between Retail and Wholesale Rate Base is attributable to the following four items, with</t>
  </si>
  <si>
    <t>with the Initial Prior Year 2010 Rate Base differences and annual changes as follows:</t>
  </si>
  <si>
    <t>2010 Rate Base</t>
  </si>
  <si>
    <t>Annual</t>
  </si>
  <si>
    <t>(Wholesale</t>
  </si>
  <si>
    <t>Change</t>
  </si>
  <si>
    <t>less Retail)</t>
  </si>
  <si>
    <t>1) Accumulated Depreciation</t>
  </si>
  <si>
    <t>Fixed values</t>
  </si>
  <si>
    <t>2) Taxes Deferred - Make Up Adjustment</t>
  </si>
  <si>
    <t>4) Taxes Deferred - Acct. 282 ACRS/MACRS</t>
  </si>
  <si>
    <t>b) Quantification of the Wholesale Rate Base Adjustment</t>
  </si>
  <si>
    <t>the Wholesale Rate Base Difference for the Prior Year.</t>
  </si>
  <si>
    <t>Notes/Instructions</t>
  </si>
  <si>
    <t>Fixed Charge Rate</t>
  </si>
  <si>
    <t>Wholesale Rate Base Difference for Prior Year</t>
  </si>
  <si>
    <t>Wholesale Rate Base Adjustment</t>
  </si>
  <si>
    <t>a) Calculation of the Wholesale South Georgia Income Tax Adjustment to the TRR</t>
  </si>
  <si>
    <t>South Georgia Amortization</t>
  </si>
  <si>
    <t>c) Total Expense Difference</t>
  </si>
  <si>
    <t>Total Expense Difference:</t>
  </si>
  <si>
    <t>3) Calculation of the Wholesale Difference to the Base TRR</t>
  </si>
  <si>
    <t>Expense Difference</t>
  </si>
  <si>
    <t>Wholesale Difference to the Base TRR:</t>
  </si>
  <si>
    <t>Notes/Instructions:</t>
  </si>
  <si>
    <t>1) Fixed Charge Rate of capital and income tax costs associated with $1 of Rate Base</t>
  </si>
  <si>
    <t>is defined elsewhere in this formula as "AFCRCWIP".</t>
  </si>
  <si>
    <t>WholesaleDifference</t>
  </si>
  <si>
    <t>Calculation of the Wholesale Difference to the Base TRR</t>
  </si>
  <si>
    <t>Franchise Fee Exclusion</t>
  </si>
  <si>
    <t>Wholesale Difference to the Base TRR</t>
  </si>
  <si>
    <t xml:space="preserve">Base TRR (Retail) </t>
  </si>
  <si>
    <t>Amount to apply the Transmission W&amp;S AF:</t>
  </si>
  <si>
    <t>Transmission W&amp;S AF Portion of A&amp;G:</t>
  </si>
  <si>
    <t>Actual Results Sharing Payouts:</t>
  </si>
  <si>
    <t>Department</t>
  </si>
  <si>
    <t>A&amp;G</t>
  </si>
  <si>
    <t>Customer Service Business Unit</t>
  </si>
  <si>
    <t>Power Production Business Unit</t>
  </si>
  <si>
    <t>Trans. And Dist. Business Unit</t>
  </si>
  <si>
    <t>Total Amount</t>
  </si>
  <si>
    <t>6) "Percent ISO" percentages are calculated in accordance with the method set forth in SCE's TO Tariff protocols.</t>
  </si>
  <si>
    <t>2) Determination of ISO Operations and Maintenance Expenses for each account (Note 5).</t>
  </si>
  <si>
    <t>Transmission Results Sharing (Note 4)</t>
  </si>
  <si>
    <t>Distribution Results Sharing (Note 4)</t>
  </si>
  <si>
    <t xml:space="preserve">No Distribution Results Sharing is allocated to ISO Transmission. </t>
  </si>
  <si>
    <t>Joint Pole - Aud - Unauth Penalty</t>
  </si>
  <si>
    <t>Microwave Agreement</t>
  </si>
  <si>
    <t>Miscellaneous Adjustments</t>
  </si>
  <si>
    <t>-</t>
  </si>
  <si>
    <t>Tax Gross Up Factor</t>
  </si>
  <si>
    <t>It represents the effect on expenses (Wholesale less Retail) of amortizing the associated balances each year.</t>
  </si>
  <si>
    <t>CALCULATION OF SCE WHOLESALE HIGH AND LOW VOLTAGE TRRS</t>
  </si>
  <si>
    <t>Gross Load =</t>
  </si>
  <si>
    <t>LV TRR =</t>
  </si>
  <si>
    <t>Low Voltage Access Charge =</t>
  </si>
  <si>
    <t>Low Voltage Wheeling Access Charge =</t>
  </si>
  <si>
    <t>High Voltage Utility-Specific Rate =</t>
  </si>
  <si>
    <t>HV Wholesale TRR =</t>
  </si>
  <si>
    <t>Sum of Monthly Peak Demands:</t>
  </si>
  <si>
    <t>HV Existing Contracts Access Charge:</t>
  </si>
  <si>
    <t>LV Wholesale TRR =</t>
  </si>
  <si>
    <t>LV Existing Contracts Access Charge:</t>
  </si>
  <si>
    <t>a) CWIP Balances:</t>
  </si>
  <si>
    <t>CWIP Amount:</t>
  </si>
  <si>
    <t>Cost of Capital:</t>
  </si>
  <si>
    <t>Equity ROR w Preferred Stock ("ER"):</t>
  </si>
  <si>
    <t>(No "Credits and Other Term", as Credits and Other is not related to CWIP)</t>
  </si>
  <si>
    <t>Tehachapi CWIP Amount:</t>
  </si>
  <si>
    <t>ROE  Adder $:</t>
  </si>
  <si>
    <t>Below formula</t>
  </si>
  <si>
    <t>ROE Adder $ = (CWIP/$1,000,000) * IREF * (ROE Adder/1%)</t>
  </si>
  <si>
    <t>PYTRR</t>
  </si>
  <si>
    <t>1) Contribution to the Prior Year TRR</t>
  </si>
  <si>
    <t>Cost of</t>
  </si>
  <si>
    <t>Income</t>
  </si>
  <si>
    <t>Capital</t>
  </si>
  <si>
    <t>Taxes</t>
  </si>
  <si>
    <t>a) Total of all CWIP projects</t>
  </si>
  <si>
    <t>b) Individual Project Contribution</t>
  </si>
  <si>
    <t>b) Individual CWIP Project Contribution to the Retail Base TRR</t>
  </si>
  <si>
    <t>FF&amp;U</t>
  </si>
  <si>
    <t>Direct CWIP Related Costs:</t>
  </si>
  <si>
    <t>Calculation of SCE Wholesale Rates (See Note 1)</t>
  </si>
  <si>
    <t>1) SCE's wholesale rates are subject to revision upon acceptance by the Commission of a revised TRBAA</t>
  </si>
  <si>
    <t>amount.  See Note 1 on WholesaleTRRs worksheet.</t>
  </si>
  <si>
    <t xml:space="preserve">1) TRBAA is "Transmission Revenue Balancing Account Adjustment".  The TRBAA is determined pursuant to SCE's </t>
  </si>
  <si>
    <t>amount, or upon the date the Commission orders.</t>
  </si>
  <si>
    <t>Determination of Prior Year TRR without CWIP related costs:</t>
  </si>
  <si>
    <t>a) Determination of CWIP-Related Costs</t>
  </si>
  <si>
    <t>1) Direct (without ROE adder) CWIP costs</t>
  </si>
  <si>
    <t>2) CWIP ROE Adder costs:</t>
  </si>
  <si>
    <t>DCR CWIP Amount:</t>
  </si>
  <si>
    <t>Tehachapi ROE  Adder $:</t>
  </si>
  <si>
    <t>Tehachapi ROE Adder %:</t>
  </si>
  <si>
    <t>DCR ROE Adder %:</t>
  </si>
  <si>
    <t>DCR ROE  Adder $:</t>
  </si>
  <si>
    <t>IREF:</t>
  </si>
  <si>
    <t>b) Determination of AFCR:</t>
  </si>
  <si>
    <t>CWIPTRR</t>
  </si>
  <si>
    <t>Calculation of Contribution of CWIP to TRRs</t>
  </si>
  <si>
    <t>Overview of SCE Retail Base TRR</t>
  </si>
  <si>
    <r>
      <t xml:space="preserve">Row </t>
    </r>
    <r>
      <rPr>
        <u/>
        <sz val="10"/>
        <rFont val="Arial"/>
        <family val="2"/>
      </rPr>
      <t>8</t>
    </r>
    <r>
      <rPr>
        <sz val="10"/>
        <rFont val="Arial"/>
        <family val="2"/>
      </rPr>
      <t>, Column i</t>
    </r>
  </si>
  <si>
    <r>
      <t xml:space="preserve">Row </t>
    </r>
    <r>
      <rPr>
        <u/>
        <sz val="10"/>
        <rFont val="Arial"/>
        <family val="2"/>
      </rPr>
      <t>9</t>
    </r>
    <r>
      <rPr>
        <sz val="10"/>
        <rFont val="Arial"/>
        <family val="2"/>
      </rPr>
      <t>, Column i</t>
    </r>
  </si>
  <si>
    <t>3) The True Up Adjustment for the initial Base TRR is $0.</t>
  </si>
  <si>
    <t xml:space="preserve">1) Depreciation Expense for each account for each month is equal to the previous month balance of Transmission Plant - ISO for that </t>
  </si>
  <si>
    <t>2) Enter total amounts of plant from FERC Form 1 in Column 1, "Total Plant".</t>
  </si>
  <si>
    <t xml:space="preserve">1) Determine Prior Year Incentive Adder for each Incentive Project by multiplying the </t>
  </si>
  <si>
    <t>Forecast Plant Additions for In-Service ISO Transmission Plant</t>
  </si>
  <si>
    <t>during the Rate Effective Period, incremental to the year-end Prior Year amount.</t>
  </si>
  <si>
    <t xml:space="preserve">Forecast Plant Additions represents the total increase in ISO Transmission Net Plant, not including CWIP, </t>
  </si>
  <si>
    <t>AFCRCWIP represents the return and income tax costs associated with $1 of CWIP,</t>
  </si>
  <si>
    <t>CWIP Plant - Prior Year:</t>
  </si>
  <si>
    <t>Prior Year TRR wo CWIP Related Costs:</t>
  </si>
  <si>
    <t>Percent</t>
  </si>
  <si>
    <t>Distribution Results Sharing Percentage:</t>
  </si>
  <si>
    <t>Percentage</t>
  </si>
  <si>
    <t>Total TDBU Results Sharing is on Line:</t>
  </si>
  <si>
    <t>the Transmission Results Sharing Percentage calculated below.  Distribution Results Sharing equals Total TDBU Results Sharing times the Distribution Results Sharing Percentage below.</t>
  </si>
  <si>
    <t>3) Total TDBU Results Sharing is allocated to Transmission and Distribution in proportion to labor in the respective functions.  Transmission Results Sharing equals Total TDBU Results Sharing times</t>
  </si>
  <si>
    <t xml:space="preserve">the formula shall be weighted by the number of days each such rate was in effect.  For example, a 35% rate </t>
  </si>
  <si>
    <t xml:space="preserve"> ((.3500 x 120) + (.4000 x 245))/365 = .3836.</t>
  </si>
  <si>
    <t xml:space="preserve">in effect for 120 days superseded by a 40% rate in effect for the remainder of the year will be calculated as: </t>
  </si>
  <si>
    <t>1) Input marginal Federal Income Tax rate for</t>
  </si>
  <si>
    <t>the Prior Year.  See Note 1.</t>
  </si>
  <si>
    <t>for each state.  See Note 1.</t>
  </si>
  <si>
    <t>1) In the event that statutory marginal tax rates change during the Prior Year, the effective tax rate used in</t>
  </si>
  <si>
    <t>Summary of Split of T&amp;D Plant into ISO and Non-ISO</t>
  </si>
  <si>
    <t>Total without FF&amp;U</t>
  </si>
  <si>
    <t>2) No change in "Credits and Other" terms will be made absent a filing at the Commission</t>
  </si>
  <si>
    <t>IFPTRR without FF&amp;U:</t>
  </si>
  <si>
    <t>Franchise Fees Expense:</t>
  </si>
  <si>
    <t>Uncollectibles Expense:</t>
  </si>
  <si>
    <t>Uncollectibles Expense -- Prior Year TRR</t>
  </si>
  <si>
    <t>Uncollectibles Expense -- IFPTRR</t>
  </si>
  <si>
    <t>FF&amp;U:</t>
  </si>
  <si>
    <t>CWIP component of IFPTRR without FF&amp;U:</t>
  </si>
  <si>
    <t>CWIP component of IFPTRR including FF&amp;U:</t>
  </si>
  <si>
    <t xml:space="preserve">Note 4: </t>
  </si>
  <si>
    <t>Franchise Fees Expenses component of the Prior Year TRR are based on Franchise Fee Factors.</t>
  </si>
  <si>
    <t>State Taxable</t>
  </si>
  <si>
    <t>Income to SCE</t>
  </si>
  <si>
    <t>Taxable Income</t>
  </si>
  <si>
    <t>FF</t>
  </si>
  <si>
    <t>= Sum C1 to C4</t>
  </si>
  <si>
    <t>FF&amp;U Expenses:</t>
  </si>
  <si>
    <t>FF + U Factors from FFU WS</t>
  </si>
  <si>
    <t>CWIP Related Costs wo FF&amp;U:</t>
  </si>
  <si>
    <t>CWIP Related Costs with FF&amp;U:</t>
  </si>
  <si>
    <t>Lugo-Pisgah</t>
  </si>
  <si>
    <t>Applies to kWh charges</t>
  </si>
  <si>
    <t>12-CP MW</t>
  </si>
  <si>
    <t>Loss Adjusted Average 12-CP</t>
  </si>
  <si>
    <t>Allocation Factors for Backup Rates:</t>
  </si>
  <si>
    <t>2) From Retail Rates worksheet.  See Line:</t>
  </si>
  <si>
    <t xml:space="preserve">c) Exclude any amount of Account 930.1 "General Advertising Expense" not related to advertising for safety, </t>
  </si>
  <si>
    <t>siting, or informational purposes in column 1.</t>
  </si>
  <si>
    <t>4) Calculation of True-Up Incentive Adder</t>
  </si>
  <si>
    <t xml:space="preserve">1) Determine True Up Incentive Adder for each Incentive Project by multiplying the </t>
  </si>
  <si>
    <t>True-Up Incentive Adder =</t>
  </si>
  <si>
    <t>True Up Incentive Adder</t>
  </si>
  <si>
    <t>compared to the Retail Base TRR.  This difference is attributable to differences in the following five items.</t>
  </si>
  <si>
    <t xml:space="preserve">(HV Allocation Factor and </t>
  </si>
  <si>
    <t>571 - Transmission Work Order Related Expense</t>
  </si>
  <si>
    <t>13-month average</t>
  </si>
  <si>
    <t>Unamortized Issuance Costs</t>
  </si>
  <si>
    <t>Minus Net Gain (Loss) From Purchase and Tender Offers</t>
  </si>
  <si>
    <t>Less Unappropriated Undist. Sub. Earnings -- Acct. 216.1</t>
  </si>
  <si>
    <t>Less Accumulated Other Comprehensive Loss -- Account 219</t>
  </si>
  <si>
    <t>Calculation of Preferred Stock Amount</t>
  </si>
  <si>
    <t>Calculation of Cost of Preferred Stock</t>
  </si>
  <si>
    <t>June</t>
  </si>
  <si>
    <t>Col 13</t>
  </si>
  <si>
    <t>Col 14</t>
  </si>
  <si>
    <t>Sales Forecast - GWh</t>
  </si>
  <si>
    <t>= C2 + C3</t>
  </si>
  <si>
    <t>IREF = CSCP * 0.01 * (1/(1 - CTR)) * $1,000,000</t>
  </si>
  <si>
    <t>CPUC Jurisdictional service related.</t>
  </si>
  <si>
    <t>CWIP component of IFPTRR wo FF&amp;U:</t>
  </si>
  <si>
    <t>c) Individual CWIP Project Contribution to the Wholesale Base TRR</t>
  </si>
  <si>
    <t>Column 3 is sum of FF and U factors times sum of Columns 1 and 2</t>
  </si>
  <si>
    <t>wo FF&amp;U</t>
  </si>
  <si>
    <t>with FF&amp;U</t>
  </si>
  <si>
    <t>6) Same as Note 5 except no Uncollectibles Expense in Column 3.</t>
  </si>
  <si>
    <t>Total Contribution of CWIP to Wholesale Base TRR:</t>
  </si>
  <si>
    <t>Franchise Fees Amount:</t>
  </si>
  <si>
    <t>Uncollectibles Amount:</t>
  </si>
  <si>
    <t>3) Total Contribution of CWIP to the Retail and Wholesale Base TRRs:</t>
  </si>
  <si>
    <t xml:space="preserve">Forecast Adjustment </t>
  </si>
  <si>
    <t xml:space="preserve">4) The Forecast Adjustment component may be included as provided in the Tariff protocols. </t>
  </si>
  <si>
    <t>A) Rate Base for True Up TRR</t>
  </si>
  <si>
    <t>d) True Up TRR Calculation</t>
  </si>
  <si>
    <t>True Up TRR without Franchise Fees Expense included:</t>
  </si>
  <si>
    <t>Total without True Up Incentive Adder</t>
  </si>
  <si>
    <t>3) Calculation of final True Up TRR with Franchise Fees</t>
  </si>
  <si>
    <t>True Up TRR wo FF:</t>
  </si>
  <si>
    <t>True Up TRR:</t>
  </si>
  <si>
    <t xml:space="preserve">Source:      From TUTRR WS, </t>
  </si>
  <si>
    <t>a) Attribute True Up TRR to months in the Prior Year (see Note #1) to determine "Monthly True Up TRR"</t>
  </si>
  <si>
    <t>b) Determine monthly retail transmission revenues attributable to this formula transmission rate received during Prior Year.</t>
  </si>
  <si>
    <t>2) Comparison of True Up TRR and Actual Retail Transmission Revenues received during the Prior Year,</t>
  </si>
  <si>
    <t>1) The true up period is the portion (all or part) of the Prior Year for which the Formula Transmission Rate was in effect.</t>
  </si>
  <si>
    <t>2) The Monthly True Up TRR is derived by multiplying the annual True Up TRR on Line 1 by 1/12, if formula was in effect.  In the event of</t>
  </si>
  <si>
    <t xml:space="preserve">b) In the event that a Commission Order revises SCE's True Up TRR for a previous Prior Year, </t>
  </si>
  <si>
    <t xml:space="preserve">8) If true up period is less than entire calendar year, then adjust calculation accordingly by including $0 Monthly True Up TRR and for </t>
  </si>
  <si>
    <t>TUTRR</t>
  </si>
  <si>
    <t>Calculation of the True Up TRR</t>
  </si>
  <si>
    <t>2) Prior Year Incentive Rate Base - End of Year</t>
  </si>
  <si>
    <t>3) Prior Year Incentive Rate Base - 13-Month Average</t>
  </si>
  <si>
    <t>3) Summary of Prior Year Incentive Rate Base amounts (13-Month Average values)</t>
  </si>
  <si>
    <t>a) CWIP Plant during the Prior Year is included in Rate Base (used in Prior Year TRR and True Up TRR).</t>
  </si>
  <si>
    <t xml:space="preserve">c) CWIP Plant receiving an ROE adder contributes to Prior Year Incentive Rate Base - EOY, </t>
  </si>
  <si>
    <t>or Prior Year Incentive Rate Base - 13 Month Average as appropriate.</t>
  </si>
  <si>
    <t>e) "TIP Net Plant In Service" in PY is used to calculate the Prior Year Incentive Rate Base (on 13-month average basis).</t>
  </si>
  <si>
    <t>d) "TIP Net Plant In Service" at EOY Prior Year is used to calculate the PY Incentive Rate Base (on EOY basis).</t>
  </si>
  <si>
    <t>b) The True Up Incentive Adder is a component of the True Up TRR.</t>
  </si>
  <si>
    <t>IREF, the Multiplicative Factor, and the million $ of True Up Incentive Net Plant.</t>
  </si>
  <si>
    <t>1) CWIP Contribution to the Prior Year TRR and True Up TRR</t>
  </si>
  <si>
    <t>e) Total of Return, Income Taxes, and ROE Incentives contribution to PYTRR and True Up TRR</t>
  </si>
  <si>
    <t>f) Contribution from each Project to the Prior Year TRR and True Up TRR</t>
  </si>
  <si>
    <t>2) Contribution to the True Up TRR</t>
  </si>
  <si>
    <t>CWIP Component of Wholesale Base TRR:</t>
  </si>
  <si>
    <t>Non-CWIP Component of Wholesale Base TRR:</t>
  </si>
  <si>
    <t>Calculation of Total High Voltage and Low Voltage components of Wholesale TRR</t>
  </si>
  <si>
    <t>c) Excess Deferred Taxes</t>
  </si>
  <si>
    <t>3) Excess Deferred Taxes</t>
  </si>
  <si>
    <t>Annual Amort. of "Excess Deferred Taxes":</t>
  </si>
  <si>
    <t>b) Calculation of "Excess Deferred Taxes" Grossed Up for Income Taxes</t>
  </si>
  <si>
    <t>Excess Deferred Taxes Grossed Up for Income Taxes:</t>
  </si>
  <si>
    <t>Non-ISO facilities related.</t>
  </si>
  <si>
    <t>2) Calculation of Wholesale Expense Difference</t>
  </si>
  <si>
    <t>5) Calculation of Total ROE for Plant-In Service in the True Up TRR</t>
  </si>
  <si>
    <t>a) Transmission Incentive Plant Net Plant In Service</t>
  </si>
  <si>
    <t>b) Calculation of ROE Adders on TIP Net Plant In Service</t>
  </si>
  <si>
    <t>After-Tax</t>
  </si>
  <si>
    <t>c) Equity Portion of Plant In Service Rate Base</t>
  </si>
  <si>
    <t>Total Rate Base:</t>
  </si>
  <si>
    <t>CWIP Portion of Rate Base:</t>
  </si>
  <si>
    <t>Plant In Service Rate Base:</t>
  </si>
  <si>
    <t>Equity percentage:</t>
  </si>
  <si>
    <t>Equity Portion of Plant In Service Rate Base:</t>
  </si>
  <si>
    <t>d) Total ROE for Plant In Service in the True Up TRR</t>
  </si>
  <si>
    <t>Plant In Service ROE Adder Percentage:</t>
  </si>
  <si>
    <t>Base ROE (Including 50 basis point</t>
  </si>
  <si>
    <t>CAISO Participation Adder):</t>
  </si>
  <si>
    <t>Total ROE for Plant In Service in True Up TRR:</t>
  </si>
  <si>
    <t>Column 2: The After Tax True Up Incentive Adder is derived by multiplying the amounts in</t>
  </si>
  <si>
    <t>1) Wholesale Depreciation Difference</t>
  </si>
  <si>
    <t>Negative amount is to be returned to customers by SCE (included in Base TRR as a negative amount).</t>
  </si>
  <si>
    <t>18 C.F.R. §35.19a on lines 11 to 31, Column 6.  If interest rate for any months not known, use most recent known month.</t>
  </si>
  <si>
    <t>11) Interest for Current Month is calculated on average of beginning and end balances (wo interest) in Columns 3 and 5.</t>
  </si>
  <si>
    <t>Balances for Transmission Plant - ISO during the Prior Year, including December of previous year (See Note 1):</t>
  </si>
  <si>
    <t>Balances for Distribution Plant - ISO (See Note 2)</t>
  </si>
  <si>
    <t>Transmission Activity Used to Determine Monthly Transmission Plant - ISO Balances</t>
  </si>
  <si>
    <t>1) Total Transmission Activity by Account (See Note 3)</t>
  </si>
  <si>
    <t>2) Incentive Plant Activity (See Note 4)</t>
  </si>
  <si>
    <t>3) Transmission Activity Not Including Incentive Plant Activity (See Note 5):</t>
  </si>
  <si>
    <t>4) Calculation of change in Non-Incentive ISO Plant:</t>
  </si>
  <si>
    <t>A) Change in ISO Plant Balance December to December (See Note 6)</t>
  </si>
  <si>
    <t>B) Change in Incentive ISO Plant (See Note 7)</t>
  </si>
  <si>
    <t>C) Change in Non-Incentive ISO Plant (See Note 8)</t>
  </si>
  <si>
    <t>5) Other Transmission Activity without Incentive Plant Activity (See Note 9):</t>
  </si>
  <si>
    <t>Calculation of remaining amounts is sum of:</t>
  </si>
  <si>
    <t>c) Previous month balance</t>
  </si>
  <si>
    <t>3) General and Intangible Depreciation Reserve</t>
  </si>
  <si>
    <t>Transmission Activity Used to Determine Monthly Transmission Depreciation Reserve - ISO Balances</t>
  </si>
  <si>
    <t>4) Calculation of Other Transmission Activity</t>
  </si>
  <si>
    <t>Balances for Transmission Depreciation Reserve - ISO during the Prior Year, including December of previous year (See Note 1):</t>
  </si>
  <si>
    <t>2) Distribution Depreciation Reserve - ISO (See Note 2)</t>
  </si>
  <si>
    <t>3) Total Transmission Activity by Account represents accumulated depreciation changes for all Transmission plant.</t>
  </si>
  <si>
    <t>2) Depreciation Expense (See Note 4)</t>
  </si>
  <si>
    <t>3) Total Transmission Activity less Depreciation Expense (See Note 5)</t>
  </si>
  <si>
    <t>A) Change in Depreciation Reserve - ISO (See Note 6)</t>
  </si>
  <si>
    <t>B) Total Depreciation Expense (See Note 7)</t>
  </si>
  <si>
    <t>C) Other Activity (See Note 8)</t>
  </si>
  <si>
    <t>5) Other Transmission Activity (See Note 9)</t>
  </si>
  <si>
    <t>5) Total Transmission Activity for Incentive Projects</t>
  </si>
  <si>
    <t>Account 350-359</t>
  </si>
  <si>
    <t>Activity for</t>
  </si>
  <si>
    <t>360-362</t>
  </si>
  <si>
    <t>Projects</t>
  </si>
  <si>
    <t>Activity</t>
  </si>
  <si>
    <t xml:space="preserve">Source </t>
  </si>
  <si>
    <t>6) Calculation of Prior Year Net Plant in Service amounts for each Incentive Project</t>
  </si>
  <si>
    <t>a) Tehachapi</t>
  </si>
  <si>
    <t>Accumulated</t>
  </si>
  <si>
    <t>In-Service</t>
  </si>
  <si>
    <t>b) Rancho Vista</t>
  </si>
  <si>
    <t>c) Devers to Colorado River</t>
  </si>
  <si>
    <t>d) Eldorado Ivanpah</t>
  </si>
  <si>
    <t>e) Lugo Pisgah</t>
  </si>
  <si>
    <t>f) Red Bluff</t>
  </si>
  <si>
    <t>i) South of Kramer</t>
  </si>
  <si>
    <t>j) West of Devers</t>
  </si>
  <si>
    <t>k) Project Z</t>
  </si>
  <si>
    <t>Add additional Incentive Projects as approved.</t>
  </si>
  <si>
    <t>6) Summary of Incentive Projects and incentives granted</t>
  </si>
  <si>
    <t>for each month</t>
  </si>
  <si>
    <t>C1: Sum of below projects</t>
  </si>
  <si>
    <t>1) Summary of Accumulated Deferred Income Taxes</t>
  </si>
  <si>
    <t>a) End of Year Accumulated Deferred Income Taxes</t>
  </si>
  <si>
    <t>Related</t>
  </si>
  <si>
    <t>b) Beginning of Year Accumulated Deferred Income Taxes</t>
  </si>
  <si>
    <t>Total Accumulated Deferred Income Taxes</t>
  </si>
  <si>
    <t>c) Average of Beginning and End of Year Accumulated Deferred Income Taxes</t>
  </si>
  <si>
    <t>Average BOY/EOY ADIT:</t>
  </si>
  <si>
    <t>2) Account 190 Detail</t>
  </si>
  <si>
    <t>END BAL</t>
  </si>
  <si>
    <t>Gas, Generation</t>
  </si>
  <si>
    <t>ACCT 190</t>
  </si>
  <si>
    <t>DESCRIPTION</t>
  </si>
  <si>
    <t>per G/L</t>
  </si>
  <si>
    <t>or Other Related</t>
  </si>
  <si>
    <t>ISO Only</t>
  </si>
  <si>
    <t>Plant Related</t>
  </si>
  <si>
    <t>Labor Related</t>
  </si>
  <si>
    <t>Electric:</t>
  </si>
  <si>
    <t>Continuation of Account 190 Detail</t>
  </si>
  <si>
    <t>Total Electric 190</t>
  </si>
  <si>
    <t>Account 190 Gas and Other Income:</t>
  </si>
  <si>
    <t>Total Account 190 Gas and Other Income</t>
  </si>
  <si>
    <t>Total Account 190</t>
  </si>
  <si>
    <t>FERC Form 1 Account 190</t>
  </si>
  <si>
    <t>3) Account 282 Detail</t>
  </si>
  <si>
    <t>ACCT 282</t>
  </si>
  <si>
    <t>FERC Form 1 Account 282</t>
  </si>
  <si>
    <t>FF1 275.5k</t>
  </si>
  <si>
    <t>4) Account 283 Detail</t>
  </si>
  <si>
    <t>ACCT 283</t>
  </si>
  <si>
    <t>Continuation of Account 283 Detail</t>
  </si>
  <si>
    <t>Electric (continued):</t>
  </si>
  <si>
    <t>Total Electric 283</t>
  </si>
  <si>
    <t>Total Account 283 Gas and Other</t>
  </si>
  <si>
    <t>Total Account 283</t>
  </si>
  <si>
    <t>3) Includes recorded Transmission Plant-In-Service additions, retirements, transfers and adjustments.</t>
  </si>
  <si>
    <t>g) Whirlwind Substation Expansion</t>
  </si>
  <si>
    <t>h) Colorado River Substation Expansion</t>
  </si>
  <si>
    <t>Office Equipment</t>
  </si>
  <si>
    <t>Duplicating Equipment</t>
  </si>
  <si>
    <t>Personal Computers</t>
  </si>
  <si>
    <t>Mainframe Computers</t>
  </si>
  <si>
    <t>PC Software</t>
  </si>
  <si>
    <t>DDSMS - CPU &amp; Processing</t>
  </si>
  <si>
    <t>DDSMS - Controllers, Receivers, Comm.</t>
  </si>
  <si>
    <t>DDSMS - Telemetering &amp; System</t>
  </si>
  <si>
    <t>DDSMS - Miscellaneous</t>
  </si>
  <si>
    <t>DDSMS - Map Board</t>
  </si>
  <si>
    <t>Stores Equipment</t>
  </si>
  <si>
    <t>Laboratory Equipment</t>
  </si>
  <si>
    <t>Misc Power Plant Equipment</t>
  </si>
  <si>
    <t>Telecom System Equipment</t>
  </si>
  <si>
    <t>Netcomm Radio Assembly</t>
  </si>
  <si>
    <t>Microwave Equip. &amp; Antenna Assembly</t>
  </si>
  <si>
    <t>Fiber Optic Communication Cables</t>
  </si>
  <si>
    <t>Telecom Infrastructure</t>
  </si>
  <si>
    <t>Transportation Equip.</t>
  </si>
  <si>
    <t>Garage &amp; Shop -- Equip.</t>
  </si>
  <si>
    <t>Tools &amp; Work Equip. -- Shop</t>
  </si>
  <si>
    <t>Power Oper Equip</t>
  </si>
  <si>
    <t>5) Monthly Interest Rates in accordance with interest rate specified in the regulations of FERC (See Instruction #3).</t>
  </si>
  <si>
    <t>FERC Form 1 Account 283</t>
  </si>
  <si>
    <t>CWIP in Rate Effective Period</t>
  </si>
  <si>
    <t>In Service Additions in Rate Effective Period:</t>
  </si>
  <si>
    <t>Gross  Plant</t>
  </si>
  <si>
    <t xml:space="preserve">Forecast </t>
  </si>
  <si>
    <t>on Gross Plant</t>
  </si>
  <si>
    <t>Low Voltage</t>
  </si>
  <si>
    <t>= C2 - C4</t>
  </si>
  <si>
    <t>13-Month Averages:</t>
  </si>
  <si>
    <t>LV Allocation Factor)</t>
  </si>
  <si>
    <t>13-month avg.</t>
  </si>
  <si>
    <t>13-month avg.; enter negative</t>
  </si>
  <si>
    <t>13-month avg., enter - of FF1</t>
  </si>
  <si>
    <t>8) Enter amount of bonds for which SCE has California Public Utilities Commission authority to utilize 100% for fuel inventories.</t>
  </si>
  <si>
    <t>List qualifying bond issuances, Face Amount, Coupon Interest Rate, Issuance Date, Expiration Date, and CPUC authority:</t>
  </si>
  <si>
    <t>Coupon</t>
  </si>
  <si>
    <t>Face</t>
  </si>
  <si>
    <t>Issuance</t>
  </si>
  <si>
    <t>Maturity</t>
  </si>
  <si>
    <t>CPUC</t>
  </si>
  <si>
    <t>Issue</t>
  </si>
  <si>
    <t>Date</t>
  </si>
  <si>
    <t>Authority</t>
  </si>
  <si>
    <t>2) Enter information in Note 8 for any Fuel Inventory Bonds.  SCE must have California Public Utilities Commission approval to utilize 100%</t>
  </si>
  <si>
    <t>of the proceeds of such Fuel Inventory Bonds only to finance fuel inventory.</t>
  </si>
  <si>
    <t>Total Account 282</t>
  </si>
  <si>
    <t>Acount 283 Gas and Other:</t>
  </si>
  <si>
    <t>Federal Income Taxes Payable</t>
  </si>
  <si>
    <t>Allocation Factors (Plant and Wages)</t>
  </si>
  <si>
    <t>Total Account 190 ADIT</t>
  </si>
  <si>
    <t>Total Account 282 ADIT</t>
  </si>
  <si>
    <t>(Sum of amounts in Columns 4 to 6)</t>
  </si>
  <si>
    <t>Total Account 283 ADIT</t>
  </si>
  <si>
    <t>570 - Substation Work Order Related Expense</t>
  </si>
  <si>
    <t>Transmission Results Sharing Percentage:</t>
  </si>
  <si>
    <t>4) Results Sharing attributable to ISO Transmission is calculated as total Transmission Results Sharing in Column 4 times the ratio of the total ISO O&amp;M Labor Expenses in Column 8 to the total Labor expenses in Column 4.</t>
  </si>
  <si>
    <t>Other Regulatory Assets/Liabilities (BOY/EOY average):</t>
  </si>
  <si>
    <t>The Wholesale Rate Base Adjustment represents the impact on the Wholesale Base TRR relative to the Retail Base TRR of</t>
  </si>
  <si>
    <t>If an annual amortization amount affects Income Taxes, the expense difference must be grossed up for income taxes.</t>
  </si>
  <si>
    <t>Calculation of Forecast Gross Load</t>
  </si>
  <si>
    <t>CADI Vol Plan Assess</t>
  </si>
  <si>
    <t>SF Payroll Expense Tax - SCE</t>
  </si>
  <si>
    <t>FF1 263.1 (see note to left)</t>
  </si>
  <si>
    <t>Capitalized Overhead portion of Electric Payroll Tax Expense</t>
  </si>
  <si>
    <t>Base Transmission Revenue Requirement (Retail)</t>
  </si>
  <si>
    <t>Wholesale Base Transmission Revenue Requirement</t>
  </si>
  <si>
    <t>Calculation of Base Transmission Revenue Requirement</t>
  </si>
  <si>
    <t>Less Standby Transmission Revenues:</t>
  </si>
  <si>
    <t>Components of Wholesale</t>
  </si>
  <si>
    <t>Transmission Revenue Requirement:</t>
  </si>
  <si>
    <t>3) End-User Transmission Rates</t>
  </si>
  <si>
    <t>Calculation of 13-Month Average Capitalization Balances</t>
  </si>
  <si>
    <t>Item</t>
  </si>
  <si>
    <t>= Sum (C2 to C14)/13</t>
  </si>
  <si>
    <t>Bonds -- Account 221 (Note 1):</t>
  </si>
  <si>
    <t>Reacquired Bonds -- Account 222 (Note 2):</t>
  </si>
  <si>
    <t>Other Long Term Debt -- Account 224 (Note 3):</t>
  </si>
  <si>
    <t>Unamortized Premium on Long Term Debt -- Account 225 (Note 4):</t>
  </si>
  <si>
    <t>Unamortized Discount on Long Term Debt -- Account 226 (Note 5):</t>
  </si>
  <si>
    <t>Unamortized Debt Expenses -- Account 181 (Note 6):</t>
  </si>
  <si>
    <t>Unamortized Loss on Reacquired Debt -- Account 189 (Note 7):</t>
  </si>
  <si>
    <t>Long Term Debt Related to Fuel Inventories (Note 8):</t>
  </si>
  <si>
    <t xml:space="preserve">1) Enter 13 months of balances for capital structure for Prior Year and December previous to Prior Year in Columns 2-14.  </t>
  </si>
  <si>
    <t>Adjustments related to "LT Debt Related to Fuel Inventories" (Note 9):</t>
  </si>
  <si>
    <t>Preferred Stock Amount -- Account 204 (Note 10):</t>
  </si>
  <si>
    <t>Unamortized Issuance Costs (Note 11):</t>
  </si>
  <si>
    <t>Net Gain (Loss) From Purchase and Tender Offers Note 12):</t>
  </si>
  <si>
    <t>Total Proprietary Capital (Note 13):</t>
  </si>
  <si>
    <t>Unappropriated Undist. Sub. Earnings -- Acct. 216.1 (Note 14):</t>
  </si>
  <si>
    <t>Accumulated Other Comprehensive Loss -- Account 219 (Note 15):</t>
  </si>
  <si>
    <t>Interest Income Reclassification</t>
  </si>
  <si>
    <t>FF1 263.3i - See Note 1</t>
  </si>
  <si>
    <t>Remaining Amount is Gas, Generation, or Other Related.</t>
  </si>
  <si>
    <t>Remaining Amount of FIT Payable</t>
  </si>
  <si>
    <t>5) Normalization Adjustment for Unused Bonus Depreciation</t>
  </si>
  <si>
    <t>Note 1: Only include if Federal Income Tax Account 236 payable in FF1 page 263 charged to Acct 409.1 or 408.1 in Column (i) is a negative amount (i.e., debit balance).</t>
  </si>
  <si>
    <t>3) Capitalized Overhead portion of Electric Payroll Tax Expense</t>
  </si>
  <si>
    <t>Capitalized Overhead portion of Electric Payroll Tax Expense Note 2)</t>
  </si>
  <si>
    <t>2) Enter the capitalized overhead portion of Electric Payroll Tax Expense.</t>
  </si>
  <si>
    <t>Income Taxes = [(RB * ER) * (CTR/(1 – CTR))]  + CO/(1 – CTR)</t>
  </si>
  <si>
    <t>= F + [S * (1 - F)]</t>
  </si>
  <si>
    <t>Franchise Fees and Uncollectibles Expense Factors</t>
  </si>
  <si>
    <t>2) Approved Uncollectibles Expense Factor(s)</t>
  </si>
  <si>
    <t>Transmission Owner Tariff and may be revised each January 1, upon commission acceptance of a revised TRBAA</t>
  </si>
  <si>
    <t>SCE's retail Base Transmission Revenue Requirement is the sum of the following components:</t>
  </si>
  <si>
    <t>Base TRR (retail)</t>
  </si>
  <si>
    <t>actual costs, as set forth in the "TrueUpAdjust" Worksheet.</t>
  </si>
  <si>
    <t>1) No change in Return on Equity will be made absent a filing at the Commission.  Includes 50 basis point ISO Participation Adder.</t>
  </si>
  <si>
    <t>Does not include any project-specific ROE adders.</t>
  </si>
  <si>
    <t>4) Forecast Adjustment may be included as provided in the Tariff protocols.</t>
  </si>
  <si>
    <t>Transmission Depreciation Reserve - ISO</t>
  </si>
  <si>
    <t>Distribution Depreciation Reserve - ISO</t>
  </si>
  <si>
    <t>Beginning and End of year amounts in Columns 2 and 14 are from FERC Form 1, as referenced in below notes.</t>
  </si>
  <si>
    <t>3) Enter ISO portion of plant in Column 2, "Transmission Plant - ISO, or Distribution Plant - ISO".</t>
  </si>
  <si>
    <t>=Sum C2 to C4</t>
  </si>
  <si>
    <t>=Sum C2 to C11</t>
  </si>
  <si>
    <t xml:space="preserve">1) Forecast Period is October of year following the Prior Year through September of the next year.   </t>
  </si>
  <si>
    <t>Total Forecast</t>
  </si>
  <si>
    <t>4) Gains and Losses on Transmission Plant Held for Future Use - Land is treated in accordance with Commission policy.</t>
  </si>
  <si>
    <t>3) Devers-Colorado River</t>
  </si>
  <si>
    <t>= C1 - C2</t>
  </si>
  <si>
    <t>= C1 - Previous</t>
  </si>
  <si>
    <t>Month C1</t>
  </si>
  <si>
    <t>Total PY Incentive Net Plant:</t>
  </si>
  <si>
    <t xml:space="preserve">End of Year </t>
  </si>
  <si>
    <t>13 Month Average</t>
  </si>
  <si>
    <t>2) Sum project-specific Incentive Adders to yield the total True Up Incentive Adder.</t>
  </si>
  <si>
    <t>Sum of above PY Incentive Adders</t>
  </si>
  <si>
    <t>for each individual project</t>
  </si>
  <si>
    <t xml:space="preserve">Depreciation Expense is the sum of: </t>
  </si>
  <si>
    <t>4) Depreciation Expense</t>
  </si>
  <si>
    <t>= C3 * C5</t>
  </si>
  <si>
    <t>= C4 * C5</t>
  </si>
  <si>
    <t>5) "ISO Operations and Maintenance Expenses" is the amount of costs in each Transmission or Distribution account related to ISO Transmission Facilities.</t>
  </si>
  <si>
    <t>Total ISO O&amp;M Expenses (in Column 6)</t>
  </si>
  <si>
    <t xml:space="preserve">2) Fill out "Itemization of Exclusions" table for all input cells. Results Sharing amount in Column 3, </t>
  </si>
  <si>
    <t>is calculated in Note 2.    The PBOPs exclusion in Column 4,</t>
  </si>
  <si>
    <t>a) Exclude amount of any Shareholder Adjustments, costs incurred on behalf of SCE shareholders, from relevant account in Column 1.</t>
  </si>
  <si>
    <t xml:space="preserve">b) Exclude entire amount of account 927 "Franchise Requirements" in Column 2, as those costs are recovered </t>
  </si>
  <si>
    <t>d) Exclude all of Account 930.2 "Miscellaneous General Expense" in Column 1.</t>
  </si>
  <si>
    <t>Only projects that are in Rate Base in the year reported are included.</t>
  </si>
  <si>
    <t xml:space="preserve">Southern States Realty </t>
  </si>
  <si>
    <t>2, 15</t>
  </si>
  <si>
    <t>15-</t>
  </si>
  <si>
    <t>Southern States Realty is a subsidiary company.  Gross revenues are not reported in FF-1, only net earnings.  Net Earnings for ESI are reported on Acct 418.1, pg 225.17e.</t>
  </si>
  <si>
    <t>1) Enter amount associated with bonds for which SCE has California Public Utilities Commission authority to utilize 100% for fuel inventories,</t>
  </si>
  <si>
    <t>2) Enter amount associated with bonds for which SCE has California Public Utilities Commission authority to utilize 100% for fuel inventories,</t>
  </si>
  <si>
    <t xml:space="preserve">    amounts from SCE internal records.</t>
  </si>
  <si>
    <t>3) Annual amortization associated with events listed in note 12 on ROR-2.</t>
  </si>
  <si>
    <t>4) Annual amortization associated with preferred equity issues listed in note 11 on ROR-2.</t>
  </si>
  <si>
    <t>3) Update notes 11 and 12 as necessary.</t>
  </si>
  <si>
    <t xml:space="preserve">1) Amount in Column 2 from FF1 112.18c, amount in Column 14 from FF1 112.18d, amounts in columns 3-13 from SCE internal records. </t>
  </si>
  <si>
    <t xml:space="preserve">2) Amount in Column 2 from FF1 112.19c, amount in Column 14 from FF1 112.19d, amounts in columns 3-13 from SCE internal records. </t>
  </si>
  <si>
    <t xml:space="preserve">3) Amount in Column 2 from FF1 112.21c, amount in Column 14 from FF1 112.21d, amounts in columns 3-13 from SCE internal records. </t>
  </si>
  <si>
    <t xml:space="preserve">4) Amount in Column 2 from FF1 112.22c, amount in Column 14 from FF1 112.22d, amounts in columns 3-13 from SCE internal records. </t>
  </si>
  <si>
    <t xml:space="preserve">5) Amount in Column 2 from FF1 112.23c, amount in Column 14 from FF1 112.23d, amounts in columns 3-13 from SCE internal records. </t>
  </si>
  <si>
    <t xml:space="preserve">6) Amount in Column 2 from FF1 111.69c, amount in Column 14 from FF1 111.69d, amounts in columns 3-13 from SCE internal records. </t>
  </si>
  <si>
    <t xml:space="preserve">7) Amount in Column 2 from FF1 111.81c, amount in Column 14 from FF1 111.81d, amounts in columns 3-13 from SCE internal records. </t>
  </si>
  <si>
    <t>9) Unamortized discount and expense for fuel inventory bonds on Line 10, amounts in columns 2-14 from SCE internal records.</t>
  </si>
  <si>
    <t xml:space="preserve">10) Amount in Column 2 from FF1 112.3c, amount in Column 14 from FF1 112.3d, amounts in columns 3-13 from SCE internal records. </t>
  </si>
  <si>
    <t>11) Amounts in columns 2-14 are from SCE internal records.</t>
  </si>
  <si>
    <t>List associated securities, Face Amount, Issuance Date, Issuance Costs, Amortization Period:</t>
  </si>
  <si>
    <t>Costs</t>
  </si>
  <si>
    <t>12) Amounts in columns 2-14 are from SCE internal records.</t>
  </si>
  <si>
    <t>List associated securities and event, Event Date, Amortization Amount, Amortization Period:</t>
  </si>
  <si>
    <t>Event</t>
  </si>
  <si>
    <t>Issue/Event</t>
  </si>
  <si>
    <t xml:space="preserve">13) Amount in Column 2 from FF1 112.16c, amount in Column 14 from FF1 112.16d, amounts in columns 3-13 from SCE internal records. </t>
  </si>
  <si>
    <t xml:space="preserve">14) Amount in Column 2 from FF1 112.12c, amount in Column 14 from FF1 112.12d, amounts in columns 3-13 from SCE internal records. </t>
  </si>
  <si>
    <t>15) Amount in Column 2 from FF1 112.15c, amount in Column 14 from FF1 112.15d, amounts in columns 3-13 from SCE internal records.</t>
  </si>
  <si>
    <t>IRC Section 168(i)(9) Normalization Adjustment</t>
  </si>
  <si>
    <t xml:space="preserve">1) </t>
  </si>
  <si>
    <t>a) Beginning of Year Amount</t>
  </si>
  <si>
    <t>FERC Form 1 Acct. 165 Recorded Amount:</t>
  </si>
  <si>
    <t>BOY Prepayments Amount:</t>
  </si>
  <si>
    <t>a) End of Year Amount</t>
  </si>
  <si>
    <t>Supplies Balances</t>
  </si>
  <si>
    <t>Total Materials and</t>
  </si>
  <si>
    <t>Calculation of True Up TRR</t>
  </si>
  <si>
    <t>Calculation of True Up Adjustment Component of TRR</t>
  </si>
  <si>
    <t>Plant Allocation Factor</t>
  </si>
  <si>
    <t>Note 3:  Allocate "Remaining Amount of FIT Payable" based on Transmission Plant Allocation Factor</t>
  </si>
  <si>
    <t>for Column 5</t>
  </si>
  <si>
    <t>(In Column 5)</t>
  </si>
  <si>
    <t>Prior Period Adjustment:</t>
  </si>
  <si>
    <t>a</t>
  </si>
  <si>
    <t>b</t>
  </si>
  <si>
    <t>c</t>
  </si>
  <si>
    <t>d</t>
  </si>
  <si>
    <t>e</t>
  </si>
  <si>
    <t>f</t>
  </si>
  <si>
    <t xml:space="preserve">Adjust Results Sharing by excluding accrued Results Sharing Amount and replacing with the </t>
  </si>
  <si>
    <t>Note 2: Results Sharing Adjustment</t>
  </si>
  <si>
    <t>actual A&amp;G Results Sharing payout.</t>
  </si>
  <si>
    <t>Accrued Results Sharing Amount:</t>
  </si>
  <si>
    <t>Actual A&amp;G Results Sharing payout:</t>
  </si>
  <si>
    <t>Adjustment:</t>
  </si>
  <si>
    <t>g</t>
  </si>
  <si>
    <t>Full Development of Retail and Wholesale Base TRRs.</t>
  </si>
  <si>
    <t>Presentation of Prior Year CWIP and Forecast Period Incremental CWIP.</t>
  </si>
  <si>
    <t>Calculation of Incentive Adder component of the Prior Year TRR</t>
  </si>
  <si>
    <t>present</t>
  </si>
  <si>
    <t>BaseTRR WS, Line 86</t>
  </si>
  <si>
    <t>Sales Forecast Billing Determinants:</t>
  </si>
  <si>
    <t>= Retail Base TRR * Line1:Col1</t>
  </si>
  <si>
    <t>Applies to supplemental kW demand charges</t>
  </si>
  <si>
    <t>Applies to contracted standby kW demand charges</t>
  </si>
  <si>
    <t>= Line1:Col2 / (Line1:Col3*10^6)</t>
  </si>
  <si>
    <t>= Line1:Col2 / ((Line1:Col 4 + Line1:Col5)*10^3)</t>
  </si>
  <si>
    <t>Recorded Billing Determinants: to be applied to the Supplemental kW demand charges, and the Contracted Standby kW demand charges</t>
  </si>
  <si>
    <t>GWh</t>
  </si>
  <si>
    <t>Maximum demand - MW</t>
  </si>
  <si>
    <t>Standby demand - MW</t>
  </si>
  <si>
    <t>Total energy rate - $/kWh</t>
  </si>
  <si>
    <t>Total demand rate - $/kW-month</t>
  </si>
  <si>
    <t>Domestic</t>
  </si>
  <si>
    <t>GS-1</t>
  </si>
  <si>
    <r>
      <t>1b</t>
    </r>
    <r>
      <rPr>
        <b/>
        <vertAlign val="subscript"/>
        <sz val="10"/>
        <rFont val="Arial"/>
        <family val="2"/>
      </rPr>
      <t>2</t>
    </r>
  </si>
  <si>
    <t xml:space="preserve">       GS-1 continued</t>
  </si>
  <si>
    <t>TC-1</t>
  </si>
  <si>
    <t>GS-2</t>
  </si>
  <si>
    <t>TOU-GS-3</t>
  </si>
  <si>
    <t>TOU-8-SEC</t>
  </si>
  <si>
    <t>TOU-8-PRI</t>
  </si>
  <si>
    <t>TOU-8-SUB</t>
  </si>
  <si>
    <t>TOU-8-Standby-SEC</t>
  </si>
  <si>
    <t>TOU-8-Standby-PRI</t>
  </si>
  <si>
    <t>TOU-8-Standby-SUB</t>
  </si>
  <si>
    <t>TOU-PA-2</t>
  </si>
  <si>
    <t>TOU-PA-3</t>
  </si>
  <si>
    <t>Street Lighting</t>
  </si>
  <si>
    <t>2) Determination of Standby Demand Rates for Rate Groups</t>
  </si>
  <si>
    <t>from Line1:Col2</t>
  </si>
  <si>
    <t>from Line44:Col3</t>
  </si>
  <si>
    <t>from Line44:Col4</t>
  </si>
  <si>
    <t>= Line9:Col2 / Line9:Col3</t>
  </si>
  <si>
    <t>= Line9:Col1 * Line9:Col4</t>
  </si>
  <si>
    <t>from Lin1:Col5</t>
  </si>
  <si>
    <t>= Line9:Col5 / Line9:Col6 / 10^3</t>
  </si>
  <si>
    <t>Adjusted 12-CP at backup load</t>
  </si>
  <si>
    <t>Adjusted 12-CP at total load</t>
  </si>
  <si>
    <t>Backup allocation factors</t>
  </si>
  <si>
    <t>Backup revenue requirement</t>
  </si>
  <si>
    <t>Contracted standby kW demand Charge - $/kW</t>
  </si>
  <si>
    <t>9a</t>
  </si>
  <si>
    <t>9b</t>
  </si>
  <si>
    <t>9c</t>
  </si>
  <si>
    <t>9d</t>
  </si>
  <si>
    <t>= Line16:Col1 - Line16:Col3</t>
  </si>
  <si>
    <t>= Line16:Col7 * Line1:Col5 *10^3</t>
  </si>
  <si>
    <t>= Line16:Col2 / (Line1:Col3 * 10^6)</t>
  </si>
  <si>
    <t>= Line16:Col2 / Line1:Col4 / 10^3</t>
  </si>
  <si>
    <t>from Line9:Col7</t>
  </si>
  <si>
    <t>= Line16:Col6 * 0.746</t>
  </si>
  <si>
    <t>= Line16:Col7 * 0.746</t>
  </si>
  <si>
    <t>Revenue associated with Supplemental Demand or Energy</t>
  </si>
  <si>
    <t>Standby Demand Revenue</t>
  </si>
  <si>
    <t>Supplemental Demand Charge - $/kW-month</t>
  </si>
  <si>
    <t>Contracted standby kW demand Charge - $/kW-month</t>
  </si>
  <si>
    <t>Supplemental Demand Charge - $/HP-month</t>
  </si>
  <si>
    <t>Contracted standby kW demand Charge - $/HP-month</t>
  </si>
  <si>
    <t>16a</t>
  </si>
  <si>
    <t>16b</t>
  </si>
  <si>
    <t>16c</t>
  </si>
  <si>
    <t>16d</t>
  </si>
  <si>
    <t>16e</t>
  </si>
  <si>
    <t>16f</t>
  </si>
  <si>
    <t>16g</t>
  </si>
  <si>
    <t>16h</t>
  </si>
  <si>
    <t>16i</t>
  </si>
  <si>
    <t>16j</t>
  </si>
  <si>
    <t>16k</t>
  </si>
  <si>
    <t>16l</t>
  </si>
  <si>
    <t>16m</t>
  </si>
  <si>
    <t>16n</t>
  </si>
  <si>
    <t>16o</t>
  </si>
  <si>
    <t>1) See Col 9 of Lines 35a, 35b, 35c, etc.</t>
  </si>
  <si>
    <t>2) Sales forecast in total Giga-watt hours usage - applies to non-demand charge schedules, represents the customers' total annual GWh usage</t>
  </si>
  <si>
    <t>3) Sales forecast pertaining to the sum of monthly maximum supplemental Mega-watt demand, applies to demand charge schedules</t>
  </si>
  <si>
    <t>4) Sales forecast pertaining to the sum of monthly contracted standby Mega-watt demand, applies to standby schedules</t>
  </si>
  <si>
    <t>5) Recorded sales from Sample meters adjusted for population - use to set the total demand rate for the optional time-of-use schedules within the GS-1 rate group</t>
  </si>
  <si>
    <r>
      <t>6) Total demand rate for the optional time-of-use schedules within the GS-1 rate group, = (Line1b:Col6 * Line1b:Col8 *10^6) / ((Line1b:Col9 + Line1b:Col10) * 10^3).  Line 1b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:Col8 = Line 1b:Col6 * Line 1b:Col8 * 10^6.</t>
    </r>
  </si>
  <si>
    <t>7) For optional time-of-use schedules within the GS-1 rate group, = (Line16:Col7 * Line1b:Col10 *10^3)</t>
  </si>
  <si>
    <r>
      <t>8) For optional time-of-use schedules within the GS-1 rate group (Line16b:Col6), = (Line1b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:Col8 - Line16:Col3) / Line1b:Col9 / 10^3</t>
    </r>
  </si>
  <si>
    <t>9) For the non TOU-8-Standby rate group, it is the minimum of Line16i:Col7, or the total demand rate in Line1:Col7</t>
  </si>
  <si>
    <t>10)  Applicable to time-of-use schedules within the GS-1 rate group</t>
  </si>
  <si>
    <t>11)  Applicable to the optional schedules that contain horse power charge such as PA-1</t>
  </si>
  <si>
    <t>26a</t>
  </si>
  <si>
    <t>Includes Schedules D, D-CARE, D-FERA,TOU-D-T, TOU-EV-1, TOU-D-TEV, DE, D-SDP, D-SDP-O, DM, DMS-1, DMS-2, DMS-3, and DS.</t>
  </si>
  <si>
    <t>26b</t>
  </si>
  <si>
    <t>Includes Schedules GS-1, TOU-EV-3, and TOU-GS-1 (Option A, B, RTP, CPP, Standby, GS-APS, and GS-APS-E).</t>
  </si>
  <si>
    <t>26c</t>
  </si>
  <si>
    <t>Includes Schedules TC-1, Wi-Fi-1, and WTR.</t>
  </si>
  <si>
    <t>26d</t>
  </si>
  <si>
    <t xml:space="preserve">Includes Schedules GS-2, TOU-EV-4, and TOU-GS-2 (Option A, B, R, RTP, CPP, Standby, GS-APS, and GS-APS-E). </t>
  </si>
  <si>
    <t>26e</t>
  </si>
  <si>
    <t>Includes Schedules TOU-GS-3-CPP, and TOU-GS-3 (Option A, B, R, RTP, SOP, Standby, TOU-BIP, GS-APS, and GS-APS-E).</t>
  </si>
  <si>
    <t>26f</t>
  </si>
  <si>
    <t>Includes Schedules TOU-8-CPP, TOU-8-RBU, and TOU-8 (Option A, B, R, RTP, TOU-BIP, GS-APS, and GS-APS-E).</t>
  </si>
  <si>
    <t>26g</t>
  </si>
  <si>
    <t>26h</t>
  </si>
  <si>
    <t>26i</t>
  </si>
  <si>
    <t>Includes Schedules TOU-8-Standby (Option B, RTP, TOU-BIP, GS-APS, and GS-APS-E).</t>
  </si>
  <si>
    <t>26j</t>
  </si>
  <si>
    <t>26k</t>
  </si>
  <si>
    <t>26l</t>
  </si>
  <si>
    <t>Includes Schedules  PA-1, PA-2, TOU-PA-ICE, and TOU-PA-2 (Option A, B, RTP, SOP-1, SOP-2, CPP, Standby, and AP-I).</t>
  </si>
  <si>
    <t>26m</t>
  </si>
  <si>
    <t>Includes Schedules  TOU-PA-3-CPP, and TOU-PA-3 (Option A, B, RTP, SOP-1, SOP-2, Standby, and AP-I).</t>
  </si>
  <si>
    <t>26n</t>
  </si>
  <si>
    <t>Includes Schedules AL-2, DWL, LS-1, LS-2, LS-3, and OL-1.</t>
  </si>
  <si>
    <t>26o</t>
  </si>
  <si>
    <t>= Line35:(Col1+Col2+Col3)/3</t>
  </si>
  <si>
    <t>from Line1:Col3</t>
  </si>
  <si>
    <t>= Line35:(Col4*Col5/Col6*Col7)</t>
  </si>
  <si>
    <t>= Line35:(Col8 / total of Col8)</t>
  </si>
  <si>
    <t>3-Year Average</t>
  </si>
  <si>
    <t>12-CP Allocation factors</t>
  </si>
  <si>
    <t>35a</t>
  </si>
  <si>
    <t>35b</t>
  </si>
  <si>
    <t>35c</t>
  </si>
  <si>
    <t>35d</t>
  </si>
  <si>
    <t>35e</t>
  </si>
  <si>
    <t>35f</t>
  </si>
  <si>
    <t>35g</t>
  </si>
  <si>
    <t>35h</t>
  </si>
  <si>
    <t>35i</t>
  </si>
  <si>
    <t>35j</t>
  </si>
  <si>
    <t>35k</t>
  </si>
  <si>
    <t>35l</t>
  </si>
  <si>
    <t>35m</t>
  </si>
  <si>
    <t>35n</t>
  </si>
  <si>
    <t>35o</t>
  </si>
  <si>
    <t>=Line44:Col1 * Line44:Col2</t>
  </si>
  <si>
    <t>from Line35:Col8</t>
  </si>
  <si>
    <t>12 CP at Backup Load</t>
  </si>
  <si>
    <t>44a</t>
  </si>
  <si>
    <t>44b</t>
  </si>
  <si>
    <t>44c</t>
  </si>
  <si>
    <t>44d</t>
  </si>
  <si>
    <t>Line 17, column 3</t>
  </si>
  <si>
    <t>4j</t>
  </si>
  <si>
    <t>Uneconomic Line Extension</t>
  </si>
  <si>
    <t>4k</t>
  </si>
  <si>
    <t>Opt Out CARE-Res-Ini</t>
  </si>
  <si>
    <t>4l</t>
  </si>
  <si>
    <t>4m</t>
  </si>
  <si>
    <t>4n</t>
  </si>
  <si>
    <t>Opt Out CARE-Res-Mo</t>
  </si>
  <si>
    <t>Opt Out NonCARE-Res-Ini</t>
  </si>
  <si>
    <t>Opt Out NonCARE-Res-Mo</t>
  </si>
  <si>
    <t>10x</t>
  </si>
  <si>
    <t>T-Unauth Pole Rent</t>
  </si>
  <si>
    <t>10y</t>
  </si>
  <si>
    <t>T-P&amp;E Fees</t>
  </si>
  <si>
    <t>10z</t>
  </si>
  <si>
    <t>12aaa</t>
  </si>
  <si>
    <t>12bbb</t>
  </si>
  <si>
    <t>GHG Allowance Revenue</t>
  </si>
  <si>
    <t>121 FERC ¶ 61,168 at P 57</t>
  </si>
  <si>
    <t>121 FERC ¶ 61,168 at P 129</t>
  </si>
  <si>
    <t>-------</t>
  </si>
  <si>
    <t>121 FERC ¶ 61,168 at P 71</t>
  </si>
  <si>
    <t>121 FERC ¶ 61,168 at 129; modified by ER10-160 Settlement, see</t>
  </si>
  <si>
    <t xml:space="preserve"> P 7 and P 11</t>
  </si>
  <si>
    <t>121 FERC ¶ 61,168 at P 57; modified by ER10-160 Settlement, see</t>
  </si>
  <si>
    <t>P2 and P3</t>
  </si>
  <si>
    <t xml:space="preserve">121 FERC ¶ 61,168 at P 129; modified by ER10-160 Settlement, see </t>
  </si>
  <si>
    <t>P 3 and P 7</t>
  </si>
  <si>
    <t>129 FERC ¶ 61,246 at P 55, and 133 FERC ¶ 61,108 at P 92</t>
  </si>
  <si>
    <t>133 FERC ¶ 61,108 at P 98</t>
  </si>
  <si>
    <t>129 FERC ¶ 61,246 at PP 68-69, and 133 FERC ¶ 61,108 at PP 85-86</t>
  </si>
  <si>
    <t>133 FERC ¶ 61,107 at P 76</t>
  </si>
  <si>
    <t>133 FERC ¶ 61,107 at P 102</t>
  </si>
  <si>
    <t>133 FERC ¶ 61,107 at P 88</t>
  </si>
  <si>
    <t>134 FERC ¶ 61,181 at P 79</t>
  </si>
  <si>
    <t>DPV2-AZ</t>
  </si>
  <si>
    <r>
      <t xml:space="preserve">Row </t>
    </r>
    <r>
      <rPr>
        <u/>
        <sz val="10"/>
        <rFont val="Arial"/>
        <family val="2"/>
      </rPr>
      <t>6</t>
    </r>
    <r>
      <rPr>
        <sz val="10"/>
        <rFont val="Arial"/>
        <family val="2"/>
      </rPr>
      <t>, Column i</t>
    </r>
  </si>
  <si>
    <r>
      <t xml:space="preserve">Row </t>
    </r>
    <r>
      <rPr>
        <u/>
        <sz val="10"/>
        <rFont val="Arial"/>
        <family val="2"/>
      </rPr>
      <t>24</t>
    </r>
    <r>
      <rPr>
        <sz val="10"/>
        <rFont val="Arial"/>
        <family val="2"/>
      </rPr>
      <t>, Column i</t>
    </r>
  </si>
  <si>
    <r>
      <t xml:space="preserve">Row </t>
    </r>
    <r>
      <rPr>
        <u/>
        <sz val="10"/>
        <rFont val="Arial"/>
        <family val="2"/>
      </rPr>
      <t>10</t>
    </r>
    <r>
      <rPr>
        <sz val="10"/>
        <rFont val="Arial"/>
        <family val="2"/>
      </rPr>
      <t>, Column i</t>
    </r>
  </si>
  <si>
    <r>
      <t xml:space="preserve">Row </t>
    </r>
    <r>
      <rPr>
        <u/>
        <sz val="10"/>
        <rFont val="Arial"/>
        <family val="2"/>
      </rPr>
      <t>40</t>
    </r>
    <r>
      <rPr>
        <sz val="10"/>
        <rFont val="Arial"/>
        <family val="2"/>
      </rPr>
      <t>, Column i</t>
    </r>
  </si>
  <si>
    <r>
      <t xml:space="preserve">Row </t>
    </r>
    <r>
      <rPr>
        <u/>
        <sz val="10"/>
        <rFont val="Arial"/>
        <family val="2"/>
      </rPr>
      <t>38</t>
    </r>
    <r>
      <rPr>
        <sz val="10"/>
        <rFont val="Arial"/>
        <family val="2"/>
      </rPr>
      <t>, Column i</t>
    </r>
  </si>
  <si>
    <t>A: Exclude entire amount, all attributable to CAISO costs recovered in Energy Resource Recovery Account.</t>
  </si>
  <si>
    <t>B: Exclude amount related to MOGS Station Expense.</t>
  </si>
  <si>
    <t>D: Exclude amount recovered through to Reliability Services Balancing Account, the Transmission Access Charge Balancing Account Adjustment,</t>
  </si>
  <si>
    <t>and the American Reinvestment Recovery Act for the Tehachapi Wind Energy Storage Project.</t>
  </si>
  <si>
    <t>E: Add Results Sharing annual payout</t>
  </si>
  <si>
    <t>F: Excludes shareholder funded costs.</t>
  </si>
  <si>
    <t>2009B</t>
  </si>
  <si>
    <t>3/20/09</t>
  </si>
  <si>
    <t>9/15/14</t>
  </si>
  <si>
    <t>CPUC D.03-11-018</t>
  </si>
  <si>
    <t>2011D</t>
  </si>
  <si>
    <t>3M Libor+45bps</t>
  </si>
  <si>
    <t>10/12/11</t>
  </si>
  <si>
    <t>Series A Pref., 5.349% initial rate</t>
  </si>
  <si>
    <t>5 years</t>
  </si>
  <si>
    <t>Dividend rate is variable after 4/30/2010</t>
  </si>
  <si>
    <t>Series B Pref., 6.125%</t>
  </si>
  <si>
    <t>30 years</t>
  </si>
  <si>
    <t>Series C Pref., 6.000%</t>
  </si>
  <si>
    <t>Series D Pref., 6.500%</t>
  </si>
  <si>
    <t>Series E Pref., 6.250%</t>
  </si>
  <si>
    <t>Series F Pref., 5.625%</t>
  </si>
  <si>
    <t>8.540% Preferred, premium</t>
  </si>
  <si>
    <t>November 1985</t>
  </si>
  <si>
    <t>34 years</t>
  </si>
  <si>
    <t>Net gain from open-market purchase of 67,400 shares in November 1985</t>
  </si>
  <si>
    <t>12.000% Preferred, redemption</t>
  </si>
  <si>
    <t>February 1986</t>
  </si>
  <si>
    <t>Redemption premium paid to holders (so loss to company)</t>
  </si>
  <si>
    <t>Initial issue discount</t>
  </si>
  <si>
    <t>Amort of Debt Issuance Cost</t>
  </si>
  <si>
    <t>Relates to all Regulated Electric Property</t>
  </si>
  <si>
    <t>Executive Incentive Comp</t>
  </si>
  <si>
    <t>Relates to employees in all functions</t>
  </si>
  <si>
    <t>DIT - APS Right of Way</t>
  </si>
  <si>
    <t>Relates to 100% ISO facilities</t>
  </si>
  <si>
    <t>Corp Name Change</t>
  </si>
  <si>
    <t>Bond Discount Amort</t>
  </si>
  <si>
    <t>Executive Incentive Plan</t>
  </si>
  <si>
    <t>Ins - Inj/Damages Prov</t>
  </si>
  <si>
    <t>Accrued Vacation</t>
  </si>
  <si>
    <t>Health Care - IBNR</t>
  </si>
  <si>
    <t>Def Tax - CCFT Base Rates - R.L.</t>
  </si>
  <si>
    <t>Ins Res/Casualty Loss</t>
  </si>
  <si>
    <t>Int Capitalized - AFUDC</t>
  </si>
  <si>
    <t>PBOP 401H Amortization</t>
  </si>
  <si>
    <t>STATE RATE ADJUSTMENT</t>
  </si>
  <si>
    <t>EMS</t>
  </si>
  <si>
    <t>Decommissioning</t>
  </si>
  <si>
    <t>Relates to Nuclear Decommissioning Costs</t>
  </si>
  <si>
    <t>Balancing Accounts</t>
  </si>
  <si>
    <t>Relates Entirely to CPUC Balancing Account Recovery</t>
  </si>
  <si>
    <t>CIAC/ITCC</t>
  </si>
  <si>
    <t>Non-Rate Base FAS 109 Tax Flow-Thru - CIAC</t>
  </si>
  <si>
    <t>Pension &amp; PBOP</t>
  </si>
  <si>
    <t>Relates to CIAC Non-ISO Property Costs</t>
  </si>
  <si>
    <t>Property/Non-ISO</t>
  </si>
  <si>
    <t>Relates to Generation Costs</t>
  </si>
  <si>
    <t>Regulatory Assets/Liab</t>
  </si>
  <si>
    <t>Temp-Other/Non-ISO</t>
  </si>
  <si>
    <t>Audit Rollforward</t>
  </si>
  <si>
    <t>Gas and Other Non-ISO Related Costs</t>
  </si>
  <si>
    <t>Reclass Acct 190 Credit and Acct 283 Debit Balances</t>
  </si>
  <si>
    <t xml:space="preserve">Fully Normalized Deferred Tax </t>
  </si>
  <si>
    <t>Property-Related FERC Costs</t>
  </si>
  <si>
    <t>Acc Def Inc Tax-AFUDC</t>
  </si>
  <si>
    <t>Repairs 3115 - FERC Deduction</t>
  </si>
  <si>
    <t>Fully Normalized Deferred Tax - Book</t>
  </si>
  <si>
    <t>Property-Related Def Tax Adjust</t>
  </si>
  <si>
    <t>DPV2 ADIT - Abandonment</t>
  </si>
  <si>
    <t>Repair Deduction/Non-ISO</t>
  </si>
  <si>
    <t>Property-Related CPUC Costs - Repair</t>
  </si>
  <si>
    <t>Def Tax State - Other (GSI)</t>
  </si>
  <si>
    <t>FERC-Related state deductions</t>
  </si>
  <si>
    <t>Payroll Tax</t>
  </si>
  <si>
    <t>Ad Valorem Lien Date Adj-Electric</t>
  </si>
  <si>
    <t>Amortization of Debt Expense</t>
  </si>
  <si>
    <t>Refunding &amp; Retirement of Debt</t>
  </si>
  <si>
    <t>Capitalized Software</t>
  </si>
  <si>
    <t>Non-Rate Base FAS 109 Tax Flow-Thru - Software</t>
  </si>
  <si>
    <t>Repair-Deduction</t>
  </si>
  <si>
    <t>Property/Non-Electric</t>
  </si>
  <si>
    <t>Temp-Other/Non-Electric</t>
  </si>
  <si>
    <t>Capitalized Software/Non-ISO</t>
  </si>
  <si>
    <t>Other Reclass - FIN48</t>
  </si>
  <si>
    <t>Op Misc Land/Fac Rev</t>
  </si>
  <si>
    <t>Grant Amortization</t>
  </si>
  <si>
    <t>Other - Non/ISO</t>
  </si>
  <si>
    <t>10 years</t>
  </si>
  <si>
    <t>Alberhill</t>
  </si>
  <si>
    <t>Sub</t>
  </si>
  <si>
    <t xml:space="preserve"> SCE records</t>
  </si>
  <si>
    <t>2013 TRBAA</t>
  </si>
  <si>
    <t>ER13-226</t>
  </si>
  <si>
    <t>2014 TRBAA</t>
  </si>
  <si>
    <t>2015 TRBAA</t>
  </si>
  <si>
    <t>Recorded GWh (2009-2011 Average)</t>
  </si>
  <si>
    <t>NA</t>
  </si>
  <si>
    <t>line 24</t>
  </si>
  <si>
    <t>line 30</t>
  </si>
  <si>
    <t>C: Exclude amount attributable to costs recovered in Energy Resource Recovery Account.</t>
  </si>
  <si>
    <t>Schedule-28 Workpaper, line 3</t>
  </si>
  <si>
    <t>Schedule-28 Workpaper,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</si>
</sst>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&quot;$&quot;#,##0.00"/>
    <numFmt numFmtId="167" formatCode="_(* #,##0_);_(* \(#,##0\);_(* &quot;-&quot;??_);_(@_)"/>
    <numFmt numFmtId="168" formatCode="0.000%"/>
    <numFmt numFmtId="169" formatCode="&quot;$&quot;#,##0.0000000"/>
    <numFmt numFmtId="170" formatCode="0.000"/>
    <numFmt numFmtId="171" formatCode="0.0%"/>
    <numFmt numFmtId="172" formatCode="#,##0.000"/>
    <numFmt numFmtId="173" formatCode="&quot;$&quot;#,##0.0"/>
    <numFmt numFmtId="174" formatCode="0.00000%"/>
    <numFmt numFmtId="175" formatCode="&quot;$&quot;#,##0.00000"/>
    <numFmt numFmtId="176" formatCode="0.0000"/>
    <numFmt numFmtId="177" formatCode="_(&quot;$&quot;* #,##0.00_);_(&quot;$&quot;* \(#,##0.00\);_(&quot;$&quot;* &quot;-&quot;_);_(@_)"/>
    <numFmt numFmtId="178" formatCode="_-* #,##0.00\ _D_M_-;\-* #,##0.00\ _D_M_-;_-* &quot;-&quot;??\ _D_M_-;_-@_-"/>
    <numFmt numFmtId="179" formatCode="_-* #,##0\ _D_M_-;\-* #,##0\ _D_M_-;_-* &quot;-&quot;??\ _D_M_-;_-@_-"/>
    <numFmt numFmtId="180" formatCode="_(&quot;$&quot;* #,##0_);_(&quot;$&quot;* \(#,##0\);_(&quot;$&quot;* &quot;-&quot;??_);_(@_)"/>
    <numFmt numFmtId="181" formatCode="#,##0.0_);[Red]\(#,##0.0\)"/>
    <numFmt numFmtId="182" formatCode="#,##0.0"/>
    <numFmt numFmtId="183" formatCode="m/d/yy;@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color indexed="13"/>
      <name val="Arial"/>
      <family val="2"/>
    </font>
    <font>
      <sz val="10"/>
      <color indexed="13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sz val="10"/>
      <name val="Calibri"/>
      <family val="2"/>
    </font>
    <font>
      <b/>
      <sz val="10"/>
      <name val="Calibri"/>
      <family val="2"/>
    </font>
    <font>
      <sz val="9"/>
      <name val="Arial"/>
      <family val="2"/>
    </font>
    <font>
      <u/>
      <sz val="9"/>
      <name val="Arial"/>
      <family val="2"/>
    </font>
    <font>
      <u val="singleAccounting"/>
      <sz val="1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vertAlign val="subscript"/>
      <sz val="10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u/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2">
    <xf numFmtId="0" fontId="0" fillId="0" borderId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4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3" fillId="20" borderId="0" applyNumberFormat="0" applyBorder="0" applyAlignment="0" applyProtection="0"/>
    <xf numFmtId="0" fontId="23" fillId="13" borderId="0" applyNumberFormat="0" applyBorder="0" applyAlignment="0" applyProtection="0"/>
    <xf numFmtId="0" fontId="24" fillId="21" borderId="0" applyNumberFormat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16" fillId="0" borderId="0"/>
    <xf numFmtId="9" fontId="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28" fillId="25" borderId="1" applyNumberFormat="0" applyProtection="0">
      <alignment vertical="center"/>
    </xf>
    <xf numFmtId="4" fontId="30" fillId="25" borderId="1" applyNumberFormat="0" applyProtection="0">
      <alignment vertical="center"/>
    </xf>
    <xf numFmtId="4" fontId="28" fillId="25" borderId="1" applyNumberFormat="0" applyProtection="0">
      <alignment horizontal="left" vertical="center" indent="1"/>
    </xf>
    <xf numFmtId="0" fontId="28" fillId="25" borderId="1" applyNumberFormat="0" applyProtection="0">
      <alignment horizontal="left" vertical="top" indent="1"/>
    </xf>
    <xf numFmtId="4" fontId="28" fillId="27" borderId="0" applyNumberFormat="0" applyProtection="0">
      <alignment horizontal="left" vertical="center" indent="1"/>
    </xf>
    <xf numFmtId="4" fontId="26" fillId="2" borderId="1" applyNumberFormat="0" applyProtection="0">
      <alignment horizontal="right" vertical="center"/>
    </xf>
    <xf numFmtId="4" fontId="26" fillId="4" borderId="1" applyNumberFormat="0" applyProtection="0">
      <alignment horizontal="right" vertical="center"/>
    </xf>
    <xf numFmtId="4" fontId="26" fillId="11" borderId="1" applyNumberFormat="0" applyProtection="0">
      <alignment horizontal="right" vertical="center"/>
    </xf>
    <xf numFmtId="4" fontId="26" fillId="6" borderId="1" applyNumberFormat="0" applyProtection="0">
      <alignment horizontal="right" vertical="center"/>
    </xf>
    <xf numFmtId="4" fontId="26" fillId="7" borderId="1" applyNumberFormat="0" applyProtection="0">
      <alignment horizontal="right" vertical="center"/>
    </xf>
    <xf numFmtId="4" fontId="26" fillId="19" borderId="1" applyNumberFormat="0" applyProtection="0">
      <alignment horizontal="right" vertical="center"/>
    </xf>
    <xf numFmtId="4" fontId="26" fillId="15" borderId="1" applyNumberFormat="0" applyProtection="0">
      <alignment horizontal="right" vertical="center"/>
    </xf>
    <xf numFmtId="4" fontId="26" fillId="28" borderId="1" applyNumberFormat="0" applyProtection="0">
      <alignment horizontal="right" vertical="center"/>
    </xf>
    <xf numFmtId="4" fontId="26" fillId="5" borderId="1" applyNumberFormat="0" applyProtection="0">
      <alignment horizontal="right" vertical="center"/>
    </xf>
    <xf numFmtId="4" fontId="28" fillId="29" borderId="2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31" fillId="31" borderId="0" applyNumberFormat="0" applyProtection="0">
      <alignment horizontal="left" vertical="center" indent="1"/>
    </xf>
    <xf numFmtId="4" fontId="26" fillId="27" borderId="1" applyNumberFormat="0" applyProtection="0">
      <alignment horizontal="right" vertical="center"/>
    </xf>
    <xf numFmtId="4" fontId="26" fillId="30" borderId="0" applyNumberFormat="0" applyProtection="0">
      <alignment horizontal="left" vertical="center" indent="1"/>
    </xf>
    <xf numFmtId="4" fontId="26" fillId="27" borderId="0" applyNumberFormat="0" applyProtection="0">
      <alignment horizontal="left" vertical="center" indent="1"/>
    </xf>
    <xf numFmtId="0" fontId="9" fillId="31" borderId="1" applyNumberFormat="0" applyProtection="0">
      <alignment horizontal="left" vertical="center" indent="1"/>
    </xf>
    <xf numFmtId="0" fontId="9" fillId="31" borderId="1" applyNumberFormat="0" applyProtection="0">
      <alignment horizontal="left" vertical="top" indent="1"/>
    </xf>
    <xf numFmtId="0" fontId="9" fillId="27" borderId="1" applyNumberFormat="0" applyProtection="0">
      <alignment horizontal="left" vertical="center" indent="1"/>
    </xf>
    <xf numFmtId="0" fontId="9" fillId="27" borderId="1" applyNumberFormat="0" applyProtection="0">
      <alignment horizontal="left" vertical="top" indent="1"/>
    </xf>
    <xf numFmtId="0" fontId="9" fillId="3" borderId="1" applyNumberFormat="0" applyProtection="0">
      <alignment horizontal="left" vertical="center" indent="1"/>
    </xf>
    <xf numFmtId="0" fontId="9" fillId="3" borderId="1" applyNumberFormat="0" applyProtection="0">
      <alignment horizontal="left" vertical="top" indent="1"/>
    </xf>
    <xf numFmtId="0" fontId="9" fillId="30" borderId="1" applyNumberFormat="0" applyProtection="0">
      <alignment horizontal="left" vertical="center" indent="1"/>
    </xf>
    <xf numFmtId="0" fontId="9" fillId="30" borderId="1" applyNumberFormat="0" applyProtection="0">
      <alignment horizontal="left" vertical="top" indent="1"/>
    </xf>
    <xf numFmtId="0" fontId="9" fillId="32" borderId="3" applyNumberFormat="0">
      <protection locked="0"/>
    </xf>
    <xf numFmtId="4" fontId="26" fillId="26" borderId="1" applyNumberFormat="0" applyProtection="0">
      <alignment vertical="center"/>
    </xf>
    <xf numFmtId="4" fontId="32" fillId="26" borderId="1" applyNumberFormat="0" applyProtection="0">
      <alignment vertical="center"/>
    </xf>
    <xf numFmtId="4" fontId="26" fillId="26" borderId="1" applyNumberFormat="0" applyProtection="0">
      <alignment horizontal="left" vertical="center" indent="1"/>
    </xf>
    <xf numFmtId="0" fontId="26" fillId="26" borderId="1" applyNumberFormat="0" applyProtection="0">
      <alignment horizontal="left" vertical="top" indent="1"/>
    </xf>
    <xf numFmtId="4" fontId="26" fillId="30" borderId="1" applyNumberFormat="0" applyProtection="0">
      <alignment horizontal="right" vertical="center"/>
    </xf>
    <xf numFmtId="4" fontId="32" fillId="30" borderId="1" applyNumberFormat="0" applyProtection="0">
      <alignment horizontal="right" vertical="center"/>
    </xf>
    <xf numFmtId="4" fontId="26" fillId="27" borderId="1" applyNumberFormat="0" applyProtection="0">
      <alignment horizontal="left" vertical="center" indent="1"/>
    </xf>
    <xf numFmtId="0" fontId="26" fillId="27" borderId="1" applyNumberFormat="0" applyProtection="0">
      <alignment horizontal="left" vertical="top" indent="1"/>
    </xf>
    <xf numFmtId="4" fontId="33" fillId="33" borderId="0" applyNumberFormat="0" applyProtection="0">
      <alignment horizontal="left" vertical="center" indent="1"/>
    </xf>
    <xf numFmtId="4" fontId="27" fillId="30" borderId="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6" fillId="0" borderId="0"/>
    <xf numFmtId="0" fontId="4" fillId="0" borderId="0"/>
    <xf numFmtId="0" fontId="4" fillId="0" borderId="0"/>
    <xf numFmtId="178" fontId="6" fillId="0" borderId="0" applyFont="0" applyFill="0" applyBorder="0" applyAlignment="0" applyProtection="0"/>
    <xf numFmtId="0" fontId="6" fillId="31" borderId="1" applyNumberFormat="0" applyProtection="0">
      <alignment horizontal="left" vertical="center" indent="1"/>
    </xf>
    <xf numFmtId="0" fontId="6" fillId="31" borderId="1" applyNumberFormat="0" applyProtection="0">
      <alignment horizontal="left" vertical="top" indent="1"/>
    </xf>
    <xf numFmtId="0" fontId="6" fillId="27" borderId="1" applyNumberFormat="0" applyProtection="0">
      <alignment horizontal="left" vertical="center" indent="1"/>
    </xf>
    <xf numFmtId="0" fontId="6" fillId="27" borderId="1" applyNumberFormat="0" applyProtection="0">
      <alignment horizontal="left" vertical="top" indent="1"/>
    </xf>
    <xf numFmtId="0" fontId="6" fillId="3" borderId="1" applyNumberFormat="0" applyProtection="0">
      <alignment horizontal="left" vertical="center" indent="1"/>
    </xf>
    <xf numFmtId="0" fontId="6" fillId="3" borderId="1" applyNumberFormat="0" applyProtection="0">
      <alignment horizontal="left" vertical="top" indent="1"/>
    </xf>
    <xf numFmtId="0" fontId="6" fillId="30" borderId="1" applyNumberFormat="0" applyProtection="0">
      <alignment horizontal="left" vertical="center" indent="1"/>
    </xf>
    <xf numFmtId="0" fontId="6" fillId="30" borderId="1" applyNumberFormat="0" applyProtection="0">
      <alignment horizontal="left" vertical="top" indent="1"/>
    </xf>
    <xf numFmtId="0" fontId="6" fillId="32" borderId="3" applyNumberFormat="0">
      <protection locked="0"/>
    </xf>
    <xf numFmtId="0" fontId="53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3" fontId="4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8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9" fillId="0" borderId="0" xfId="0" applyFont="1" applyFill="1" applyBorder="1" applyAlignment="1">
      <alignment horizontal="left" indent="1"/>
    </xf>
    <xf numFmtId="164" fontId="0" fillId="34" borderId="0" xfId="0" applyNumberFormat="1" applyFill="1"/>
    <xf numFmtId="164" fontId="0" fillId="0" borderId="0" xfId="0" applyNumberFormat="1"/>
    <xf numFmtId="165" fontId="0" fillId="0" borderId="0" xfId="0" applyNumberFormat="1"/>
    <xf numFmtId="0" fontId="0" fillId="35" borderId="0" xfId="0" applyFill="1"/>
    <xf numFmtId="0" fontId="11" fillId="35" borderId="0" xfId="0" applyFont="1" applyFill="1"/>
    <xf numFmtId="0" fontId="12" fillId="35" borderId="0" xfId="0" applyFont="1" applyFill="1"/>
    <xf numFmtId="0" fontId="9" fillId="0" borderId="0" xfId="0" applyFont="1"/>
    <xf numFmtId="0" fontId="9" fillId="0" borderId="0" xfId="0" applyFont="1" applyAlignment="1">
      <alignment horizontal="left" indent="1"/>
    </xf>
    <xf numFmtId="0" fontId="0" fillId="0" borderId="0" xfId="0" applyFill="1"/>
    <xf numFmtId="0" fontId="9" fillId="0" borderId="0" xfId="0" applyFont="1" applyFill="1"/>
    <xf numFmtId="0" fontId="0" fillId="0" borderId="0" xfId="0" applyAlignment="1">
      <alignment horizontal="left" indent="1"/>
    </xf>
    <xf numFmtId="0" fontId="9" fillId="0" borderId="0" xfId="28" applyFont="1"/>
    <xf numFmtId="0" fontId="9" fillId="0" borderId="0" xfId="28" applyFont="1" applyBorder="1" applyAlignment="1"/>
    <xf numFmtId="0" fontId="9" fillId="0" borderId="0" xfId="28" applyFont="1" applyBorder="1"/>
    <xf numFmtId="0" fontId="9" fillId="0" borderId="0" xfId="28" applyFont="1" applyBorder="1" applyAlignment="1">
      <alignment horizontal="left"/>
    </xf>
    <xf numFmtId="0" fontId="9" fillId="0" borderId="0" xfId="28" applyNumberFormat="1" applyFont="1" applyFill="1" applyBorder="1" applyAlignment="1">
      <alignment horizontal="left"/>
    </xf>
    <xf numFmtId="0" fontId="7" fillId="0" borderId="0" xfId="28" applyNumberFormat="1" applyFont="1" applyFill="1" applyBorder="1" applyAlignment="1">
      <alignment horizontal="left"/>
    </xf>
    <xf numFmtId="3" fontId="9" fillId="0" borderId="0" xfId="28" applyNumberFormat="1" applyFont="1" applyFill="1" applyBorder="1" applyAlignment="1"/>
    <xf numFmtId="1" fontId="9" fillId="0" borderId="0" xfId="28" applyNumberFormat="1" applyFont="1" applyFill="1" applyBorder="1" applyAlignment="1">
      <alignment horizontal="center"/>
    </xf>
    <xf numFmtId="0" fontId="10" fillId="0" borderId="0" xfId="28" applyFont="1" applyBorder="1" applyAlignment="1">
      <alignment horizontal="center"/>
    </xf>
    <xf numFmtId="0" fontId="7" fillId="0" borderId="0" xfId="28" applyFont="1" applyAlignment="1">
      <alignment horizontal="center"/>
    </xf>
    <xf numFmtId="167" fontId="9" fillId="0" borderId="0" xfId="28" applyNumberFormat="1" applyFont="1" applyFill="1" applyBorder="1" applyAlignment="1">
      <alignment horizontal="right"/>
    </xf>
    <xf numFmtId="167" fontId="9" fillId="0" borderId="0" xfId="20" applyNumberFormat="1" applyFont="1" applyFill="1" applyBorder="1" applyAlignment="1">
      <alignment horizontal="right"/>
    </xf>
    <xf numFmtId="0" fontId="10" fillId="0" borderId="0" xfId="28" applyFont="1" applyFill="1" applyBorder="1" applyAlignment="1">
      <alignment horizontal="center"/>
    </xf>
    <xf numFmtId="3" fontId="9" fillId="0" borderId="0" xfId="28" applyNumberFormat="1" applyFont="1" applyFill="1" applyBorder="1" applyAlignment="1">
      <alignment horizontal="left" indent="1"/>
    </xf>
    <xf numFmtId="0" fontId="10" fillId="0" borderId="0" xfId="28" applyFont="1" applyAlignment="1">
      <alignment horizontal="center"/>
    </xf>
    <xf numFmtId="0" fontId="9" fillId="0" borderId="0" xfId="28" applyFont="1" applyBorder="1" applyAlignment="1">
      <alignment horizontal="right"/>
    </xf>
    <xf numFmtId="164" fontId="9" fillId="0" borderId="0" xfId="20" applyNumberFormat="1" applyFont="1" applyFill="1" applyBorder="1" applyAlignment="1">
      <alignment horizontal="right"/>
    </xf>
    <xf numFmtId="0" fontId="9" fillId="0" borderId="0" xfId="28" applyNumberFormat="1" applyFont="1" applyFill="1" applyBorder="1" applyAlignment="1">
      <alignment horizontal="right"/>
    </xf>
    <xf numFmtId="167" fontId="9" fillId="0" borderId="0" xfId="28" quotePrefix="1" applyNumberFormat="1" applyFont="1" applyFill="1" applyBorder="1" applyAlignment="1">
      <alignment horizontal="left" indent="1"/>
    </xf>
    <xf numFmtId="165" fontId="13" fillId="0" borderId="0" xfId="2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1" fillId="35" borderId="0" xfId="0" applyFont="1" applyFill="1" applyBorder="1"/>
    <xf numFmtId="0" fontId="12" fillId="35" borderId="0" xfId="0" applyFont="1" applyFill="1" applyBorder="1"/>
    <xf numFmtId="0" fontId="7" fillId="0" borderId="0" xfId="0" applyFont="1" applyFill="1" applyBorder="1"/>
    <xf numFmtId="0" fontId="9" fillId="0" borderId="0" xfId="0" applyFont="1" applyFill="1" applyBorder="1"/>
    <xf numFmtId="3" fontId="9" fillId="0" borderId="0" xfId="28" applyNumberFormat="1" applyFont="1" applyFill="1" applyBorder="1" applyAlignment="1">
      <alignment horizontal="left"/>
    </xf>
    <xf numFmtId="10" fontId="0" fillId="0" borderId="0" xfId="0" applyNumberFormat="1"/>
    <xf numFmtId="0" fontId="0" fillId="34" borderId="0" xfId="0" applyFill="1"/>
    <xf numFmtId="0" fontId="7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horizontal="left" indent="1"/>
    </xf>
    <xf numFmtId="164" fontId="9" fillId="0" borderId="0" xfId="0" applyNumberFormat="1" applyFont="1" applyFill="1"/>
    <xf numFmtId="165" fontId="9" fillId="0" borderId="0" xfId="0" applyNumberFormat="1" applyFont="1" applyFill="1"/>
    <xf numFmtId="165" fontId="13" fillId="0" borderId="0" xfId="0" applyNumberFormat="1" applyFont="1" applyFill="1"/>
    <xf numFmtId="165" fontId="0" fillId="34" borderId="0" xfId="0" applyNumberFormat="1" applyFill="1"/>
    <xf numFmtId="0" fontId="9" fillId="0" borderId="0" xfId="0" applyFont="1" applyAlignment="1">
      <alignment horizontal="left"/>
    </xf>
    <xf numFmtId="0" fontId="10" fillId="0" borderId="0" xfId="0" applyFont="1"/>
    <xf numFmtId="0" fontId="0" fillId="0" borderId="0" xfId="0" quotePrefix="1"/>
    <xf numFmtId="0" fontId="10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0" fontId="7" fillId="0" borderId="0" xfId="0" applyFont="1" applyAlignment="1">
      <alignment horizontal="left" indent="2"/>
    </xf>
    <xf numFmtId="0" fontId="0" fillId="0" borderId="0" xfId="0" applyAlignment="1">
      <alignment horizontal="right" indent="1"/>
    </xf>
    <xf numFmtId="164" fontId="14" fillId="0" borderId="0" xfId="0" applyNumberFormat="1" applyFont="1"/>
    <xf numFmtId="164" fontId="13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0" fillId="0" borderId="0" xfId="0" applyAlignment="1">
      <alignment horizontal="left" indent="2"/>
    </xf>
    <xf numFmtId="0" fontId="0" fillId="0" borderId="0" xfId="0" applyBorder="1"/>
    <xf numFmtId="0" fontId="0" fillId="0" borderId="0" xfId="0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Alignment="1"/>
    <xf numFmtId="164" fontId="0" fillId="0" borderId="0" xfId="0" applyNumberFormat="1" applyFill="1"/>
    <xf numFmtId="3" fontId="9" fillId="0" borderId="0" xfId="0" applyNumberFormat="1" applyFont="1" applyFill="1"/>
    <xf numFmtId="0" fontId="0" fillId="0" borderId="0" xfId="0" applyAlignment="1">
      <alignment horizontal="left"/>
    </xf>
    <xf numFmtId="164" fontId="9" fillId="34" borderId="0" xfId="2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168" fontId="0" fillId="0" borderId="0" xfId="0" applyNumberFormat="1"/>
    <xf numFmtId="168" fontId="14" fillId="0" borderId="0" xfId="0" applyNumberFormat="1" applyFont="1"/>
    <xf numFmtId="10" fontId="0" fillId="34" borderId="0" xfId="0" applyNumberFormat="1" applyFill="1" applyAlignment="1">
      <alignment horizontal="center"/>
    </xf>
    <xf numFmtId="165" fontId="0" fillId="0" borderId="0" xfId="0" applyNumberFormat="1" applyFill="1"/>
    <xf numFmtId="168" fontId="0" fillId="0" borderId="0" xfId="0" applyNumberFormat="1" applyAlignment="1">
      <alignment horizontal="left" indent="1"/>
    </xf>
    <xf numFmtId="0" fontId="7" fillId="0" borderId="0" xfId="0" applyFont="1" applyAlignment="1">
      <alignment horizontal="right"/>
    </xf>
    <xf numFmtId="0" fontId="9" fillId="0" borderId="0" xfId="0" quotePrefix="1" applyFont="1" applyFill="1" applyAlignment="1">
      <alignment horizontal="left" indent="1"/>
    </xf>
    <xf numFmtId="0" fontId="7" fillId="0" borderId="0" xfId="0" applyFont="1" applyAlignment="1">
      <alignment horizontal="left" indent="1"/>
    </xf>
    <xf numFmtId="166" fontId="0" fillId="0" borderId="0" xfId="0" applyNumberFormat="1"/>
    <xf numFmtId="0" fontId="9" fillId="0" borderId="0" xfId="0" applyFont="1" applyFill="1" applyBorder="1" applyAlignment="1">
      <alignment vertical="top"/>
    </xf>
    <xf numFmtId="166" fontId="0" fillId="0" borderId="0" xfId="0" applyNumberFormat="1" applyAlignment="1"/>
    <xf numFmtId="164" fontId="7" fillId="0" borderId="0" xfId="0" applyNumberFormat="1" applyFont="1"/>
    <xf numFmtId="167" fontId="7" fillId="0" borderId="0" xfId="20" applyNumberFormat="1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9" fillId="0" borderId="0" xfId="28" applyFont="1" applyBorder="1" applyAlignment="1">
      <alignment horizontal="left" indent="1"/>
    </xf>
    <xf numFmtId="10" fontId="0" fillId="0" borderId="0" xfId="0" applyNumberFormat="1" applyFill="1"/>
    <xf numFmtId="171" fontId="0" fillId="0" borderId="0" xfId="0" applyNumberFormat="1"/>
    <xf numFmtId="0" fontId="0" fillId="0" borderId="0" xfId="0" applyFill="1" applyAlignment="1">
      <alignment horizontal="right"/>
    </xf>
    <xf numFmtId="9" fontId="0" fillId="0" borderId="0" xfId="0" applyNumberFormat="1"/>
    <xf numFmtId="172" fontId="0" fillId="0" borderId="0" xfId="0" applyNumberFormat="1"/>
    <xf numFmtId="171" fontId="14" fillId="0" borderId="0" xfId="0" applyNumberFormat="1" applyFont="1"/>
    <xf numFmtId="164" fontId="0" fillId="34" borderId="0" xfId="0" applyNumberFormat="1" applyFill="1" applyAlignment="1"/>
    <xf numFmtId="164" fontId="14" fillId="34" borderId="0" xfId="0" applyNumberFormat="1" applyFont="1" applyFill="1" applyAlignment="1"/>
    <xf numFmtId="165" fontId="14" fillId="0" borderId="0" xfId="0" applyNumberFormat="1" applyFont="1"/>
    <xf numFmtId="3" fontId="0" fillId="0" borderId="0" xfId="0" applyNumberFormat="1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0" quotePrefix="1" applyFont="1" applyAlignment="1">
      <alignment horizontal="center"/>
    </xf>
    <xf numFmtId="1" fontId="9" fillId="0" borderId="0" xfId="28" applyNumberFormat="1" applyFont="1" applyFill="1" applyBorder="1" applyAlignment="1">
      <alignment horizontal="right"/>
    </xf>
    <xf numFmtId="0" fontId="9" fillId="0" borderId="0" xfId="0" applyFont="1" applyBorder="1" applyAlignment="1">
      <alignment vertical="top"/>
    </xf>
    <xf numFmtId="0" fontId="9" fillId="0" borderId="0" xfId="0" applyFont="1" applyAlignment="1">
      <alignment horizontal="center"/>
    </xf>
    <xf numFmtId="174" fontId="0" fillId="0" borderId="0" xfId="0" applyNumberFormat="1"/>
    <xf numFmtId="174" fontId="0" fillId="34" borderId="0" xfId="0" applyNumberFormat="1" applyFill="1"/>
    <xf numFmtId="164" fontId="9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164" fontId="13" fillId="0" borderId="0" xfId="0" applyNumberFormat="1" applyFont="1"/>
    <xf numFmtId="175" fontId="0" fillId="0" borderId="0" xfId="0" applyNumberFormat="1"/>
    <xf numFmtId="169" fontId="0" fillId="0" borderId="0" xfId="0" applyNumberFormat="1"/>
    <xf numFmtId="0" fontId="9" fillId="0" borderId="0" xfId="0" applyFont="1" applyAlignment="1">
      <alignment horizontal="right"/>
    </xf>
    <xf numFmtId="0" fontId="9" fillId="36" borderId="0" xfId="0" applyFont="1" applyFill="1" applyAlignment="1">
      <alignment horizontal="left" indent="1"/>
    </xf>
    <xf numFmtId="0" fontId="9" fillId="0" borderId="0" xfId="0" quotePrefix="1" applyFont="1" applyAlignment="1">
      <alignment horizontal="center"/>
    </xf>
    <xf numFmtId="0" fontId="0" fillId="36" borderId="0" xfId="0" applyFill="1"/>
    <xf numFmtId="2" fontId="0" fillId="0" borderId="0" xfId="0" applyNumberFormat="1"/>
    <xf numFmtId="0" fontId="9" fillId="0" borderId="0" xfId="0" applyFont="1" applyAlignment="1">
      <alignment horizontal="left" indent="2"/>
    </xf>
    <xf numFmtId="3" fontId="0" fillId="36" borderId="0" xfId="0" applyNumberFormat="1" applyFill="1"/>
    <xf numFmtId="3" fontId="0" fillId="0" borderId="0" xfId="0" applyNumberFormat="1"/>
    <xf numFmtId="3" fontId="13" fillId="36" borderId="0" xfId="0" applyNumberFormat="1" applyFont="1" applyFill="1"/>
    <xf numFmtId="0" fontId="9" fillId="0" borderId="0" xfId="0" quotePrefix="1" applyFont="1"/>
    <xf numFmtId="164" fontId="9" fillId="0" borderId="0" xfId="0" applyNumberFormat="1" applyFont="1"/>
    <xf numFmtId="164" fontId="14" fillId="0" borderId="0" xfId="0" applyNumberFormat="1" applyFont="1" applyFill="1"/>
    <xf numFmtId="0" fontId="9" fillId="0" borderId="0" xfId="28" applyAlignment="1">
      <alignment horizontal="left" indent="1"/>
    </xf>
    <xf numFmtId="0" fontId="7" fillId="0" borderId="0" xfId="0" applyFont="1" applyAlignment="1">
      <alignment horizontal="left" indent="3"/>
    </xf>
    <xf numFmtId="164" fontId="9" fillId="0" borderId="0" xfId="0" quotePrefix="1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0" fillId="36" borderId="0" xfId="0" applyNumberFormat="1" applyFill="1"/>
    <xf numFmtId="164" fontId="13" fillId="34" borderId="0" xfId="0" applyNumberFormat="1" applyFont="1" applyFill="1"/>
    <xf numFmtId="168" fontId="9" fillId="0" borderId="0" xfId="2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13" fillId="0" borderId="0" xfId="0" applyNumberFormat="1" applyFont="1" applyFill="1"/>
    <xf numFmtId="3" fontId="0" fillId="0" borderId="0" xfId="0" applyNumberFormat="1" applyFill="1"/>
    <xf numFmtId="0" fontId="0" fillId="0" borderId="0" xfId="0" applyFill="1" applyAlignment="1">
      <alignment horizontal="left" indent="1"/>
    </xf>
    <xf numFmtId="0" fontId="9" fillId="0" borderId="0" xfId="0" quotePrefix="1" applyFont="1" applyAlignment="1">
      <alignment horizontal="left" indent="1"/>
    </xf>
    <xf numFmtId="0" fontId="9" fillId="36" borderId="0" xfId="0" applyFont="1" applyFill="1"/>
    <xf numFmtId="164" fontId="13" fillId="36" borderId="0" xfId="0" applyNumberFormat="1" applyFont="1" applyFill="1"/>
    <xf numFmtId="166" fontId="9" fillId="0" borderId="0" xfId="0" applyNumberFormat="1" applyFont="1" applyAlignment="1">
      <alignment horizontal="left" indent="1"/>
    </xf>
    <xf numFmtId="0" fontId="13" fillId="0" borderId="0" xfId="0" applyFont="1" applyAlignment="1">
      <alignment horizontal="center"/>
    </xf>
    <xf numFmtId="164" fontId="14" fillId="36" borderId="0" xfId="0" applyNumberFormat="1" applyFont="1" applyFill="1"/>
    <xf numFmtId="0" fontId="0" fillId="37" borderId="0" xfId="0" applyFill="1"/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0" xfId="0" applyFont="1" applyFill="1" applyBorder="1"/>
    <xf numFmtId="0" fontId="10" fillId="0" borderId="0" xfId="0" applyFont="1" applyFill="1" applyAlignment="1">
      <alignment horizontal="center"/>
    </xf>
    <xf numFmtId="168" fontId="9" fillId="0" borderId="0" xfId="0" applyNumberFormat="1" applyFont="1"/>
    <xf numFmtId="0" fontId="17" fillId="0" borderId="0" xfId="34" applyFont="1"/>
    <xf numFmtId="167" fontId="17" fillId="0" borderId="0" xfId="19" applyNumberFormat="1" applyFont="1" applyBorder="1"/>
    <xf numFmtId="0" fontId="17" fillId="0" borderId="0" xfId="34" applyFont="1" applyBorder="1" applyAlignment="1">
      <alignment horizontal="left"/>
    </xf>
    <xf numFmtId="0" fontId="17" fillId="0" borderId="0" xfId="34" applyFont="1" applyBorder="1"/>
    <xf numFmtId="10" fontId="17" fillId="0" borderId="0" xfId="37" applyNumberFormat="1" applyFont="1" applyBorder="1" applyAlignment="1">
      <alignment horizontal="left" indent="3"/>
    </xf>
    <xf numFmtId="0" fontId="17" fillId="0" borderId="0" xfId="34" applyFont="1" applyBorder="1" applyAlignment="1">
      <alignment horizontal="right" wrapText="1"/>
    </xf>
    <xf numFmtId="42" fontId="17" fillId="0" borderId="0" xfId="34" applyNumberFormat="1" applyFont="1"/>
    <xf numFmtId="177" fontId="17" fillId="0" borderId="0" xfId="34" applyNumberFormat="1" applyFont="1"/>
    <xf numFmtId="0" fontId="18" fillId="0" borderId="0" xfId="34" applyFont="1"/>
    <xf numFmtId="0" fontId="18" fillId="0" borderId="0" xfId="34" applyFont="1" applyBorder="1" applyAlignment="1">
      <alignment vertical="center" wrapText="1"/>
    </xf>
    <xf numFmtId="42" fontId="18" fillId="0" borderId="0" xfId="19" applyNumberFormat="1" applyFont="1" applyBorder="1" applyAlignment="1">
      <alignment vertical="center"/>
    </xf>
    <xf numFmtId="171" fontId="18" fillId="0" borderId="0" xfId="37" applyNumberFormat="1" applyFont="1" applyBorder="1" applyAlignment="1">
      <alignment horizontal="center" vertical="center"/>
    </xf>
    <xf numFmtId="42" fontId="0" fillId="0" borderId="0" xfId="0" applyNumberFormat="1"/>
    <xf numFmtId="164" fontId="17" fillId="0" borderId="0" xfId="19" applyNumberFormat="1" applyFont="1" applyBorder="1"/>
    <xf numFmtId="3" fontId="9" fillId="0" borderId="0" xfId="0" applyNumberFormat="1" applyFont="1"/>
    <xf numFmtId="0" fontId="17" fillId="0" borderId="0" xfId="28" applyFont="1"/>
    <xf numFmtId="164" fontId="0" fillId="0" borderId="0" xfId="0" applyNumberFormat="1" applyAlignment="1">
      <alignment horizontal="right" indent="1"/>
    </xf>
    <xf numFmtId="164" fontId="0" fillId="0" borderId="0" xfId="0" applyNumberFormat="1" applyAlignment="1"/>
    <xf numFmtId="164" fontId="13" fillId="36" borderId="0" xfId="0" applyNumberFormat="1" applyFont="1" applyFill="1" applyAlignment="1"/>
    <xf numFmtId="165" fontId="19" fillId="0" borderId="0" xfId="0" applyNumberFormat="1" applyFont="1"/>
    <xf numFmtId="165" fontId="20" fillId="0" borderId="0" xfId="0" applyNumberFormat="1" applyFont="1"/>
    <xf numFmtId="166" fontId="0" fillId="0" borderId="0" xfId="0" applyNumberFormat="1" applyFill="1"/>
    <xf numFmtId="166" fontId="9" fillId="0" borderId="0" xfId="0" applyNumberFormat="1" applyFont="1" applyFill="1" applyAlignment="1">
      <alignment horizontal="left" indent="1"/>
    </xf>
    <xf numFmtId="1" fontId="9" fillId="36" borderId="0" xfId="28" applyNumberFormat="1" applyFont="1" applyFill="1" applyBorder="1" applyAlignment="1">
      <alignment horizontal="center"/>
    </xf>
    <xf numFmtId="0" fontId="9" fillId="0" borderId="0" xfId="28" applyNumberFormat="1" applyFont="1" applyFill="1" applyBorder="1" applyAlignment="1">
      <alignment horizontal="left" indent="1"/>
    </xf>
    <xf numFmtId="168" fontId="9" fillId="0" borderId="0" xfId="0" applyNumberFormat="1" applyFont="1" applyAlignment="1">
      <alignment horizontal="left" indent="1"/>
    </xf>
    <xf numFmtId="165" fontId="9" fillId="0" borderId="0" xfId="0" applyNumberFormat="1" applyFont="1" applyAlignment="1">
      <alignment horizontal="left" indent="1"/>
    </xf>
    <xf numFmtId="0" fontId="0" fillId="36" borderId="0" xfId="0" quotePrefix="1" applyFill="1" applyAlignment="1">
      <alignment horizontal="center"/>
    </xf>
    <xf numFmtId="0" fontId="0" fillId="36" borderId="0" xfId="0" applyFill="1" applyAlignment="1">
      <alignment horizontal="center"/>
    </xf>
    <xf numFmtId="0" fontId="9" fillId="0" borderId="0" xfId="28" applyNumberFormat="1" applyFont="1" applyFill="1" applyBorder="1" applyAlignment="1">
      <alignment horizontal="left" indent="2"/>
    </xf>
    <xf numFmtId="0" fontId="7" fillId="0" borderId="0" xfId="0" quotePrefix="1" applyFont="1" applyAlignment="1">
      <alignment horizontal="right"/>
    </xf>
    <xf numFmtId="0" fontId="9" fillId="0" borderId="0" xfId="0" quotePrefix="1" applyFont="1" applyAlignment="1">
      <alignment horizontal="center" vertical="center"/>
    </xf>
    <xf numFmtId="165" fontId="13" fillId="0" borderId="0" xfId="0" applyNumberFormat="1" applyFont="1"/>
    <xf numFmtId="164" fontId="9" fillId="36" borderId="0" xfId="19" applyNumberFormat="1" applyFont="1" applyFill="1" applyBorder="1"/>
    <xf numFmtId="164" fontId="9" fillId="0" borderId="0" xfId="19" applyNumberFormat="1" applyFont="1" applyBorder="1"/>
    <xf numFmtId="164" fontId="13" fillId="36" borderId="0" xfId="19" applyNumberFormat="1" applyFont="1" applyFill="1" applyBorder="1"/>
    <xf numFmtId="164" fontId="9" fillId="0" borderId="0" xfId="0" applyNumberFormat="1" applyFont="1" applyAlignment="1">
      <alignment horizontal="left" indent="1"/>
    </xf>
    <xf numFmtId="164" fontId="9" fillId="0" borderId="0" xfId="19" applyNumberFormat="1" applyFont="1" applyBorder="1" applyAlignment="1">
      <alignment horizontal="left" indent="1"/>
    </xf>
    <xf numFmtId="10" fontId="9" fillId="0" borderId="0" xfId="37" applyNumberFormat="1" applyFont="1" applyBorder="1" applyAlignment="1">
      <alignment horizontal="center"/>
    </xf>
    <xf numFmtId="10" fontId="13" fillId="0" borderId="0" xfId="37" applyNumberFormat="1" applyFont="1" applyBorder="1" applyAlignment="1">
      <alignment horizontal="center"/>
    </xf>
    <xf numFmtId="164" fontId="7" fillId="0" borderId="0" xfId="19" applyNumberFormat="1" applyFont="1" applyBorder="1" applyAlignment="1">
      <alignment vertical="center"/>
    </xf>
    <xf numFmtId="10" fontId="7" fillId="0" borderId="0" xfId="37" applyNumberFormat="1" applyFont="1" applyBorder="1" applyAlignment="1">
      <alignment horizontal="center" vertical="center"/>
    </xf>
    <xf numFmtId="0" fontId="10" fillId="0" borderId="0" xfId="34" applyFont="1" applyAlignment="1">
      <alignment horizontal="center"/>
    </xf>
    <xf numFmtId="0" fontId="7" fillId="0" borderId="0" xfId="34" applyFont="1" applyBorder="1"/>
    <xf numFmtId="0" fontId="9" fillId="0" borderId="0" xfId="34" applyFont="1" applyBorder="1" applyAlignment="1">
      <alignment horizontal="left" indent="2"/>
    </xf>
    <xf numFmtId="0" fontId="7" fillId="0" borderId="0" xfId="34" applyFont="1" applyBorder="1" applyAlignment="1">
      <alignment horizontal="left"/>
    </xf>
    <xf numFmtId="0" fontId="7" fillId="0" borderId="0" xfId="34" applyFont="1" applyBorder="1" applyAlignment="1">
      <alignment horizontal="left" wrapText="1"/>
    </xf>
    <xf numFmtId="0" fontId="9" fillId="0" borderId="0" xfId="34" applyFont="1" applyBorder="1" applyAlignment="1">
      <alignment horizontal="left" wrapText="1"/>
    </xf>
    <xf numFmtId="0" fontId="7" fillId="0" borderId="0" xfId="34" applyFont="1" applyBorder="1" applyAlignment="1">
      <alignment vertical="center" wrapText="1"/>
    </xf>
    <xf numFmtId="0" fontId="7" fillId="0" borderId="0" xfId="34" applyFont="1"/>
    <xf numFmtId="0" fontId="7" fillId="0" borderId="0" xfId="34" applyFont="1" applyAlignment="1">
      <alignment horizontal="center"/>
    </xf>
    <xf numFmtId="0" fontId="9" fillId="0" borderId="0" xfId="34" applyFont="1"/>
    <xf numFmtId="0" fontId="9" fillId="36" borderId="0" xfId="34" applyFont="1" applyFill="1"/>
    <xf numFmtId="0" fontId="10" fillId="0" borderId="0" xfId="34" applyFont="1" applyFill="1" applyAlignment="1">
      <alignment horizontal="center"/>
    </xf>
    <xf numFmtId="167" fontId="9" fillId="0" borderId="0" xfId="19" applyNumberFormat="1" applyFont="1" applyBorder="1"/>
    <xf numFmtId="171" fontId="9" fillId="0" borderId="0" xfId="37" applyNumberFormat="1" applyFont="1" applyBorder="1" applyAlignment="1">
      <alignment horizontal="left" indent="3"/>
    </xf>
    <xf numFmtId="164" fontId="9" fillId="36" borderId="0" xfId="0" applyNumberFormat="1" applyFont="1" applyFill="1"/>
    <xf numFmtId="0" fontId="9" fillId="0" borderId="0" xfId="34" applyFont="1" applyBorder="1" applyAlignment="1">
      <alignment horizontal="left"/>
    </xf>
    <xf numFmtId="41" fontId="9" fillId="0" borderId="0" xfId="19" applyNumberFormat="1" applyFont="1" applyBorder="1"/>
    <xf numFmtId="41" fontId="9" fillId="0" borderId="0" xfId="34" applyNumberFormat="1" applyFont="1" applyBorder="1"/>
    <xf numFmtId="10" fontId="9" fillId="0" borderId="0" xfId="34" applyNumberFormat="1" applyFont="1" applyBorder="1" applyAlignment="1">
      <alignment horizontal="center"/>
    </xf>
    <xf numFmtId="5" fontId="9" fillId="36" borderId="0" xfId="19" applyNumberFormat="1" applyFont="1" applyFill="1" applyBorder="1"/>
    <xf numFmtId="10" fontId="9" fillId="0" borderId="0" xfId="37" applyNumberFormat="1" applyFont="1" applyFill="1" applyBorder="1" applyAlignment="1">
      <alignment horizontal="center"/>
    </xf>
    <xf numFmtId="5" fontId="13" fillId="36" borderId="0" xfId="19" applyNumberFormat="1" applyFont="1" applyFill="1" applyBorder="1"/>
    <xf numFmtId="10" fontId="13" fillId="0" borderId="0" xfId="37" applyNumberFormat="1" applyFont="1" applyFill="1" applyBorder="1" applyAlignment="1">
      <alignment horizontal="center"/>
    </xf>
    <xf numFmtId="0" fontId="9" fillId="0" borderId="0" xfId="34" applyFont="1" applyBorder="1" applyAlignment="1">
      <alignment horizontal="right" wrapText="1"/>
    </xf>
    <xf numFmtId="0" fontId="7" fillId="0" borderId="0" xfId="34" applyFont="1" applyBorder="1" applyAlignment="1">
      <alignment horizontal="left" vertical="center" wrapText="1"/>
    </xf>
    <xf numFmtId="0" fontId="39" fillId="36" borderId="0" xfId="34" applyFont="1" applyFill="1"/>
    <xf numFmtId="0" fontId="9" fillId="36" borderId="0" xfId="28" applyFont="1" applyFill="1" applyBorder="1" applyAlignment="1">
      <alignment horizontal="center"/>
    </xf>
    <xf numFmtId="0" fontId="9" fillId="36" borderId="0" xfId="0" applyFont="1" applyFill="1" applyAlignment="1"/>
    <xf numFmtId="0" fontId="9" fillId="0" borderId="0" xfId="0" quotePrefix="1" applyFont="1" applyAlignment="1">
      <alignment horizontal="center" vertical="justify"/>
    </xf>
    <xf numFmtId="0" fontId="7" fillId="36" borderId="0" xfId="0" applyFont="1" applyFill="1" applyAlignment="1">
      <alignment horizontal="center"/>
    </xf>
    <xf numFmtId="0" fontId="10" fillId="36" borderId="0" xfId="0" applyFont="1" applyFill="1" applyAlignment="1">
      <alignment horizontal="center"/>
    </xf>
    <xf numFmtId="0" fontId="7" fillId="0" borderId="0" xfId="28" applyFont="1" applyFill="1" applyBorder="1" applyAlignment="1">
      <alignment horizontal="left"/>
    </xf>
    <xf numFmtId="1" fontId="9" fillId="0" borderId="0" xfId="28" quotePrefix="1" applyNumberFormat="1" applyFont="1" applyFill="1" applyBorder="1" applyAlignment="1">
      <alignment horizontal="right"/>
    </xf>
    <xf numFmtId="164" fontId="9" fillId="0" borderId="0" xfId="0" quotePrefix="1" applyNumberFormat="1" applyFont="1" applyFill="1" applyAlignment="1">
      <alignment horizontal="center"/>
    </xf>
    <xf numFmtId="164" fontId="9" fillId="0" borderId="0" xfId="0" quotePrefix="1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NumberFormat="1" applyFont="1" applyBorder="1" applyAlignment="1">
      <alignment horizontal="center" wrapText="1"/>
    </xf>
    <xf numFmtId="0" fontId="7" fillId="0" borderId="3" xfId="0" applyNumberFormat="1" applyFont="1" applyFill="1" applyBorder="1" applyAlignment="1">
      <alignment wrapText="1"/>
    </xf>
    <xf numFmtId="0" fontId="7" fillId="0" borderId="3" xfId="0" applyNumberFormat="1" applyFont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9" fillId="0" borderId="3" xfId="0" quotePrefix="1" applyNumberFormat="1" applyFont="1" applyFill="1" applyBorder="1" applyAlignment="1">
      <alignment horizontal="center"/>
    </xf>
    <xf numFmtId="0" fontId="9" fillId="0" borderId="3" xfId="0" quotePrefix="1" applyNumberFormat="1" applyFont="1" applyFill="1" applyBorder="1" applyAlignment="1">
      <alignment horizontal="left"/>
    </xf>
    <xf numFmtId="0" fontId="9" fillId="0" borderId="3" xfId="0" quotePrefix="1" applyNumberFormat="1" applyFont="1" applyFill="1" applyBorder="1"/>
    <xf numFmtId="0" fontId="9" fillId="0" borderId="3" xfId="0" applyFont="1" applyFill="1" applyBorder="1" applyAlignment="1">
      <alignment horizontal="center"/>
    </xf>
    <xf numFmtId="37" fontId="9" fillId="0" borderId="3" xfId="0" applyNumberFormat="1" applyFont="1" applyFill="1" applyBorder="1" applyAlignment="1">
      <alignment horizontal="center"/>
    </xf>
    <xf numFmtId="37" fontId="9" fillId="0" borderId="3" xfId="0" applyNumberFormat="1" applyFont="1" applyBorder="1" applyAlignment="1">
      <alignment horizontal="center"/>
    </xf>
    <xf numFmtId="0" fontId="9" fillId="0" borderId="3" xfId="0" quotePrefix="1" applyNumberFormat="1" applyFont="1" applyBorder="1" applyAlignment="1">
      <alignment horizontal="center"/>
    </xf>
    <xf numFmtId="0" fontId="9" fillId="0" borderId="3" xfId="0" quotePrefix="1" applyNumberFormat="1" applyFont="1" applyBorder="1"/>
    <xf numFmtId="0" fontId="9" fillId="0" borderId="3" xfId="0" applyFont="1" applyBorder="1" applyAlignment="1">
      <alignment horizontal="center"/>
    </xf>
    <xf numFmtId="0" fontId="7" fillId="0" borderId="0" xfId="0" quotePrefix="1" applyNumberFormat="1" applyFont="1" applyBorder="1" applyAlignment="1">
      <alignment horizontal="center"/>
    </xf>
    <xf numFmtId="0" fontId="7" fillId="0" borderId="0" xfId="0" applyNumberFormat="1" applyFont="1" applyFill="1" applyBorder="1"/>
    <xf numFmtId="0" fontId="7" fillId="0" borderId="0" xfId="0" quotePrefix="1" applyNumberFormat="1" applyFont="1" applyBorder="1"/>
    <xf numFmtId="0" fontId="7" fillId="0" borderId="0" xfId="0" quotePrefix="1" applyNumberFormat="1" applyFont="1" applyFill="1" applyBorder="1"/>
    <xf numFmtId="37" fontId="9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quotePrefix="1" applyNumberFormat="1" applyFont="1" applyBorder="1" applyAlignment="1">
      <alignment horizontal="center"/>
    </xf>
    <xf numFmtId="0" fontId="9" fillId="0" borderId="3" xfId="0" applyFont="1" applyFill="1" applyBorder="1"/>
    <xf numFmtId="37" fontId="7" fillId="0" borderId="0" xfId="0" applyNumberFormat="1" applyFont="1" applyFill="1" applyBorder="1" applyAlignment="1">
      <alignment horizontal="center"/>
    </xf>
    <xf numFmtId="0" fontId="9" fillId="0" borderId="3" xfId="0" applyNumberFormat="1" applyFont="1" applyFill="1" applyBorder="1"/>
    <xf numFmtId="0" fontId="9" fillId="0" borderId="3" xfId="0" applyNumberFormat="1" applyFont="1" applyFill="1" applyBorder="1" applyAlignment="1">
      <alignment horizontal="left"/>
    </xf>
    <xf numFmtId="39" fontId="9" fillId="0" borderId="0" xfId="19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39" fontId="9" fillId="0" borderId="0" xfId="19" applyNumberFormat="1" applyFont="1" applyFill="1" applyBorder="1" applyAlignment="1">
      <alignment horizontal="center"/>
    </xf>
    <xf numFmtId="0" fontId="9" fillId="0" borderId="0" xfId="0" applyFont="1" applyBorder="1"/>
    <xf numFmtId="0" fontId="7" fillId="0" borderId="3" xfId="0" applyNumberFormat="1" applyFont="1" applyFill="1" applyBorder="1" applyAlignment="1">
      <alignment horizontal="right"/>
    </xf>
    <xf numFmtId="0" fontId="9" fillId="0" borderId="0" xfId="0" quotePrefix="1" applyNumberFormat="1" applyFont="1" applyBorder="1"/>
    <xf numFmtId="0" fontId="9" fillId="0" borderId="0" xfId="0" quotePrefix="1" applyNumberFormat="1" applyFont="1" applyFill="1" applyBorder="1"/>
    <xf numFmtId="49" fontId="9" fillId="0" borderId="0" xfId="0" applyNumberFormat="1" applyFont="1" applyBorder="1" applyAlignment="1">
      <alignment horizontal="left"/>
    </xf>
    <xf numFmtId="164" fontId="9" fillId="0" borderId="0" xfId="19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49" fontId="9" fillId="0" borderId="0" xfId="19" applyNumberFormat="1" applyFont="1" applyBorder="1" applyAlignment="1">
      <alignment horizontal="left" indent="1"/>
    </xf>
    <xf numFmtId="0" fontId="40" fillId="0" borderId="0" xfId="0" applyFont="1"/>
    <xf numFmtId="0" fontId="40" fillId="0" borderId="0" xfId="0" applyFont="1" applyAlignment="1">
      <alignment horizontal="right"/>
    </xf>
    <xf numFmtId="164" fontId="40" fillId="0" borderId="0" xfId="0" applyNumberFormat="1" applyFont="1"/>
    <xf numFmtId="0" fontId="41" fillId="0" borderId="0" xfId="0" applyFont="1" applyAlignment="1">
      <alignment horizontal="center"/>
    </xf>
    <xf numFmtId="164" fontId="40" fillId="0" borderId="0" xfId="0" applyNumberFormat="1" applyFont="1" applyFill="1"/>
    <xf numFmtId="164" fontId="40" fillId="36" borderId="0" xfId="0" applyNumberFormat="1" applyFont="1" applyFill="1"/>
    <xf numFmtId="10" fontId="40" fillId="34" borderId="0" xfId="0" applyNumberFormat="1" applyFont="1" applyFill="1"/>
    <xf numFmtId="164" fontId="40" fillId="0" borderId="0" xfId="0" applyNumberFormat="1" applyFont="1" applyAlignment="1">
      <alignment horizontal="right"/>
    </xf>
    <xf numFmtId="164" fontId="40" fillId="0" borderId="0" xfId="0" quotePrefix="1" applyNumberFormat="1" applyFont="1" applyAlignment="1">
      <alignment horizontal="center"/>
    </xf>
    <xf numFmtId="164" fontId="40" fillId="0" borderId="0" xfId="0" quotePrefix="1" applyNumberFormat="1" applyFont="1" applyFill="1" applyAlignment="1">
      <alignment horizontal="center"/>
    </xf>
    <xf numFmtId="0" fontId="40" fillId="0" borderId="0" xfId="0" applyFont="1" applyFill="1"/>
    <xf numFmtId="10" fontId="40" fillId="0" borderId="0" xfId="0" applyNumberFormat="1" applyFont="1" applyFill="1"/>
    <xf numFmtId="164" fontId="41" fillId="0" borderId="0" xfId="0" applyNumberFormat="1" applyFont="1" applyAlignment="1">
      <alignment horizontal="center"/>
    </xf>
    <xf numFmtId="0" fontId="38" fillId="0" borderId="0" xfId="0" applyFont="1" applyAlignment="1">
      <alignment horizontal="center"/>
    </xf>
    <xf numFmtId="164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164" fontId="44" fillId="0" borderId="0" xfId="0" applyNumberFormat="1" applyFont="1"/>
    <xf numFmtId="164" fontId="40" fillId="0" borderId="0" xfId="0" applyNumberFormat="1" applyFont="1" applyFill="1" applyAlignment="1">
      <alignment horizontal="right"/>
    </xf>
    <xf numFmtId="166" fontId="40" fillId="0" borderId="0" xfId="0" applyNumberFormat="1" applyFont="1"/>
    <xf numFmtId="164" fontId="40" fillId="34" borderId="0" xfId="0" applyNumberFormat="1" applyFont="1" applyFill="1"/>
    <xf numFmtId="0" fontId="40" fillId="0" borderId="0" xfId="0" applyFont="1" applyAlignment="1">
      <alignment horizontal="left" indent="1"/>
    </xf>
    <xf numFmtId="165" fontId="40" fillId="0" borderId="0" xfId="0" applyNumberFormat="1" applyFont="1"/>
    <xf numFmtId="0" fontId="40" fillId="0" borderId="0" xfId="0" applyFont="1" applyAlignment="1">
      <alignment horizontal="center"/>
    </xf>
    <xf numFmtId="0" fontId="9" fillId="0" borderId="0" xfId="0" quotePrefix="1" applyFont="1" applyAlignment="1"/>
    <xf numFmtId="10" fontId="9" fillId="0" borderId="0" xfId="0" applyNumberFormat="1" applyFont="1"/>
    <xf numFmtId="0" fontId="9" fillId="0" borderId="0" xfId="0" quotePrefix="1" applyFont="1" applyAlignment="1">
      <alignment horizontal="right"/>
    </xf>
    <xf numFmtId="0" fontId="7" fillId="36" borderId="0" xfId="0" quotePrefix="1" applyFont="1" applyFill="1" applyAlignment="1">
      <alignment horizontal="center"/>
    </xf>
    <xf numFmtId="0" fontId="7" fillId="0" borderId="0" xfId="28" applyFont="1"/>
    <xf numFmtId="0" fontId="9" fillId="36" borderId="0" xfId="28" applyFont="1" applyFill="1"/>
    <xf numFmtId="0" fontId="7" fillId="0" borderId="0" xfId="28" applyFont="1" applyFill="1" applyBorder="1" applyAlignment="1">
      <alignment horizontal="left" vertical="center"/>
    </xf>
    <xf numFmtId="0" fontId="7" fillId="0" borderId="0" xfId="28" applyFont="1" applyFill="1" applyBorder="1" applyAlignment="1">
      <alignment horizontal="center" vertical="center" wrapText="1"/>
    </xf>
    <xf numFmtId="0" fontId="7" fillId="0" borderId="0" xfId="28" applyFont="1" applyFill="1" applyBorder="1" applyAlignment="1">
      <alignment horizontal="center" vertical="center"/>
    </xf>
    <xf numFmtId="0" fontId="7" fillId="0" borderId="0" xfId="28" applyFont="1" applyFill="1" applyBorder="1" applyAlignment="1">
      <alignment horizontal="center"/>
    </xf>
    <xf numFmtId="0" fontId="7" fillId="0" borderId="0" xfId="28" applyFont="1" applyBorder="1" applyAlignment="1">
      <alignment horizontal="center" vertical="center" wrapText="1"/>
    </xf>
    <xf numFmtId="0" fontId="9" fillId="0" borderId="0" xfId="28" applyFont="1" applyFill="1" applyBorder="1" applyAlignment="1">
      <alignment horizontal="left" vertical="center" indent="1"/>
    </xf>
    <xf numFmtId="164" fontId="9" fillId="0" borderId="0" xfId="28" applyNumberFormat="1" applyFont="1" applyFill="1" applyBorder="1" applyAlignment="1">
      <alignment horizontal="right" vertical="center" wrapText="1"/>
    </xf>
    <xf numFmtId="164" fontId="9" fillId="0" borderId="0" xfId="20" applyNumberFormat="1" applyFont="1" applyFill="1"/>
    <xf numFmtId="164" fontId="9" fillId="0" borderId="0" xfId="28" applyNumberFormat="1" applyFont="1" applyFill="1" applyBorder="1" applyAlignment="1">
      <alignment horizontal="right"/>
    </xf>
    <xf numFmtId="164" fontId="9" fillId="36" borderId="0" xfId="28" applyNumberFormat="1" applyFont="1" applyFill="1" applyBorder="1" applyAlignment="1">
      <alignment horizontal="right" vertical="center" wrapText="1"/>
    </xf>
    <xf numFmtId="164" fontId="13" fillId="0" borderId="0" xfId="28" applyNumberFormat="1" applyFont="1" applyFill="1" applyBorder="1" applyAlignment="1">
      <alignment horizontal="right" vertical="center" wrapText="1"/>
    </xf>
    <xf numFmtId="164" fontId="13" fillId="0" borderId="0" xfId="20" applyNumberFormat="1" applyFont="1" applyFill="1"/>
    <xf numFmtId="164" fontId="13" fillId="0" borderId="0" xfId="28" applyNumberFormat="1" applyFont="1" applyFill="1" applyBorder="1" applyAlignment="1">
      <alignment horizontal="right"/>
    </xf>
    <xf numFmtId="164" fontId="13" fillId="36" borderId="0" xfId="28" applyNumberFormat="1" applyFont="1" applyFill="1" applyBorder="1" applyAlignment="1">
      <alignment horizontal="right" vertical="center" wrapText="1"/>
    </xf>
    <xf numFmtId="0" fontId="7" fillId="0" borderId="0" xfId="28" applyFont="1" applyFill="1" applyAlignment="1">
      <alignment horizontal="right" vertical="center"/>
    </xf>
    <xf numFmtId="164" fontId="9" fillId="0" borderId="0" xfId="28" applyNumberFormat="1" applyFont="1" applyFill="1" applyAlignment="1">
      <alignment vertical="center"/>
    </xf>
    <xf numFmtId="0" fontId="9" fillId="0" borderId="0" xfId="28" applyFont="1" applyFill="1"/>
    <xf numFmtId="41" fontId="9" fillId="0" borderId="0" xfId="20" applyNumberFormat="1" applyFont="1" applyFill="1"/>
    <xf numFmtId="41" fontId="9" fillId="0" borderId="0" xfId="28" applyNumberFormat="1" applyFont="1" applyFill="1"/>
    <xf numFmtId="41" fontId="9" fillId="0" borderId="0" xfId="20" applyNumberFormat="1" applyFont="1"/>
    <xf numFmtId="41" fontId="9" fillId="0" borderId="0" xfId="20" applyNumberFormat="1" applyFont="1" applyAlignment="1" applyProtection="1">
      <alignment horizontal="right" indent="2"/>
    </xf>
    <xf numFmtId="0" fontId="7" fillId="0" borderId="0" xfId="28" applyFont="1" applyFill="1"/>
    <xf numFmtId="0" fontId="9" fillId="0" borderId="0" xfId="28" applyFont="1" applyFill="1" applyAlignment="1">
      <alignment horizontal="left" wrapText="1" indent="1"/>
    </xf>
    <xf numFmtId="164" fontId="9" fillId="0" borderId="0" xfId="28" applyNumberFormat="1" applyFont="1" applyFill="1"/>
    <xf numFmtId="164" fontId="9" fillId="36" borderId="0" xfId="28" applyNumberFormat="1" applyFont="1" applyFill="1"/>
    <xf numFmtId="164" fontId="9" fillId="36" borderId="0" xfId="20" applyNumberFormat="1" applyFont="1" applyFill="1"/>
    <xf numFmtId="0" fontId="9" fillId="0" borderId="0" xfId="28" applyFont="1" applyFill="1" applyAlignment="1">
      <alignment horizontal="left" indent="1"/>
    </xf>
    <xf numFmtId="41" fontId="21" fillId="0" borderId="0" xfId="20" applyNumberFormat="1" applyFont="1" applyFill="1"/>
    <xf numFmtId="164" fontId="21" fillId="0" borderId="0" xfId="20" applyNumberFormat="1" applyFont="1" applyFill="1"/>
    <xf numFmtId="42" fontId="21" fillId="0" borderId="0" xfId="28" applyNumberFormat="1" applyFont="1"/>
    <xf numFmtId="164" fontId="21" fillId="36" borderId="0" xfId="20" applyNumberFormat="1" applyFont="1" applyFill="1"/>
    <xf numFmtId="164" fontId="21" fillId="36" borderId="0" xfId="28" applyNumberFormat="1" applyFont="1" applyFill="1"/>
    <xf numFmtId="0" fontId="7" fillId="0" borderId="0" xfId="28" applyFont="1" applyAlignment="1">
      <alignment horizontal="right"/>
    </xf>
    <xf numFmtId="42" fontId="9" fillId="0" borderId="0" xfId="28" applyNumberFormat="1" applyFont="1"/>
    <xf numFmtId="42" fontId="9" fillId="0" borderId="0" xfId="20" applyNumberFormat="1" applyFont="1" applyBorder="1"/>
    <xf numFmtId="42" fontId="9" fillId="0" borderId="0" xfId="28" applyNumberFormat="1" applyFont="1" applyBorder="1"/>
    <xf numFmtId="164" fontId="9" fillId="0" borderId="0" xfId="20" applyNumberFormat="1" applyFont="1" applyBorder="1"/>
    <xf numFmtId="43" fontId="9" fillId="0" borderId="0" xfId="28" applyNumberFormat="1" applyFont="1"/>
    <xf numFmtId="41" fontId="9" fillId="0" borderId="0" xfId="28" applyNumberFormat="1" applyFont="1"/>
    <xf numFmtId="0" fontId="7" fillId="0" borderId="0" xfId="28" applyFont="1" applyAlignment="1">
      <alignment horizontal="center" wrapText="1"/>
    </xf>
    <xf numFmtId="0" fontId="10" fillId="0" borderId="0" xfId="28" applyFont="1"/>
    <xf numFmtId="164" fontId="9" fillId="0" borderId="0" xfId="28" applyNumberFormat="1" applyFont="1" applyBorder="1"/>
    <xf numFmtId="0" fontId="9" fillId="0" borderId="0" xfId="28" applyFont="1" applyFill="1" applyBorder="1" applyAlignment="1">
      <alignment horizontal="right" vertical="center"/>
    </xf>
    <xf numFmtId="168" fontId="9" fillId="0" borderId="0" xfId="39" applyNumberFormat="1" applyFont="1" applyFill="1" applyBorder="1" applyAlignment="1">
      <alignment vertical="center"/>
    </xf>
    <xf numFmtId="10" fontId="9" fillId="0" borderId="0" xfId="39" applyNumberFormat="1" applyFont="1" applyFill="1" applyBorder="1" applyAlignment="1">
      <alignment vertical="center"/>
    </xf>
    <xf numFmtId="0" fontId="22" fillId="0" borderId="0" xfId="28" applyFont="1" applyAlignment="1">
      <alignment vertical="center"/>
    </xf>
    <xf numFmtId="0" fontId="9" fillId="0" borderId="0" xfId="28" applyFont="1" applyAlignment="1">
      <alignment vertical="center"/>
    </xf>
    <xf numFmtId="0" fontId="9" fillId="0" borderId="0" xfId="28" applyFont="1" applyFill="1" applyBorder="1"/>
    <xf numFmtId="10" fontId="9" fillId="0" borderId="0" xfId="39" applyNumberFormat="1" applyFont="1" applyFill="1" applyBorder="1"/>
    <xf numFmtId="164" fontId="9" fillId="0" borderId="0" xfId="39" applyNumberFormat="1" applyFont="1"/>
    <xf numFmtId="42" fontId="9" fillId="0" borderId="0" xfId="20" applyNumberFormat="1" applyFont="1" applyFill="1"/>
    <xf numFmtId="42" fontId="9" fillId="0" borderId="0" xfId="39" applyNumberFormat="1" applyFont="1"/>
    <xf numFmtId="164" fontId="9" fillId="0" borderId="0" xfId="28" applyNumberFormat="1" applyFont="1"/>
    <xf numFmtId="164" fontId="13" fillId="0" borderId="0" xfId="28" applyNumberFormat="1" applyFont="1"/>
    <xf numFmtId="168" fontId="9" fillId="0" borderId="0" xfId="28" applyNumberFormat="1" applyFont="1"/>
    <xf numFmtId="39" fontId="7" fillId="0" borderId="3" xfId="22" quotePrefix="1" applyNumberFormat="1" applyFont="1" applyBorder="1" applyAlignment="1">
      <alignment horizontal="center" wrapText="1"/>
    </xf>
    <xf numFmtId="39" fontId="7" fillId="0" borderId="3" xfId="22" applyNumberFormat="1" applyFont="1" applyBorder="1" applyAlignment="1">
      <alignment horizontal="center" wrapText="1"/>
    </xf>
    <xf numFmtId="39" fontId="9" fillId="0" borderId="3" xfId="22" quotePrefix="1" applyNumberFormat="1" applyFont="1" applyFill="1" applyBorder="1" applyAlignment="1">
      <alignment horizontal="center"/>
    </xf>
    <xf numFmtId="178" fontId="7" fillId="0" borderId="3" xfId="22" applyNumberFormat="1" applyFont="1" applyBorder="1" applyAlignment="1">
      <alignment horizontal="center" wrapText="1"/>
    </xf>
    <xf numFmtId="39" fontId="7" fillId="0" borderId="0" xfId="22" quotePrefix="1" applyNumberFormat="1" applyFont="1" applyBorder="1" applyAlignment="1">
      <alignment horizontal="center"/>
    </xf>
    <xf numFmtId="37" fontId="7" fillId="0" borderId="3" xfId="22" quotePrefix="1" applyNumberFormat="1" applyFont="1" applyBorder="1" applyAlignment="1">
      <alignment horizontal="center"/>
    </xf>
    <xf numFmtId="37" fontId="7" fillId="0" borderId="0" xfId="22" quotePrefix="1" applyNumberFormat="1" applyFont="1" applyBorder="1" applyAlignment="1">
      <alignment horizontal="center"/>
    </xf>
    <xf numFmtId="37" fontId="9" fillId="0" borderId="3" xfId="22" quotePrefix="1" applyNumberFormat="1" applyFont="1" applyBorder="1" applyAlignment="1">
      <alignment horizontal="center"/>
    </xf>
    <xf numFmtId="37" fontId="9" fillId="0" borderId="3" xfId="22" quotePrefix="1" applyNumberFormat="1" applyFont="1" applyFill="1" applyBorder="1" applyAlignment="1">
      <alignment horizontal="center"/>
    </xf>
    <xf numFmtId="39" fontId="9" fillId="0" borderId="0" xfId="22" quotePrefix="1" applyNumberFormat="1" applyFont="1" applyBorder="1" applyAlignment="1">
      <alignment horizontal="center"/>
    </xf>
    <xf numFmtId="178" fontId="9" fillId="0" borderId="0" xfId="22" applyNumberFormat="1" applyFont="1" applyBorder="1" applyAlignment="1">
      <alignment horizontal="center"/>
    </xf>
    <xf numFmtId="0" fontId="9" fillId="0" borderId="3" xfId="22" applyNumberFormat="1" applyFont="1" applyFill="1" applyBorder="1" applyAlignment="1">
      <alignment horizontal="left"/>
    </xf>
    <xf numFmtId="37" fontId="9" fillId="36" borderId="3" xfId="22" quotePrefix="1" applyNumberFormat="1" applyFont="1" applyFill="1" applyBorder="1" applyAlignment="1">
      <alignment horizontal="center"/>
    </xf>
    <xf numFmtId="0" fontId="9" fillId="36" borderId="3" xfId="0" applyFont="1" applyFill="1" applyBorder="1" applyAlignment="1">
      <alignment horizontal="center"/>
    </xf>
    <xf numFmtId="37" fontId="9" fillId="36" borderId="3" xfId="0" applyNumberFormat="1" applyFont="1" applyFill="1" applyBorder="1" applyAlignment="1">
      <alignment horizontal="center"/>
    </xf>
    <xf numFmtId="37" fontId="9" fillId="36" borderId="3" xfId="22" applyNumberFormat="1" applyFont="1" applyFill="1" applyBorder="1" applyAlignment="1">
      <alignment horizontal="center"/>
    </xf>
    <xf numFmtId="39" fontId="9" fillId="36" borderId="3" xfId="22" quotePrefix="1" applyNumberFormat="1" applyFont="1" applyFill="1" applyBorder="1" applyAlignment="1">
      <alignment horizontal="center"/>
    </xf>
    <xf numFmtId="39" fontId="9" fillId="36" borderId="4" xfId="22" quotePrefix="1" applyNumberFormat="1" applyFont="1" applyFill="1" applyBorder="1" applyAlignment="1">
      <alignment horizontal="center"/>
    </xf>
    <xf numFmtId="37" fontId="7" fillId="36" borderId="3" xfId="22" quotePrefix="1" applyNumberFormat="1" applyFont="1" applyFill="1" applyBorder="1" applyAlignment="1">
      <alignment horizontal="center"/>
    </xf>
    <xf numFmtId="179" fontId="9" fillId="36" borderId="3" xfId="22" applyNumberFormat="1" applyFont="1" applyFill="1" applyBorder="1"/>
    <xf numFmtId="37" fontId="7" fillId="0" borderId="0" xfId="22" quotePrefix="1" applyNumberFormat="1" applyFont="1" applyFill="1" applyBorder="1" applyAlignment="1">
      <alignment horizontal="center"/>
    </xf>
    <xf numFmtId="37" fontId="7" fillId="0" borderId="3" xfId="22" quotePrefix="1" applyNumberFormat="1" applyFont="1" applyFill="1" applyBorder="1" applyAlignment="1">
      <alignment horizontal="center"/>
    </xf>
    <xf numFmtId="39" fontId="7" fillId="0" borderId="0" xfId="22" quotePrefix="1" applyNumberFormat="1" applyFont="1" applyFill="1" applyBorder="1" applyAlignment="1">
      <alignment horizontal="center"/>
    </xf>
    <xf numFmtId="39" fontId="7" fillId="0" borderId="3" xfId="22" applyNumberFormat="1" applyFont="1" applyFill="1" applyBorder="1" applyAlignment="1">
      <alignment horizontal="center" wrapText="1"/>
    </xf>
    <xf numFmtId="39" fontId="9" fillId="0" borderId="0" xfId="22" applyNumberFormat="1" applyFont="1" applyFill="1" applyBorder="1" applyAlignment="1">
      <alignment horizontal="center"/>
    </xf>
    <xf numFmtId="39" fontId="9" fillId="0" borderId="0" xfId="22" quotePrefix="1" applyNumberFormat="1" applyFont="1" applyFill="1" applyBorder="1" applyAlignment="1">
      <alignment horizontal="center"/>
    </xf>
    <xf numFmtId="39" fontId="39" fillId="0" borderId="0" xfId="22" quotePrefix="1" applyNumberFormat="1" applyFont="1" applyBorder="1" applyAlignment="1">
      <alignment horizontal="center"/>
    </xf>
    <xf numFmtId="39" fontId="9" fillId="0" borderId="3" xfId="22" applyNumberFormat="1" applyFont="1" applyBorder="1" applyAlignment="1">
      <alignment horizontal="center" wrapText="1"/>
    </xf>
    <xf numFmtId="179" fontId="39" fillId="0" borderId="0" xfId="22" applyNumberFormat="1" applyFont="1" applyBorder="1" applyAlignment="1">
      <alignment horizontal="center"/>
    </xf>
    <xf numFmtId="39" fontId="39" fillId="0" borderId="0" xfId="22" applyNumberFormat="1" applyFont="1" applyBorder="1" applyAlignment="1">
      <alignment horizontal="left"/>
    </xf>
    <xf numFmtId="37" fontId="7" fillId="37" borderId="3" xfId="22" quotePrefix="1" applyNumberFormat="1" applyFont="1" applyFill="1" applyBorder="1" applyAlignment="1">
      <alignment horizontal="center"/>
    </xf>
    <xf numFmtId="39" fontId="7" fillId="37" borderId="3" xfId="22" applyNumberFormat="1" applyFont="1" applyFill="1" applyBorder="1" applyAlignment="1">
      <alignment horizontal="center"/>
    </xf>
    <xf numFmtId="39" fontId="45" fillId="0" borderId="0" xfId="22" quotePrefix="1" applyNumberFormat="1" applyFont="1" applyBorder="1" applyAlignment="1">
      <alignment horizontal="center"/>
    </xf>
    <xf numFmtId="37" fontId="7" fillId="36" borderId="5" xfId="22" quotePrefix="1" applyNumberFormat="1" applyFont="1" applyFill="1" applyBorder="1" applyAlignment="1">
      <alignment horizontal="center"/>
    </xf>
    <xf numFmtId="0" fontId="7" fillId="37" borderId="0" xfId="0" quotePrefix="1" applyNumberFormat="1" applyFont="1" applyFill="1" applyBorder="1"/>
    <xf numFmtId="0" fontId="7" fillId="37" borderId="0" xfId="0" applyFont="1" applyFill="1" applyBorder="1"/>
    <xf numFmtId="37" fontId="45" fillId="0" borderId="0" xfId="22" quotePrefix="1" applyNumberFormat="1" applyFont="1" applyBorder="1" applyAlignment="1">
      <alignment horizontal="center"/>
    </xf>
    <xf numFmtId="0" fontId="9" fillId="36" borderId="3" xfId="0" quotePrefix="1" applyNumberFormat="1" applyFont="1" applyFill="1" applyBorder="1"/>
    <xf numFmtId="0" fontId="9" fillId="36" borderId="3" xfId="0" quotePrefix="1" applyNumberFormat="1" applyFont="1" applyFill="1" applyBorder="1" applyAlignment="1">
      <alignment horizontal="left"/>
    </xf>
    <xf numFmtId="0" fontId="9" fillId="36" borderId="3" xfId="0" applyNumberFormat="1" applyFont="1" applyFill="1" applyBorder="1"/>
    <xf numFmtId="0" fontId="9" fillId="36" borderId="3" xfId="0" applyNumberFormat="1" applyFont="1" applyFill="1" applyBorder="1" applyAlignment="1">
      <alignment horizontal="left"/>
    </xf>
    <xf numFmtId="0" fontId="9" fillId="36" borderId="3" xfId="22" applyNumberFormat="1" applyFont="1" applyFill="1" applyBorder="1" applyAlignment="1">
      <alignment horizontal="left"/>
    </xf>
    <xf numFmtId="0" fontId="9" fillId="36" borderId="3" xfId="0" quotePrefix="1" applyNumberFormat="1" applyFont="1" applyFill="1" applyBorder="1" applyAlignment="1">
      <alignment horizontal="center"/>
    </xf>
    <xf numFmtId="0" fontId="9" fillId="37" borderId="3" xfId="0" applyFont="1" applyFill="1" applyBorder="1" applyAlignment="1">
      <alignment horizontal="center"/>
    </xf>
    <xf numFmtId="0" fontId="9" fillId="37" borderId="3" xfId="0" applyFont="1" applyFill="1" applyBorder="1"/>
    <xf numFmtId="39" fontId="9" fillId="37" borderId="3" xfId="22" applyNumberFormat="1" applyFont="1" applyFill="1" applyBorder="1" applyAlignment="1">
      <alignment horizontal="center"/>
    </xf>
    <xf numFmtId="0" fontId="7" fillId="37" borderId="3" xfId="0" applyFont="1" applyFill="1" applyBorder="1" applyAlignment="1">
      <alignment horizontal="center"/>
    </xf>
    <xf numFmtId="37" fontId="9" fillId="0" borderId="3" xfId="22" applyNumberFormat="1" applyFont="1" applyFill="1" applyBorder="1" applyAlignment="1">
      <alignment horizontal="center"/>
    </xf>
    <xf numFmtId="39" fontId="9" fillId="0" borderId="3" xfId="22" applyNumberFormat="1" applyFont="1" applyFill="1" applyBorder="1" applyAlignment="1">
      <alignment horizontal="center"/>
    </xf>
    <xf numFmtId="49" fontId="9" fillId="0" borderId="0" xfId="22" applyNumberFormat="1" applyFont="1" applyBorder="1" applyAlignment="1">
      <alignment horizontal="left"/>
    </xf>
    <xf numFmtId="49" fontId="9" fillId="0" borderId="0" xfId="22" quotePrefix="1" applyNumberFormat="1" applyFont="1" applyBorder="1" applyAlignment="1">
      <alignment horizontal="left"/>
    </xf>
    <xf numFmtId="39" fontId="9" fillId="0" borderId="3" xfId="22" applyNumberFormat="1" applyFont="1" applyBorder="1" applyAlignment="1">
      <alignment horizontal="right"/>
    </xf>
    <xf numFmtId="10" fontId="9" fillId="0" borderId="3" xfId="38" applyNumberFormat="1" applyFont="1" applyFill="1" applyBorder="1" applyAlignment="1">
      <alignment horizontal="center"/>
    </xf>
    <xf numFmtId="39" fontId="9" fillId="0" borderId="3" xfId="22" quotePrefix="1" applyNumberFormat="1" applyFont="1" applyBorder="1" applyAlignment="1">
      <alignment horizontal="center"/>
    </xf>
    <xf numFmtId="39" fontId="7" fillId="0" borderId="3" xfId="22" applyNumberFormat="1" applyFont="1" applyFill="1" applyBorder="1" applyAlignment="1">
      <alignment horizontal="right" wrapText="1"/>
    </xf>
    <xf numFmtId="0" fontId="9" fillId="37" borderId="3" xfId="0" quotePrefix="1" applyNumberFormat="1" applyFont="1" applyFill="1" applyBorder="1"/>
    <xf numFmtId="0" fontId="9" fillId="36" borderId="6" xfId="0" applyFont="1" applyFill="1" applyBorder="1" applyAlignment="1"/>
    <xf numFmtId="0" fontId="9" fillId="36" borderId="4" xfId="0" applyFont="1" applyFill="1" applyBorder="1" applyAlignment="1"/>
    <xf numFmtId="0" fontId="9" fillId="36" borderId="3" xfId="0" applyFont="1" applyFill="1" applyBorder="1"/>
    <xf numFmtId="39" fontId="9" fillId="36" borderId="3" xfId="22" applyNumberFormat="1" applyFont="1" applyFill="1" applyBorder="1" applyAlignment="1">
      <alignment horizontal="center"/>
    </xf>
    <xf numFmtId="39" fontId="9" fillId="36" borderId="3" xfId="0" applyNumberFormat="1" applyFont="1" applyFill="1" applyBorder="1" applyAlignment="1">
      <alignment horizontal="center"/>
    </xf>
    <xf numFmtId="0" fontId="7" fillId="36" borderId="3" xfId="0" quotePrefix="1" applyNumberFormat="1" applyFont="1" applyFill="1" applyBorder="1"/>
    <xf numFmtId="39" fontId="7" fillId="36" borderId="3" xfId="22" quotePrefix="1" applyNumberFormat="1" applyFont="1" applyFill="1" applyBorder="1" applyAlignment="1">
      <alignment horizontal="center"/>
    </xf>
    <xf numFmtId="0" fontId="7" fillId="36" borderId="3" xfId="0" applyNumberFormat="1" applyFont="1" applyFill="1" applyBorder="1"/>
    <xf numFmtId="37" fontId="7" fillId="0" borderId="0" xfId="22" applyNumberFormat="1" applyFont="1" applyFill="1" applyBorder="1" applyAlignment="1">
      <alignment horizontal="center"/>
    </xf>
    <xf numFmtId="0" fontId="0" fillId="36" borderId="0" xfId="0" applyFill="1" applyAlignment="1">
      <alignment horizontal="left" vertical="top" wrapText="1"/>
    </xf>
    <xf numFmtId="39" fontId="7" fillId="0" borderId="0" xfId="22" applyNumberFormat="1" applyFont="1" applyBorder="1" applyAlignment="1">
      <alignment horizontal="center"/>
    </xf>
    <xf numFmtId="39" fontId="7" fillId="0" borderId="0" xfId="22" applyNumberFormat="1" applyFont="1" applyFill="1" applyBorder="1" applyAlignment="1">
      <alignment horizontal="center"/>
    </xf>
    <xf numFmtId="39" fontId="7" fillId="37" borderId="7" xfId="22" applyNumberFormat="1" applyFont="1" applyFill="1" applyBorder="1" applyAlignment="1">
      <alignment horizontal="center"/>
    </xf>
    <xf numFmtId="39" fontId="7" fillId="37" borderId="0" xfId="22" quotePrefix="1" applyNumberFormat="1" applyFont="1" applyFill="1" applyBorder="1" applyAlignment="1">
      <alignment horizontal="center"/>
    </xf>
    <xf numFmtId="39" fontId="9" fillId="0" borderId="0" xfId="22" applyNumberFormat="1" applyFont="1" applyBorder="1" applyAlignment="1">
      <alignment horizontal="center"/>
    </xf>
    <xf numFmtId="0" fontId="10" fillId="0" borderId="0" xfId="0" quotePrefix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4" fontId="10" fillId="36" borderId="0" xfId="0" applyNumberFormat="1" applyFont="1" applyFill="1" applyAlignment="1">
      <alignment horizontal="center"/>
    </xf>
    <xf numFmtId="164" fontId="9" fillId="36" borderId="0" xfId="0" quotePrefix="1" applyNumberFormat="1" applyFont="1" applyFill="1" applyAlignment="1">
      <alignment horizontal="center"/>
    </xf>
    <xf numFmtId="0" fontId="9" fillId="0" borderId="0" xfId="0" quotePrefix="1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quotePrefix="1" applyFont="1" applyAlignment="1">
      <alignment horizontal="left" indent="2"/>
    </xf>
    <xf numFmtId="164" fontId="13" fillId="0" borderId="0" xfId="0" applyNumberFormat="1" applyFont="1" applyFill="1" applyAlignment="1">
      <alignment horizontal="right"/>
    </xf>
    <xf numFmtId="164" fontId="9" fillId="36" borderId="0" xfId="0" applyNumberFormat="1" applyFont="1" applyFill="1" applyAlignment="1">
      <alignment horizontal="right"/>
    </xf>
    <xf numFmtId="10" fontId="40" fillId="0" borderId="0" xfId="0" applyNumberFormat="1" applyFont="1"/>
    <xf numFmtId="164" fontId="46" fillId="0" borderId="0" xfId="0" applyNumberFormat="1" applyFont="1"/>
    <xf numFmtId="0" fontId="42" fillId="0" borderId="0" xfId="0" applyFont="1" applyAlignment="1">
      <alignment horizontal="center"/>
    </xf>
    <xf numFmtId="3" fontId="40" fillId="36" borderId="0" xfId="0" applyNumberFormat="1" applyFont="1" applyFill="1"/>
    <xf numFmtId="3" fontId="40" fillId="0" borderId="0" xfId="0" applyNumberFormat="1" applyFont="1"/>
    <xf numFmtId="0" fontId="38" fillId="0" borderId="0" xfId="0" applyFont="1"/>
    <xf numFmtId="0" fontId="47" fillId="0" borderId="0" xfId="0" applyFont="1" applyAlignment="1">
      <alignment horizontal="left" indent="1"/>
    </xf>
    <xf numFmtId="10" fontId="47" fillId="0" borderId="0" xfId="0" applyNumberFormat="1" applyFont="1"/>
    <xf numFmtId="0" fontId="47" fillId="0" borderId="0" xfId="0" applyFont="1"/>
    <xf numFmtId="0" fontId="47" fillId="0" borderId="0" xfId="0" applyFont="1" applyAlignment="1">
      <alignment horizontal="right"/>
    </xf>
    <xf numFmtId="0" fontId="15" fillId="0" borderId="0" xfId="27" applyAlignment="1" applyProtection="1"/>
    <xf numFmtId="0" fontId="13" fillId="0" borderId="0" xfId="0" applyFont="1" applyFill="1" applyAlignment="1">
      <alignment horizontal="center"/>
    </xf>
    <xf numFmtId="168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 indent="2"/>
    </xf>
    <xf numFmtId="0" fontId="0" fillId="0" borderId="0" xfId="0" applyFill="1" applyAlignment="1">
      <alignment horizontal="left" indent="2"/>
    </xf>
    <xf numFmtId="0" fontId="9" fillId="0" borderId="0" xfId="0" applyFont="1" applyFill="1" applyAlignment="1">
      <alignment horizontal="left" indent="3"/>
    </xf>
    <xf numFmtId="164" fontId="40" fillId="36" borderId="0" xfId="0" applyNumberFormat="1" applyFont="1" applyFill="1" applyAlignment="1">
      <alignment horizontal="right"/>
    </xf>
    <xf numFmtId="166" fontId="40" fillId="0" borderId="0" xfId="0" quotePrefix="1" applyNumberFormat="1" applyFont="1" applyAlignment="1">
      <alignment horizontal="right"/>
    </xf>
    <xf numFmtId="0" fontId="40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9" fillId="0" borderId="0" xfId="0" applyFont="1" applyAlignment="1">
      <alignment horizontal="left" indent="4"/>
    </xf>
    <xf numFmtId="168" fontId="13" fillId="0" borderId="0" xfId="0" applyNumberFormat="1" applyFont="1"/>
    <xf numFmtId="10" fontId="9" fillId="0" borderId="0" xfId="0" applyNumberFormat="1" applyFont="1" applyFill="1"/>
    <xf numFmtId="49" fontId="0" fillId="0" borderId="0" xfId="0" applyNumberFormat="1" applyAlignment="1">
      <alignment horizontal="center"/>
    </xf>
    <xf numFmtId="49" fontId="43" fillId="0" borderId="0" xfId="0" applyNumberFormat="1" applyFont="1" applyAlignment="1">
      <alignment horizontal="center"/>
    </xf>
    <xf numFmtId="0" fontId="0" fillId="0" borderId="0" xfId="0" applyFont="1"/>
    <xf numFmtId="164" fontId="9" fillId="36" borderId="0" xfId="23" applyNumberFormat="1" applyFont="1" applyFill="1" applyAlignment="1">
      <alignment horizontal="right"/>
    </xf>
    <xf numFmtId="49" fontId="0" fillId="0" borderId="0" xfId="0" applyNumberFormat="1" applyAlignment="1">
      <alignment horizontal="left" indent="1"/>
    </xf>
    <xf numFmtId="0" fontId="48" fillId="0" borderId="0" xfId="0" applyFont="1" applyAlignment="1">
      <alignment horizontal="center" vertical="top"/>
    </xf>
    <xf numFmtId="0" fontId="9" fillId="0" borderId="0" xfId="0" applyFont="1" applyAlignment="1">
      <alignment horizontal="left" wrapText="1"/>
    </xf>
    <xf numFmtId="49" fontId="47" fillId="0" borderId="0" xfId="0" applyNumberFormat="1" applyFont="1" applyAlignment="1">
      <alignment horizontal="left" indent="1"/>
    </xf>
    <xf numFmtId="0" fontId="47" fillId="0" borderId="0" xfId="0" applyFont="1" applyAlignment="1">
      <alignment horizontal="left" wrapText="1"/>
    </xf>
    <xf numFmtId="164" fontId="9" fillId="0" borderId="0" xfId="23" applyNumberFormat="1" applyFont="1" applyFill="1" applyAlignment="1">
      <alignment horizontal="right"/>
    </xf>
    <xf numFmtId="0" fontId="48" fillId="0" borderId="0" xfId="0" applyFont="1" applyAlignment="1">
      <alignment horizontal="center"/>
    </xf>
    <xf numFmtId="180" fontId="0" fillId="0" borderId="0" xfId="23" applyNumberFormat="1" applyFont="1"/>
    <xf numFmtId="0" fontId="0" fillId="0" borderId="0" xfId="0" applyFont="1" applyBorder="1"/>
    <xf numFmtId="164" fontId="27" fillId="0" borderId="0" xfId="0" applyNumberFormat="1" applyFont="1" applyBorder="1"/>
    <xf numFmtId="164" fontId="0" fillId="0" borderId="0" xfId="0" applyNumberFormat="1" applyFont="1" applyAlignment="1">
      <alignment horizontal="right"/>
    </xf>
    <xf numFmtId="164" fontId="37" fillId="36" borderId="0" xfId="23" applyNumberFormat="1" applyFont="1" applyFill="1" applyAlignment="1">
      <alignment horizontal="right"/>
    </xf>
    <xf numFmtId="164" fontId="0" fillId="36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3" fontId="0" fillId="0" borderId="0" xfId="23" applyNumberFormat="1" applyFont="1" applyBorder="1" applyAlignment="1">
      <alignment horizontal="right"/>
    </xf>
    <xf numFmtId="49" fontId="47" fillId="0" borderId="0" xfId="0" quotePrefix="1" applyNumberFormat="1" applyFont="1" applyAlignment="1">
      <alignment horizontal="left" indent="1"/>
    </xf>
    <xf numFmtId="49" fontId="9" fillId="0" borderId="0" xfId="0" applyNumberFormat="1" applyFont="1" applyAlignment="1">
      <alignment horizontal="left" indent="1"/>
    </xf>
    <xf numFmtId="0" fontId="0" fillId="36" borderId="0" xfId="0" applyFill="1" applyAlignment="1">
      <alignment horizontal="left" indent="1"/>
    </xf>
    <xf numFmtId="0" fontId="0" fillId="36" borderId="0" xfId="0" applyFill="1" applyAlignment="1">
      <alignment horizontal="left"/>
    </xf>
    <xf numFmtId="10" fontId="0" fillId="36" borderId="0" xfId="0" applyNumberFormat="1" applyFill="1" applyAlignment="1">
      <alignment horizontal="left"/>
    </xf>
    <xf numFmtId="0" fontId="0" fillId="36" borderId="0" xfId="0" applyFill="1" applyAlignment="1"/>
    <xf numFmtId="0" fontId="7" fillId="36" borderId="0" xfId="0" applyFont="1" applyFill="1" applyAlignment="1">
      <alignment horizontal="left"/>
    </xf>
    <xf numFmtId="0" fontId="0" fillId="0" borderId="0" xfId="0" quotePrefix="1" applyFont="1" applyFill="1" applyAlignment="1">
      <alignment horizontal="left" indent="1"/>
    </xf>
    <xf numFmtId="0" fontId="7" fillId="0" borderId="0" xfId="0" applyFont="1" applyFill="1" applyAlignment="1">
      <alignment horizontal="left"/>
    </xf>
    <xf numFmtId="0" fontId="39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7" fillId="36" borderId="0" xfId="0" applyFont="1" applyFill="1"/>
    <xf numFmtId="0" fontId="0" fillId="36" borderId="0" xfId="0" applyFill="1" applyAlignment="1">
      <alignment horizontal="right"/>
    </xf>
    <xf numFmtId="10" fontId="0" fillId="36" borderId="0" xfId="0" applyNumberFormat="1" applyFill="1" applyAlignment="1">
      <alignment horizontal="right"/>
    </xf>
    <xf numFmtId="0" fontId="9" fillId="36" borderId="0" xfId="0" quotePrefix="1" applyFont="1" applyFill="1" applyAlignment="1">
      <alignment horizontal="center"/>
    </xf>
    <xf numFmtId="168" fontId="40" fillId="0" borderId="0" xfId="0" applyNumberFormat="1" applyFont="1"/>
    <xf numFmtId="164" fontId="0" fillId="0" borderId="0" xfId="0" applyNumberFormat="1" applyAlignment="1">
      <alignment horizontal="right"/>
    </xf>
    <xf numFmtId="0" fontId="41" fillId="0" borderId="0" xfId="0" applyFont="1"/>
    <xf numFmtId="0" fontId="40" fillId="36" borderId="0" xfId="0" applyFont="1" applyFill="1"/>
    <xf numFmtId="0" fontId="10" fillId="0" borderId="0" xfId="28" applyNumberFormat="1" applyFont="1" applyFill="1" applyBorder="1" applyAlignment="1">
      <alignment horizontal="left"/>
    </xf>
    <xf numFmtId="0" fontId="10" fillId="0" borderId="0" xfId="28" applyNumberFormat="1" applyFont="1" applyFill="1" applyBorder="1" applyAlignment="1">
      <alignment horizontal="center"/>
    </xf>
    <xf numFmtId="3" fontId="10" fillId="0" borderId="0" xfId="28" applyNumberFormat="1" applyFont="1" applyFill="1" applyBorder="1" applyAlignment="1">
      <alignment horizontal="center"/>
    </xf>
    <xf numFmtId="164" fontId="46" fillId="36" borderId="0" xfId="0" applyNumberFormat="1" applyFont="1" applyFill="1"/>
    <xf numFmtId="0" fontId="42" fillId="0" borderId="0" xfId="0" applyFont="1"/>
    <xf numFmtId="0" fontId="40" fillId="0" borderId="0" xfId="0" applyFont="1" applyAlignment="1">
      <alignment horizontal="left"/>
    </xf>
    <xf numFmtId="0" fontId="7" fillId="36" borderId="0" xfId="0" quotePrefix="1" applyFont="1" applyFill="1" applyAlignment="1">
      <alignment vertical="center"/>
    </xf>
    <xf numFmtId="164" fontId="9" fillId="36" borderId="8" xfId="0" applyNumberFormat="1" applyFont="1" applyFill="1" applyBorder="1"/>
    <xf numFmtId="164" fontId="43" fillId="0" borderId="0" xfId="0" applyNumberFormat="1" applyFont="1" applyAlignment="1">
      <alignment horizontal="center"/>
    </xf>
    <xf numFmtId="165" fontId="6" fillId="34" borderId="0" xfId="0" applyNumberFormat="1" applyFont="1" applyFill="1"/>
    <xf numFmtId="165" fontId="6" fillId="0" borderId="0" xfId="0" applyNumberFormat="1" applyFont="1" applyFill="1"/>
    <xf numFmtId="168" fontId="7" fillId="0" borderId="0" xfId="0" applyNumberFormat="1" applyFont="1" applyFill="1" applyAlignment="1">
      <alignment horizontal="center"/>
    </xf>
    <xf numFmtId="37" fontId="7" fillId="0" borderId="3" xfId="22" applyNumberFormat="1" applyFont="1" applyBorder="1" applyAlignment="1">
      <alignment horizontal="center"/>
    </xf>
    <xf numFmtId="37" fontId="7" fillId="36" borderId="3" xfId="22" applyNumberFormat="1" applyFont="1" applyFill="1" applyBorder="1" applyAlignment="1">
      <alignment horizontal="center"/>
    </xf>
    <xf numFmtId="37" fontId="7" fillId="0" borderId="3" xfId="22" applyNumberFormat="1" applyFont="1" applyFill="1" applyBorder="1" applyAlignment="1">
      <alignment horizontal="center"/>
    </xf>
    <xf numFmtId="37" fontId="7" fillId="0" borderId="3" xfId="0" applyNumberFormat="1" applyFont="1" applyBorder="1" applyAlignment="1">
      <alignment horizontal="center"/>
    </xf>
    <xf numFmtId="37" fontId="7" fillId="37" borderId="3" xfId="0" applyNumberFormat="1" applyFont="1" applyFill="1" applyBorder="1" applyAlignment="1">
      <alignment horizontal="center"/>
    </xf>
    <xf numFmtId="164" fontId="9" fillId="0" borderId="0" xfId="19" applyNumberFormat="1" applyFont="1" applyBorder="1" applyAlignment="1">
      <alignment horizontal="center"/>
    </xf>
    <xf numFmtId="37" fontId="7" fillId="0" borderId="0" xfId="0" applyNumberFormat="1" applyFont="1" applyBorder="1" applyAlignment="1">
      <alignment horizontal="center"/>
    </xf>
    <xf numFmtId="164" fontId="13" fillId="36" borderId="0" xfId="0" applyNumberFormat="1" applyFont="1" applyFill="1" applyAlignment="1">
      <alignment horizontal="right"/>
    </xf>
    <xf numFmtId="0" fontId="9" fillId="36" borderId="0" xfId="0" applyFont="1" applyFill="1" applyAlignment="1">
      <alignment horizontal="right"/>
    </xf>
    <xf numFmtId="164" fontId="0" fillId="0" borderId="0" xfId="0" applyNumberFormat="1" applyAlignment="1">
      <alignment horizontal="center"/>
    </xf>
    <xf numFmtId="0" fontId="7" fillId="0" borderId="0" xfId="28" applyFont="1" applyAlignment="1">
      <alignment horizontal="left" vertical="center"/>
    </xf>
    <xf numFmtId="0" fontId="9" fillId="0" borderId="0" xfId="28"/>
    <xf numFmtId="0" fontId="36" fillId="0" borderId="0" xfId="28" applyFont="1" applyFill="1" applyAlignment="1">
      <alignment horizontal="left"/>
    </xf>
    <xf numFmtId="0" fontId="36" fillId="0" borderId="0" xfId="28" applyFont="1" applyFill="1" applyAlignment="1">
      <alignment horizontal="center"/>
    </xf>
    <xf numFmtId="0" fontId="36" fillId="0" borderId="0" xfId="28" applyNumberFormat="1" applyFont="1" applyFill="1" applyAlignment="1">
      <alignment horizontal="center"/>
    </xf>
    <xf numFmtId="0" fontId="36" fillId="0" borderId="0" xfId="28" applyFont="1" applyAlignment="1">
      <alignment horizontal="center"/>
    </xf>
    <xf numFmtId="0" fontId="7" fillId="0" borderId="0" xfId="28" applyFont="1" applyAlignment="1">
      <alignment horizontal="left"/>
    </xf>
    <xf numFmtId="0" fontId="36" fillId="36" borderId="0" xfId="28" applyNumberFormat="1" applyFont="1" applyFill="1" applyAlignment="1">
      <alignment horizontal="center"/>
    </xf>
    <xf numFmtId="0" fontId="7" fillId="0" borderId="0" xfId="28" applyFont="1" applyAlignment="1">
      <alignment vertical="top"/>
    </xf>
    <xf numFmtId="0" fontId="7" fillId="0" borderId="0" xfId="28" applyFont="1" applyAlignment="1">
      <alignment horizontal="left" vertical="top"/>
    </xf>
    <xf numFmtId="0" fontId="7" fillId="0" borderId="0" xfId="28" applyFont="1" applyAlignment="1">
      <alignment horizontal="center" vertical="top"/>
    </xf>
    <xf numFmtId="0" fontId="7" fillId="0" borderId="0" xfId="28" applyFont="1" applyFill="1" applyAlignment="1">
      <alignment horizontal="center" vertical="top"/>
    </xf>
    <xf numFmtId="0" fontId="7" fillId="0" borderId="0" xfId="28" applyNumberFormat="1" applyFont="1" applyFill="1" applyAlignment="1">
      <alignment horizontal="center" vertical="top"/>
    </xf>
    <xf numFmtId="0" fontId="36" fillId="0" borderId="0" xfId="28" applyFont="1" applyAlignment="1">
      <alignment horizontal="center" vertical="top"/>
    </xf>
    <xf numFmtId="0" fontId="7" fillId="0" borderId="0" xfId="28" applyFont="1" applyAlignment="1"/>
    <xf numFmtId="0" fontId="7" fillId="0" borderId="0" xfId="28" applyFont="1" applyFill="1" applyAlignment="1">
      <alignment horizontal="center"/>
    </xf>
    <xf numFmtId="0" fontId="7" fillId="0" borderId="0" xfId="28" applyNumberFormat="1" applyFont="1" applyFill="1" applyAlignment="1">
      <alignment horizontal="center"/>
    </xf>
    <xf numFmtId="0" fontId="10" fillId="0" borderId="0" xfId="0" quotePrefix="1" applyFont="1" applyAlignment="1">
      <alignment horizontal="center" vertical="top"/>
    </xf>
    <xf numFmtId="0" fontId="10" fillId="0" borderId="0" xfId="0" quotePrefix="1" applyNumberFormat="1" applyFont="1" applyAlignment="1">
      <alignment horizontal="center" vertical="top"/>
    </xf>
    <xf numFmtId="0" fontId="9" fillId="0" borderId="0" xfId="28" quotePrefix="1" applyFont="1" applyFill="1" applyAlignment="1">
      <alignment horizontal="center" vertical="center"/>
    </xf>
    <xf numFmtId="0" fontId="9" fillId="0" borderId="0" xfId="28" applyNumberFormat="1" applyFont="1" applyFill="1" applyAlignment="1">
      <alignment horizontal="center" vertical="center"/>
    </xf>
    <xf numFmtId="0" fontId="7" fillId="0" borderId="0" xfId="28" applyFont="1" applyAlignment="1">
      <alignment horizontal="center" vertical="center"/>
    </xf>
    <xf numFmtId="0" fontId="9" fillId="0" borderId="0" xfId="28" quotePrefix="1" applyFont="1" applyFill="1" applyAlignment="1">
      <alignment horizontal="center"/>
    </xf>
    <xf numFmtId="167" fontId="9" fillId="0" borderId="0" xfId="28" applyNumberFormat="1" applyFill="1"/>
    <xf numFmtId="43" fontId="26" fillId="0" borderId="0" xfId="0" applyNumberFormat="1" applyFont="1"/>
    <xf numFmtId="0" fontId="26" fillId="0" borderId="0" xfId="0" applyNumberFormat="1" applyFont="1"/>
    <xf numFmtId="0" fontId="9" fillId="0" borderId="0" xfId="28" applyAlignment="1">
      <alignment horizontal="center"/>
    </xf>
    <xf numFmtId="167" fontId="9" fillId="0" borderId="0" xfId="22" applyNumberFormat="1"/>
    <xf numFmtId="167" fontId="9" fillId="0" borderId="0" xfId="28" applyNumberFormat="1"/>
    <xf numFmtId="0" fontId="7" fillId="0" borderId="0" xfId="28" applyFont="1" applyBorder="1" applyAlignment="1"/>
    <xf numFmtId="0" fontId="7" fillId="0" borderId="3" xfId="28" applyFont="1" applyFill="1" applyBorder="1" applyAlignment="1">
      <alignment horizontal="center"/>
    </xf>
    <xf numFmtId="0" fontId="7" fillId="0" borderId="6" xfId="28" applyNumberFormat="1" applyFont="1" applyFill="1" applyBorder="1" applyAlignment="1">
      <alignment horizontal="center"/>
    </xf>
    <xf numFmtId="0" fontId="7" fillId="0" borderId="3" xfId="28" applyFont="1" applyBorder="1" applyAlignment="1">
      <alignment horizontal="center"/>
    </xf>
    <xf numFmtId="0" fontId="7" fillId="0" borderId="3" xfId="28" applyNumberFormat="1" applyFont="1" applyBorder="1" applyAlignment="1">
      <alignment horizontal="center"/>
    </xf>
    <xf numFmtId="0" fontId="10" fillId="0" borderId="0" xfId="28" applyFont="1" applyBorder="1" applyAlignment="1"/>
    <xf numFmtId="0" fontId="7" fillId="0" borderId="0" xfId="28" applyFont="1" applyBorder="1" applyAlignment="1">
      <alignment horizontal="center"/>
    </xf>
    <xf numFmtId="0" fontId="7" fillId="0" borderId="0" xfId="28" applyNumberFormat="1" applyFont="1" applyBorder="1" applyAlignment="1">
      <alignment horizontal="center"/>
    </xf>
    <xf numFmtId="167" fontId="9" fillId="0" borderId="0" xfId="28" applyNumberFormat="1" applyFill="1" applyBorder="1"/>
    <xf numFmtId="0" fontId="9" fillId="36" borderId="0" xfId="22" applyNumberFormat="1" applyFont="1" applyFill="1" applyBorder="1" applyAlignment="1">
      <alignment horizontal="center"/>
    </xf>
    <xf numFmtId="167" fontId="9" fillId="0" borderId="0" xfId="28" applyNumberFormat="1" applyBorder="1" applyAlignment="1">
      <alignment horizontal="center"/>
    </xf>
    <xf numFmtId="167" fontId="9" fillId="36" borderId="0" xfId="22" applyNumberFormat="1" applyFill="1" applyBorder="1"/>
    <xf numFmtId="167" fontId="9" fillId="0" borderId="0" xfId="28" applyNumberFormat="1" applyBorder="1"/>
    <xf numFmtId="0" fontId="9" fillId="0" borderId="0" xfId="28" applyBorder="1"/>
    <xf numFmtId="0" fontId="0" fillId="0" borderId="0" xfId="0" quotePrefix="1" applyFill="1"/>
    <xf numFmtId="0" fontId="9" fillId="36" borderId="0" xfId="22" applyNumberFormat="1" applyFont="1" applyFill="1" applyBorder="1" applyAlignment="1" applyProtection="1">
      <alignment horizontal="center"/>
      <protection locked="0"/>
    </xf>
    <xf numFmtId="0" fontId="9" fillId="36" borderId="0" xfId="28" applyFill="1"/>
    <xf numFmtId="0" fontId="9" fillId="36" borderId="0" xfId="28" applyNumberFormat="1" applyFill="1"/>
    <xf numFmtId="0" fontId="9" fillId="0" borderId="0" xfId="28" applyFill="1" applyBorder="1"/>
    <xf numFmtId="167" fontId="9" fillId="0" borderId="0" xfId="28" applyNumberFormat="1" applyFont="1" applyFill="1" applyBorder="1"/>
    <xf numFmtId="0" fontId="21" fillId="36" borderId="0" xfId="22" applyNumberFormat="1" applyFont="1" applyFill="1" applyBorder="1" applyAlignment="1">
      <alignment horizontal="center"/>
    </xf>
    <xf numFmtId="167" fontId="9" fillId="0" borderId="0" xfId="28" applyNumberFormat="1" applyFont="1" applyBorder="1" applyAlignment="1">
      <alignment horizontal="center"/>
    </xf>
    <xf numFmtId="167" fontId="9" fillId="0" borderId="0" xfId="28" applyNumberFormat="1" applyFont="1" applyBorder="1"/>
    <xf numFmtId="0" fontId="0" fillId="36" borderId="0" xfId="0" quotePrefix="1" applyFill="1"/>
    <xf numFmtId="167" fontId="9" fillId="36" borderId="0" xfId="28" quotePrefix="1" applyNumberFormat="1" applyFont="1" applyFill="1" applyBorder="1" applyAlignment="1">
      <alignment horizontal="center"/>
    </xf>
    <xf numFmtId="167" fontId="21" fillId="0" borderId="0" xfId="28" applyNumberFormat="1" applyFont="1" applyFill="1" applyBorder="1"/>
    <xf numFmtId="167" fontId="9" fillId="0" borderId="8" xfId="28" applyNumberFormat="1" applyBorder="1" applyAlignment="1">
      <alignment horizontal="center"/>
    </xf>
    <xf numFmtId="167" fontId="9" fillId="0" borderId="8" xfId="28" quotePrefix="1" applyNumberFormat="1" applyFont="1" applyFill="1" applyBorder="1" applyAlignment="1">
      <alignment horizontal="center"/>
    </xf>
    <xf numFmtId="167" fontId="9" fillId="0" borderId="8" xfId="28" applyNumberFormat="1" applyFont="1" applyFill="1" applyBorder="1" applyAlignment="1">
      <alignment horizontal="center"/>
    </xf>
    <xf numFmtId="0" fontId="7" fillId="0" borderId="0" xfId="28" applyFont="1" applyBorder="1"/>
    <xf numFmtId="167" fontId="9" fillId="0" borderId="0" xfId="22" applyNumberFormat="1" applyFont="1" applyFill="1" applyBorder="1"/>
    <xf numFmtId="0" fontId="9" fillId="0" borderId="0" xfId="22" applyNumberFormat="1" applyFont="1" applyFill="1" applyBorder="1" applyAlignment="1">
      <alignment horizontal="center"/>
    </xf>
    <xf numFmtId="167" fontId="9" fillId="0" borderId="0" xfId="22" applyNumberFormat="1" applyFont="1" applyBorder="1"/>
    <xf numFmtId="167" fontId="9" fillId="0" borderId="0" xfId="22" applyNumberFormat="1" applyBorder="1"/>
    <xf numFmtId="0" fontId="7" fillId="0" borderId="0" xfId="28" applyFont="1" applyFill="1" applyBorder="1"/>
    <xf numFmtId="167" fontId="9" fillId="0" borderId="0" xfId="22" applyNumberFormat="1" applyFont="1" applyFill="1" applyBorder="1" applyAlignment="1">
      <alignment horizontal="center"/>
    </xf>
    <xf numFmtId="167" fontId="9" fillId="0" borderId="0" xfId="22" applyNumberFormat="1" applyFill="1" applyBorder="1"/>
    <xf numFmtId="0" fontId="10" fillId="0" borderId="0" xfId="28" applyFont="1" applyBorder="1"/>
    <xf numFmtId="167" fontId="9" fillId="0" borderId="8" xfId="28" applyNumberFormat="1" applyBorder="1"/>
    <xf numFmtId="0" fontId="9" fillId="0" borderId="0" xfId="22" applyNumberFormat="1" applyFont="1" applyFill="1" applyBorder="1"/>
    <xf numFmtId="0" fontId="9" fillId="0" borderId="0" xfId="28" applyNumberFormat="1" applyFont="1" applyFill="1" applyBorder="1"/>
    <xf numFmtId="0" fontId="9" fillId="0" borderId="0" xfId="28" applyNumberFormat="1" applyFill="1" applyBorder="1"/>
    <xf numFmtId="0" fontId="9" fillId="0" borderId="0" xfId="28" applyBorder="1" applyAlignment="1">
      <alignment horizontal="center"/>
    </xf>
    <xf numFmtId="164" fontId="9" fillId="36" borderId="0" xfId="28" applyNumberFormat="1" applyFont="1" applyFill="1" applyBorder="1" applyAlignment="1">
      <alignment vertical="top" wrapText="1"/>
    </xf>
    <xf numFmtId="167" fontId="9" fillId="0" borderId="0" xfId="28" applyNumberFormat="1" applyFont="1" applyFill="1" applyBorder="1" applyAlignment="1"/>
    <xf numFmtId="167" fontId="7" fillId="0" borderId="0" xfId="28" applyNumberFormat="1" applyFont="1" applyBorder="1" applyAlignment="1">
      <alignment horizontal="center"/>
    </xf>
    <xf numFmtId="167" fontId="7" fillId="0" borderId="0" xfId="28" applyNumberFormat="1" applyFont="1" applyBorder="1"/>
    <xf numFmtId="164" fontId="9" fillId="36" borderId="0" xfId="28" applyNumberFormat="1" applyFill="1" applyBorder="1" applyAlignment="1">
      <alignment vertical="top" wrapText="1"/>
    </xf>
    <xf numFmtId="0" fontId="7" fillId="0" borderId="0" xfId="28" applyFont="1" applyBorder="1" applyAlignment="1">
      <alignment horizontal="right"/>
    </xf>
    <xf numFmtId="0" fontId="7" fillId="0" borderId="0" xfId="28" applyFont="1" applyFill="1" applyBorder="1" applyAlignment="1">
      <alignment horizontal="right"/>
    </xf>
    <xf numFmtId="167" fontId="7" fillId="0" borderId="3" xfId="22" applyNumberFormat="1" applyFont="1" applyFill="1" applyBorder="1" applyAlignment="1">
      <alignment horizontal="center" wrapText="1"/>
    </xf>
    <xf numFmtId="171" fontId="7" fillId="0" borderId="0" xfId="37" applyNumberFormat="1" applyFont="1" applyFill="1" applyBorder="1" applyAlignment="1">
      <alignment horizontal="center" wrapText="1"/>
    </xf>
    <xf numFmtId="167" fontId="9" fillId="0" borderId="0" xfId="22" applyNumberFormat="1" applyFont="1" applyFill="1" applyBorder="1" applyAlignment="1">
      <alignment horizontal="center" wrapText="1"/>
    </xf>
    <xf numFmtId="0" fontId="9" fillId="0" borderId="0" xfId="28" applyFill="1"/>
    <xf numFmtId="167" fontId="9" fillId="0" borderId="8" xfId="28" applyNumberFormat="1" applyFont="1" applyFill="1" applyBorder="1"/>
    <xf numFmtId="167" fontId="9" fillId="0" borderId="8" xfId="22" applyNumberFormat="1" applyFont="1" applyFill="1" applyBorder="1" applyAlignment="1">
      <alignment horizontal="center" wrapText="1"/>
    </xf>
    <xf numFmtId="0" fontId="9" fillId="0" borderId="0" xfId="39" applyNumberFormat="1" applyFont="1" applyFill="1" applyBorder="1" applyAlignment="1">
      <alignment horizontal="center" wrapText="1"/>
    </xf>
    <xf numFmtId="171" fontId="9" fillId="0" borderId="0" xfId="39" applyNumberFormat="1" applyFont="1" applyFill="1" applyBorder="1" applyAlignment="1">
      <alignment horizontal="center" wrapText="1"/>
    </xf>
    <xf numFmtId="167" fontId="49" fillId="0" borderId="0" xfId="28" applyNumberFormat="1" applyFont="1"/>
    <xf numFmtId="0" fontId="49" fillId="0" borderId="0" xfId="28" applyFont="1" applyFill="1"/>
    <xf numFmtId="0" fontId="49" fillId="0" borderId="0" xfId="28" applyFont="1"/>
    <xf numFmtId="167" fontId="7" fillId="0" borderId="0" xfId="22" applyNumberFormat="1" applyFont="1" applyFill="1" applyBorder="1"/>
    <xf numFmtId="0" fontId="7" fillId="0" borderId="0" xfId="39" applyNumberFormat="1" applyFont="1" applyFill="1" applyBorder="1" applyAlignment="1">
      <alignment horizontal="center" wrapText="1"/>
    </xf>
    <xf numFmtId="171" fontId="7" fillId="0" borderId="0" xfId="39" applyNumberFormat="1" applyFont="1" applyFill="1" applyBorder="1" applyAlignment="1">
      <alignment horizontal="center" wrapText="1"/>
    </xf>
    <xf numFmtId="167" fontId="21" fillId="0" borderId="0" xfId="22" applyNumberFormat="1" applyFont="1" applyFill="1" applyBorder="1" applyAlignment="1">
      <alignment horizontal="center" wrapText="1"/>
    </xf>
    <xf numFmtId="167" fontId="7" fillId="0" borderId="0" xfId="22" applyNumberFormat="1" applyFont="1" applyBorder="1"/>
    <xf numFmtId="0" fontId="9" fillId="0" borderId="0" xfId="28" applyNumberFormat="1" applyFill="1"/>
    <xf numFmtId="0" fontId="10" fillId="0" borderId="0" xfId="28" applyFont="1" applyBorder="1" applyAlignment="1">
      <alignment vertical="top" wrapText="1"/>
    </xf>
    <xf numFmtId="0" fontId="9" fillId="36" borderId="0" xfId="28" applyFill="1" applyAlignment="1">
      <alignment horizontal="center"/>
    </xf>
    <xf numFmtId="167" fontId="9" fillId="36" borderId="0" xfId="22" applyNumberFormat="1" applyFill="1"/>
    <xf numFmtId="164" fontId="9" fillId="36" borderId="0" xfId="22" applyNumberFormat="1" applyFill="1" applyBorder="1"/>
    <xf numFmtId="164" fontId="9" fillId="36" borderId="0" xfId="28" applyNumberFormat="1" applyFill="1"/>
    <xf numFmtId="164" fontId="21" fillId="36" borderId="0" xfId="22" applyNumberFormat="1" applyFont="1" applyFill="1" applyBorder="1"/>
    <xf numFmtId="164" fontId="9" fillId="36" borderId="0" xfId="22" applyNumberFormat="1" applyFont="1" applyFill="1" applyBorder="1"/>
    <xf numFmtId="164" fontId="9" fillId="0" borderId="0" xfId="28" applyNumberFormat="1" applyFont="1" applyFill="1" applyBorder="1"/>
    <xf numFmtId="164" fontId="9" fillId="0" borderId="0" xfId="28" applyNumberFormat="1" applyFill="1" applyBorder="1"/>
    <xf numFmtId="164" fontId="9" fillId="0" borderId="0" xfId="28" applyNumberFormat="1" applyBorder="1" applyAlignment="1">
      <alignment horizontal="center"/>
    </xf>
    <xf numFmtId="164" fontId="9" fillId="0" borderId="0" xfId="28" applyNumberFormat="1" applyFill="1" applyBorder="1" applyAlignment="1">
      <alignment horizontal="center"/>
    </xf>
    <xf numFmtId="164" fontId="9" fillId="0" borderId="0" xfId="28" applyNumberFormat="1" applyFont="1" applyBorder="1" applyAlignment="1">
      <alignment horizontal="center"/>
    </xf>
    <xf numFmtId="164" fontId="9" fillId="0" borderId="0" xfId="28" applyNumberFormat="1" applyFont="1" applyFill="1" applyBorder="1" applyAlignment="1">
      <alignment horizontal="center"/>
    </xf>
    <xf numFmtId="164" fontId="9" fillId="0" borderId="8" xfId="28" applyNumberFormat="1" applyFont="1" applyFill="1" applyBorder="1" applyAlignment="1">
      <alignment horizontal="center"/>
    </xf>
    <xf numFmtId="164" fontId="9" fillId="0" borderId="0" xfId="22" applyNumberFormat="1" applyFont="1" applyBorder="1" applyAlignment="1">
      <alignment horizontal="center"/>
    </xf>
    <xf numFmtId="164" fontId="9" fillId="0" borderId="0" xfId="22" applyNumberFormat="1" applyFont="1" applyFill="1" applyBorder="1"/>
    <xf numFmtId="164" fontId="9" fillId="0" borderId="0" xfId="22" applyNumberFormat="1" applyFont="1" applyFill="1" applyBorder="1" applyAlignment="1">
      <alignment horizontal="center"/>
    </xf>
    <xf numFmtId="164" fontId="9" fillId="0" borderId="0" xfId="22" applyNumberFormat="1" applyFont="1" applyBorder="1"/>
    <xf numFmtId="5" fontId="9" fillId="0" borderId="8" xfId="28" applyNumberFormat="1" applyFont="1" applyBorder="1"/>
    <xf numFmtId="164" fontId="9" fillId="36" borderId="0" xfId="28" applyNumberFormat="1" applyFont="1" applyFill="1" applyBorder="1"/>
    <xf numFmtId="0" fontId="9" fillId="0" borderId="0" xfId="28" applyAlignment="1">
      <alignment vertical="justify"/>
    </xf>
    <xf numFmtId="167" fontId="9" fillId="0" borderId="0" xfId="28" applyNumberFormat="1" applyFont="1" applyBorder="1" applyAlignment="1">
      <alignment vertical="justify"/>
    </xf>
    <xf numFmtId="0" fontId="7" fillId="0" borderId="0" xfId="0" applyFont="1" applyAlignment="1">
      <alignment horizontal="center" vertical="justify"/>
    </xf>
    <xf numFmtId="5" fontId="9" fillId="0" borderId="8" xfId="28" quotePrefix="1" applyNumberFormat="1" applyFont="1" applyFill="1" applyBorder="1" applyAlignment="1">
      <alignment horizontal="right"/>
    </xf>
    <xf numFmtId="171" fontId="9" fillId="0" borderId="8" xfId="37" applyNumberFormat="1" applyFont="1" applyFill="1" applyBorder="1" applyAlignment="1">
      <alignment horizontal="center" wrapText="1"/>
    </xf>
    <xf numFmtId="0" fontId="9" fillId="0" borderId="0" xfId="0" quotePrefix="1" applyFont="1" applyFill="1"/>
    <xf numFmtId="168" fontId="9" fillId="0" borderId="0" xfId="0" applyNumberFormat="1" applyFont="1" applyFill="1" applyAlignment="1">
      <alignment horizontal="left" indent="1"/>
    </xf>
    <xf numFmtId="0" fontId="40" fillId="34" borderId="0" xfId="0" applyFont="1" applyFill="1"/>
    <xf numFmtId="0" fontId="41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 applyAlignment="1">
      <alignment horizontal="left" indent="2"/>
    </xf>
    <xf numFmtId="0" fontId="41" fillId="0" borderId="0" xfId="0" applyFont="1" applyAlignment="1">
      <alignment horizontal="left" indent="1"/>
    </xf>
    <xf numFmtId="0" fontId="41" fillId="0" borderId="0" xfId="0" quotePrefix="1" applyFont="1" applyAlignment="1">
      <alignment horizontal="center"/>
    </xf>
    <xf numFmtId="0" fontId="42" fillId="0" borderId="0" xfId="0" quotePrefix="1" applyFont="1" applyAlignment="1">
      <alignment horizontal="center"/>
    </xf>
    <xf numFmtId="164" fontId="46" fillId="0" borderId="0" xfId="0" applyNumberFormat="1" applyFont="1" applyFill="1"/>
    <xf numFmtId="0" fontId="40" fillId="0" borderId="0" xfId="0" quotePrefix="1" applyFont="1"/>
    <xf numFmtId="0" fontId="42" fillId="0" borderId="0" xfId="0" applyFont="1" applyAlignment="1">
      <alignment horizontal="left"/>
    </xf>
    <xf numFmtId="1" fontId="40" fillId="36" borderId="0" xfId="0" applyNumberFormat="1" applyFont="1" applyFill="1"/>
    <xf numFmtId="173" fontId="40" fillId="0" borderId="0" xfId="0" applyNumberFormat="1" applyFont="1"/>
    <xf numFmtId="176" fontId="40" fillId="0" borderId="0" xfId="0" applyNumberFormat="1" applyFont="1"/>
    <xf numFmtId="0" fontId="40" fillId="0" borderId="0" xfId="0" applyFont="1" applyFill="1" applyAlignment="1">
      <alignment horizontal="left" indent="1"/>
    </xf>
    <xf numFmtId="0" fontId="41" fillId="0" borderId="0" xfId="0" applyFont="1" applyAlignment="1">
      <alignment horizontal="left"/>
    </xf>
    <xf numFmtId="164" fontId="9" fillId="0" borderId="0" xfId="28" applyNumberFormat="1" applyFill="1" applyBorder="1" applyAlignment="1">
      <alignment vertical="top" wrapText="1"/>
    </xf>
    <xf numFmtId="37" fontId="9" fillId="36" borderId="4" xfId="22" quotePrefix="1" applyNumberFormat="1" applyFont="1" applyFill="1" applyBorder="1" applyAlignment="1">
      <alignment horizontal="center"/>
    </xf>
    <xf numFmtId="164" fontId="0" fillId="0" borderId="0" xfId="0" quotePrefix="1" applyNumberFormat="1" applyAlignment="1">
      <alignment horizontal="center"/>
    </xf>
    <xf numFmtId="164" fontId="38" fillId="0" borderId="0" xfId="0" applyNumberFormat="1" applyFont="1" applyAlignment="1">
      <alignment horizontal="center"/>
    </xf>
    <xf numFmtId="164" fontId="9" fillId="0" borderId="0" xfId="0" applyNumberFormat="1" applyFont="1" applyAlignment="1"/>
    <xf numFmtId="164" fontId="9" fillId="0" borderId="0" xfId="0" applyNumberFormat="1" applyFont="1" applyAlignment="1">
      <alignment horizontal="right" indent="1"/>
    </xf>
    <xf numFmtId="171" fontId="9" fillId="36" borderId="0" xfId="39" applyNumberFormat="1" applyFont="1" applyFill="1" applyBorder="1" applyAlignment="1">
      <alignment horizontal="center" wrapText="1"/>
    </xf>
    <xf numFmtId="10" fontId="0" fillId="36" borderId="0" xfId="39" applyNumberFormat="1" applyFont="1" applyFill="1" applyAlignment="1">
      <alignment horizontal="center"/>
    </xf>
    <xf numFmtId="10" fontId="9" fillId="36" borderId="0" xfId="39" applyNumberFormat="1" applyFont="1" applyFill="1" applyBorder="1" applyAlignment="1">
      <alignment horizontal="center" vertical="justify" wrapText="1"/>
    </xf>
    <xf numFmtId="10" fontId="9" fillId="36" borderId="8" xfId="39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28" applyFont="1" applyFill="1" applyBorder="1" applyAlignment="1">
      <alignment vertical="top"/>
    </xf>
    <xf numFmtId="0" fontId="9" fillId="0" borderId="0" xfId="28" applyFill="1" applyAlignment="1">
      <alignment horizontal="center"/>
    </xf>
    <xf numFmtId="167" fontId="9" fillId="0" borderId="0" xfId="22" applyNumberFormat="1" applyFill="1"/>
    <xf numFmtId="0" fontId="9" fillId="0" borderId="0" xfId="28" applyFill="1" applyBorder="1" applyAlignment="1">
      <alignment vertical="top" wrapText="1"/>
    </xf>
    <xf numFmtId="0" fontId="9" fillId="0" borderId="0" xfId="28" applyFill="1" applyAlignment="1">
      <alignment horizontal="left" indent="1"/>
    </xf>
    <xf numFmtId="0" fontId="10" fillId="0" borderId="0" xfId="28" applyFont="1" applyFill="1" applyAlignment="1">
      <alignment horizontal="center"/>
    </xf>
    <xf numFmtId="165" fontId="9" fillId="0" borderId="0" xfId="28" applyNumberFormat="1" applyFill="1"/>
    <xf numFmtId="0" fontId="9" fillId="0" borderId="0" xfId="28" applyAlignment="1">
      <alignment horizontal="right"/>
    </xf>
    <xf numFmtId="0" fontId="9" fillId="0" borderId="0" xfId="0" applyNumberFormat="1" applyFont="1" applyFill="1"/>
    <xf numFmtId="0" fontId="9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0" xfId="0" applyNumberFormat="1" applyFont="1"/>
    <xf numFmtId="0" fontId="7" fillId="0" borderId="0" xfId="0" applyFont="1" applyAlignment="1">
      <alignment horizontal="center"/>
    </xf>
    <xf numFmtId="164" fontId="0" fillId="0" borderId="0" xfId="0" applyNumberFormat="1" applyFill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Alignment="1">
      <alignment horizontal="left" indent="1"/>
    </xf>
    <xf numFmtId="0" fontId="6" fillId="36" borderId="0" xfId="28" applyFont="1" applyFill="1"/>
    <xf numFmtId="181" fontId="6" fillId="34" borderId="0" xfId="35" applyNumberFormat="1" applyFont="1" applyFill="1" applyAlignment="1">
      <alignment horizontal="left"/>
    </xf>
    <xf numFmtId="181" fontId="6" fillId="0" borderId="0" xfId="35" applyNumberFormat="1" applyFont="1" applyFill="1" applyAlignment="1">
      <alignment horizontal="left"/>
    </xf>
    <xf numFmtId="164" fontId="6" fillId="0" borderId="0" xfId="0" applyNumberFormat="1" applyFont="1"/>
    <xf numFmtId="181" fontId="6" fillId="0" borderId="0" xfId="35" applyNumberFormat="1" applyFont="1" applyFill="1" applyAlignment="1">
      <alignment horizontal="right"/>
    </xf>
    <xf numFmtId="0" fontId="6" fillId="0" borderId="0" xfId="0" quotePrefix="1" applyFont="1" applyAlignment="1">
      <alignment horizontal="center"/>
    </xf>
    <xf numFmtId="0" fontId="6" fillId="36" borderId="0" xfId="0" applyFont="1" applyFill="1"/>
    <xf numFmtId="0" fontId="6" fillId="0" borderId="0" xfId="28" applyFont="1" applyFill="1"/>
    <xf numFmtId="0" fontId="7" fillId="0" borderId="0" xfId="0" applyFont="1" applyAlignment="1">
      <alignment horizontal="center"/>
    </xf>
    <xf numFmtId="0" fontId="6" fillId="0" borderId="0" xfId="28" quotePrefix="1" applyFont="1"/>
    <xf numFmtId="0" fontId="6" fillId="0" borderId="0" xfId="28" applyFont="1"/>
    <xf numFmtId="164" fontId="6" fillId="36" borderId="0" xfId="22" applyNumberFormat="1" applyFont="1" applyFill="1" applyBorder="1"/>
    <xf numFmtId="164" fontId="6" fillId="0" borderId="0" xfId="0" applyNumberFormat="1" applyFont="1" applyFill="1"/>
    <xf numFmtId="164" fontId="6" fillId="34" borderId="0" xfId="0" applyNumberFormat="1" applyFont="1" applyFill="1"/>
    <xf numFmtId="168" fontId="6" fillId="0" borderId="0" xfId="0" applyNumberFormat="1" applyFont="1" applyFill="1"/>
    <xf numFmtId="164" fontId="6" fillId="0" borderId="14" xfId="0" applyNumberFormat="1" applyFont="1" applyFill="1" applyBorder="1"/>
    <xf numFmtId="164" fontId="6" fillId="0" borderId="8" xfId="0" applyNumberFormat="1" applyFont="1" applyFill="1" applyBorder="1"/>
    <xf numFmtId="3" fontId="6" fillId="0" borderId="0" xfId="0" applyNumberFormat="1" applyFont="1" applyFill="1"/>
    <xf numFmtId="0" fontId="6" fillId="0" borderId="0" xfId="0" quotePrefix="1" applyFont="1"/>
    <xf numFmtId="17" fontId="6" fillId="0" borderId="0" xfId="0" quotePrefix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 indent="1"/>
    </xf>
    <xf numFmtId="0" fontId="6" fillId="0" borderId="0" xfId="0" applyFont="1" applyAlignment="1">
      <alignment horizontal="left" indent="2"/>
    </xf>
    <xf numFmtId="0" fontId="6" fillId="0" borderId="0" xfId="28" applyNumberFormat="1" applyFont="1" applyFill="1" applyBorder="1" applyAlignment="1">
      <alignment horizontal="left" indent="1"/>
    </xf>
    <xf numFmtId="0" fontId="6" fillId="0" borderId="0" xfId="0" applyFont="1" applyAlignment="1">
      <alignment horizontal="left" indent="3"/>
    </xf>
    <xf numFmtId="37" fontId="6" fillId="36" borderId="3" xfId="22" quotePrefix="1" applyNumberFormat="1" applyFont="1" applyFill="1" applyBorder="1" applyAlignment="1">
      <alignment horizontal="center"/>
    </xf>
    <xf numFmtId="37" fontId="6" fillId="36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justify"/>
    </xf>
    <xf numFmtId="10" fontId="13" fillId="0" borderId="0" xfId="0" applyNumberFormat="1" applyFont="1"/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left" indent="1"/>
    </xf>
    <xf numFmtId="166" fontId="10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28" applyNumberFormat="1" applyFont="1" applyFill="1" applyBorder="1" applyAlignment="1">
      <alignment horizontal="left"/>
    </xf>
    <xf numFmtId="164" fontId="6" fillId="36" borderId="0" xfId="0" applyNumberFormat="1" applyFont="1" applyFill="1"/>
    <xf numFmtId="0" fontId="6" fillId="0" borderId="0" xfId="28" applyFont="1" applyBorder="1" applyAlignment="1">
      <alignment horizontal="left"/>
    </xf>
    <xf numFmtId="0" fontId="6" fillId="0" borderId="0" xfId="28" quotePrefix="1" applyNumberFormat="1" applyFont="1" applyFill="1" applyBorder="1" applyAlignment="1">
      <alignment horizontal="left"/>
    </xf>
    <xf numFmtId="0" fontId="6" fillId="0" borderId="0" xfId="28" applyNumberFormat="1" applyFont="1" applyFill="1" applyBorder="1" applyAlignment="1">
      <alignment horizontal="right"/>
    </xf>
    <xf numFmtId="164" fontId="6" fillId="0" borderId="0" xfId="20" applyNumberFormat="1" applyFont="1" applyFill="1" applyBorder="1" applyAlignment="1">
      <alignment horizontal="right"/>
    </xf>
    <xf numFmtId="167" fontId="6" fillId="0" borderId="0" xfId="28" quotePrefix="1" applyNumberFormat="1" applyFont="1" applyFill="1" applyBorder="1" applyAlignment="1">
      <alignment horizontal="left" indent="1"/>
    </xf>
    <xf numFmtId="167" fontId="6" fillId="0" borderId="0" xfId="28" applyNumberFormat="1" applyFont="1" applyFill="1" applyBorder="1" applyAlignment="1">
      <alignment horizontal="left" indent="1"/>
    </xf>
    <xf numFmtId="0" fontId="6" fillId="0" borderId="0" xfId="28" applyFont="1" applyBorder="1" applyAlignment="1"/>
    <xf numFmtId="167" fontId="6" fillId="0" borderId="0" xfId="20" applyNumberFormat="1" applyFont="1" applyFill="1" applyBorder="1" applyAlignment="1">
      <alignment horizontal="right"/>
    </xf>
    <xf numFmtId="167" fontId="6" fillId="0" borderId="0" xfId="28" applyNumberFormat="1" applyFont="1" applyFill="1" applyBorder="1" applyAlignment="1">
      <alignment horizontal="right"/>
    </xf>
    <xf numFmtId="0" fontId="6" fillId="0" borderId="0" xfId="28" applyFont="1" applyBorder="1"/>
    <xf numFmtId="3" fontId="6" fillId="0" borderId="0" xfId="28" applyNumberFormat="1" applyFont="1" applyFill="1" applyBorder="1" applyAlignment="1">
      <alignment horizontal="left" indent="1"/>
    </xf>
    <xf numFmtId="1" fontId="6" fillId="0" borderId="0" xfId="28" applyNumberFormat="1" applyFont="1" applyFill="1" applyBorder="1" applyAlignment="1">
      <alignment horizontal="center"/>
    </xf>
    <xf numFmtId="3" fontId="6" fillId="0" borderId="0" xfId="28" applyNumberFormat="1" applyFont="1" applyFill="1" applyBorder="1" applyAlignment="1"/>
    <xf numFmtId="37" fontId="6" fillId="0" borderId="0" xfId="36" applyNumberFormat="1" applyFont="1" applyFill="1" applyAlignment="1">
      <alignment horizontal="left" indent="1"/>
    </xf>
    <xf numFmtId="0" fontId="6" fillId="0" borderId="0" xfId="28" applyFont="1" applyBorder="1" applyAlignment="1">
      <alignment horizontal="right"/>
    </xf>
    <xf numFmtId="10" fontId="6" fillId="0" borderId="0" xfId="0" applyNumberFormat="1" applyFont="1" applyFill="1"/>
    <xf numFmtId="0" fontId="6" fillId="36" borderId="0" xfId="34" applyFont="1" applyFill="1"/>
    <xf numFmtId="0" fontId="6" fillId="0" borderId="0" xfId="0" quotePrefix="1" applyFont="1" applyAlignment="1"/>
    <xf numFmtId="165" fontId="6" fillId="0" borderId="0" xfId="20" applyNumberFormat="1" applyFont="1" applyFill="1" applyBorder="1" applyAlignment="1">
      <alignment horizontal="right"/>
    </xf>
    <xf numFmtId="0" fontId="42" fillId="0" borderId="0" xfId="0" applyFont="1" applyFill="1"/>
    <xf numFmtId="0" fontId="9" fillId="0" borderId="0" xfId="28" applyFont="1" applyFill="1" applyBorder="1" applyAlignment="1"/>
    <xf numFmtId="0" fontId="7" fillId="0" borderId="0" xfId="0" applyFont="1" applyAlignment="1">
      <alignment horizontal="center"/>
    </xf>
    <xf numFmtId="0" fontId="7" fillId="0" borderId="0" xfId="28" applyFont="1" applyBorder="1" applyAlignment="1">
      <alignment horizontal="left"/>
    </xf>
    <xf numFmtId="1" fontId="6" fillId="0" borderId="0" xfId="28" quotePrefix="1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6" fillId="36" borderId="0" xfId="28" applyFont="1" applyFill="1" applyBorder="1" applyAlignment="1">
      <alignment horizontal="center"/>
    </xf>
    <xf numFmtId="164" fontId="6" fillId="36" borderId="0" xfId="0" applyNumberFormat="1" applyFont="1" applyFill="1" applyAlignment="1">
      <alignment horizontal="right"/>
    </xf>
    <xf numFmtId="1" fontId="6" fillId="36" borderId="0" xfId="28" applyNumberFormat="1" applyFont="1" applyFill="1" applyBorder="1" applyAlignment="1">
      <alignment horizontal="center"/>
    </xf>
    <xf numFmtId="0" fontId="7" fillId="36" borderId="0" xfId="28" applyFont="1" applyFill="1" applyBorder="1" applyAlignment="1">
      <alignment horizontal="left"/>
    </xf>
    <xf numFmtId="0" fontId="6" fillId="0" borderId="0" xfId="28" applyFont="1" applyFill="1" applyBorder="1" applyAlignment="1">
      <alignment horizontal="left"/>
    </xf>
    <xf numFmtId="0" fontId="6" fillId="36" borderId="0" xfId="0" applyFont="1" applyFill="1" applyAlignment="1">
      <alignment horizontal="left" indent="1"/>
    </xf>
    <xf numFmtId="0" fontId="6" fillId="36" borderId="0" xfId="0" applyFont="1" applyFill="1" applyAlignment="1">
      <alignment horizontal="left" vertical="center"/>
    </xf>
    <xf numFmtId="0" fontId="6" fillId="36" borderId="0" xfId="0" quotePrefix="1" applyFont="1" applyFill="1"/>
    <xf numFmtId="164" fontId="6" fillId="0" borderId="0" xfId="0" applyNumberFormat="1" applyFont="1" applyFill="1" applyAlignment="1">
      <alignment horizontal="left" indent="1"/>
    </xf>
    <xf numFmtId="0" fontId="0" fillId="0" borderId="0" xfId="0" applyFill="1" applyBorder="1"/>
    <xf numFmtId="0" fontId="7" fillId="0" borderId="0" xfId="28" applyFont="1" applyAlignment="1">
      <alignment horizontal="left" indent="1"/>
    </xf>
    <xf numFmtId="0" fontId="50" fillId="0" borderId="0" xfId="0" applyFont="1"/>
    <xf numFmtId="37" fontId="40" fillId="0" borderId="0" xfId="0" applyNumberFormat="1" applyFont="1" applyFill="1"/>
    <xf numFmtId="165" fontId="40" fillId="0" borderId="0" xfId="0" applyNumberFormat="1" applyFont="1" applyFill="1"/>
    <xf numFmtId="165" fontId="40" fillId="0" borderId="0" xfId="0" applyNumberFormat="1" applyFont="1" applyFill="1" applyAlignment="1">
      <alignment horizontal="left" indent="1"/>
    </xf>
    <xf numFmtId="164" fontId="42" fillId="0" borderId="0" xfId="0" applyNumberFormat="1" applyFont="1" applyFill="1"/>
    <xf numFmtId="0" fontId="51" fillId="0" borderId="0" xfId="28" applyFont="1" applyBorder="1" applyAlignment="1">
      <alignment horizontal="left"/>
    </xf>
    <xf numFmtId="164" fontId="6" fillId="0" borderId="0" xfId="28" applyNumberFormat="1" applyFont="1" applyBorder="1" applyAlignment="1">
      <alignment horizontal="right"/>
    </xf>
    <xf numFmtId="0" fontId="7" fillId="0" borderId="8" xfId="28" applyFont="1" applyBorder="1" applyAlignment="1">
      <alignment horizontal="center"/>
    </xf>
    <xf numFmtId="164" fontId="6" fillId="36" borderId="0" xfId="28" applyNumberFormat="1" applyFont="1" applyFill="1"/>
    <xf numFmtId="170" fontId="6" fillId="0" borderId="0" xfId="28" applyNumberFormat="1" applyFont="1" applyFill="1" applyAlignment="1">
      <alignment horizontal="center"/>
    </xf>
    <xf numFmtId="164" fontId="6" fillId="0" borderId="0" xfId="28" applyNumberFormat="1" applyFont="1" applyFill="1"/>
    <xf numFmtId="170" fontId="6" fillId="36" borderId="0" xfId="28" quotePrefix="1" applyNumberFormat="1" applyFont="1" applyFill="1" applyAlignment="1">
      <alignment horizontal="center"/>
    </xf>
    <xf numFmtId="170" fontId="6" fillId="0" borderId="0" xfId="28" quotePrefix="1" applyNumberFormat="1" applyFont="1" applyFill="1" applyAlignment="1">
      <alignment horizontal="center"/>
    </xf>
    <xf numFmtId="164" fontId="6" fillId="0" borderId="0" xfId="28" applyNumberFormat="1" applyFont="1"/>
    <xf numFmtId="164" fontId="6" fillId="0" borderId="0" xfId="20" applyNumberFormat="1" applyFont="1" applyBorder="1"/>
    <xf numFmtId="164" fontId="6" fillId="0" borderId="0" xfId="20" applyNumberFormat="1" applyFont="1"/>
    <xf numFmtId="39" fontId="40" fillId="0" borderId="0" xfId="0" applyNumberFormat="1" applyFont="1" applyAlignment="1">
      <alignment horizontal="left" indent="1"/>
    </xf>
    <xf numFmtId="164" fontId="6" fillId="36" borderId="0" xfId="20" applyNumberFormat="1" applyFont="1" applyFill="1" applyBorder="1"/>
    <xf numFmtId="164" fontId="6" fillId="0" borderId="0" xfId="20" applyNumberFormat="1" applyFont="1" applyBorder="1" applyAlignment="1">
      <alignment horizontal="left" indent="1"/>
    </xf>
    <xf numFmtId="39" fontId="6" fillId="0" borderId="0" xfId="20" applyNumberFormat="1" applyFont="1" applyBorder="1"/>
    <xf numFmtId="39" fontId="40" fillId="0" borderId="0" xfId="0" applyNumberFormat="1" applyFont="1"/>
    <xf numFmtId="37" fontId="6" fillId="0" borderId="0" xfId="20" applyNumberFormat="1" applyFont="1" applyBorder="1" applyAlignment="1">
      <alignment horizontal="center"/>
    </xf>
    <xf numFmtId="170" fontId="6" fillId="36" borderId="0" xfId="0" quotePrefix="1" applyNumberFormat="1" applyFont="1" applyFill="1" applyAlignment="1">
      <alignment horizontal="center"/>
    </xf>
    <xf numFmtId="170" fontId="6" fillId="36" borderId="0" xfId="0" applyNumberFormat="1" applyFont="1" applyFill="1" applyAlignment="1">
      <alignment horizontal="center"/>
    </xf>
    <xf numFmtId="0" fontId="6" fillId="36" borderId="0" xfId="0" quotePrefix="1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164" fontId="6" fillId="0" borderId="0" xfId="20" applyNumberFormat="1" applyFont="1" applyFill="1" applyBorder="1"/>
    <xf numFmtId="164" fontId="7" fillId="0" borderId="0" xfId="28" applyNumberFormat="1" applyFont="1" applyBorder="1" applyAlignment="1">
      <alignment horizontal="center"/>
    </xf>
    <xf numFmtId="164" fontId="7" fillId="0" borderId="8" xfId="28" applyNumberFormat="1" applyFont="1" applyBorder="1" applyAlignment="1">
      <alignment horizontal="center"/>
    </xf>
    <xf numFmtId="170" fontId="6" fillId="36" borderId="0" xfId="0" applyNumberFormat="1" applyFont="1" applyFill="1" applyBorder="1" applyAlignment="1" applyProtection="1">
      <alignment horizontal="center"/>
    </xf>
    <xf numFmtId="0" fontId="6" fillId="36" borderId="0" xfId="0" applyFont="1" applyFill="1" applyBorder="1" applyProtection="1"/>
    <xf numFmtId="164" fontId="6" fillId="36" borderId="0" xfId="0" applyNumberFormat="1" applyFont="1" applyFill="1" applyBorder="1" applyProtection="1"/>
    <xf numFmtId="0" fontId="6" fillId="36" borderId="0" xfId="0" applyFont="1" applyFill="1" applyBorder="1"/>
    <xf numFmtId="170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164" fontId="6" fillId="0" borderId="0" xfId="0" applyNumberFormat="1" applyFont="1" applyFill="1" applyBorder="1" applyProtection="1"/>
    <xf numFmtId="0" fontId="6" fillId="36" borderId="0" xfId="0" quotePrefix="1" applyFont="1" applyFill="1" applyBorder="1"/>
    <xf numFmtId="164" fontId="6" fillId="36" borderId="0" xfId="0" applyNumberFormat="1" applyFont="1" applyFill="1" applyBorder="1"/>
    <xf numFmtId="0" fontId="6" fillId="0" borderId="0" xfId="0" quotePrefix="1" applyFont="1" applyFill="1" applyBorder="1"/>
    <xf numFmtId="0" fontId="6" fillId="0" borderId="0" xfId="0" applyFont="1" applyFill="1" applyBorder="1"/>
    <xf numFmtId="170" fontId="6" fillId="36" borderId="0" xfId="0" quotePrefix="1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6" fillId="36" borderId="0" xfId="0" applyNumberFormat="1" applyFont="1" applyFill="1" applyAlignment="1"/>
    <xf numFmtId="164" fontId="6" fillId="36" borderId="0" xfId="0" quotePrefix="1" applyNumberFormat="1" applyFont="1" applyFill="1" applyAlignment="1"/>
    <xf numFmtId="0" fontId="9" fillId="0" borderId="0" xfId="0" applyFont="1" applyAlignment="1">
      <alignment horizontal="right" indent="1"/>
    </xf>
    <xf numFmtId="164" fontId="6" fillId="0" borderId="0" xfId="0" applyNumberFormat="1" applyFont="1" applyFill="1" applyAlignment="1">
      <alignment horizontal="right" indent="1"/>
    </xf>
    <xf numFmtId="0" fontId="6" fillId="0" borderId="0" xfId="0" applyFont="1" applyAlignment="1">
      <alignment horizontal="left"/>
    </xf>
    <xf numFmtId="164" fontId="13" fillId="0" borderId="0" xfId="28" applyNumberFormat="1" applyFont="1" applyFill="1"/>
    <xf numFmtId="0" fontId="7" fillId="0" borderId="0" xfId="0" applyFont="1" applyAlignment="1">
      <alignment horizontal="center"/>
    </xf>
    <xf numFmtId="10" fontId="0" fillId="36" borderId="0" xfId="0" applyNumberFormat="1" applyFill="1"/>
    <xf numFmtId="164" fontId="6" fillId="0" borderId="14" xfId="20" applyNumberFormat="1" applyFont="1" applyBorder="1"/>
    <xf numFmtId="0" fontId="7" fillId="0" borderId="0" xfId="0" applyFont="1" applyFill="1" applyBorder="1" applyAlignment="1">
      <alignment horizontal="center"/>
    </xf>
    <xf numFmtId="37" fontId="6" fillId="0" borderId="0" xfId="0" applyNumberFormat="1" applyFont="1" applyFill="1" applyAlignment="1">
      <alignment horizontal="left" indent="1"/>
    </xf>
    <xf numFmtId="10" fontId="6" fillId="0" borderId="0" xfId="20" applyNumberFormat="1" applyFont="1" applyBorder="1"/>
    <xf numFmtId="39" fontId="6" fillId="0" borderId="0" xfId="0" applyNumberFormat="1" applyFont="1" applyAlignment="1">
      <alignment horizontal="left" indent="1"/>
    </xf>
    <xf numFmtId="0" fontId="6" fillId="0" borderId="0" xfId="28" quotePrefix="1" applyFont="1" applyAlignment="1">
      <alignment horizontal="left" indent="1"/>
    </xf>
    <xf numFmtId="168" fontId="6" fillId="0" borderId="0" xfId="20" applyNumberFormat="1" applyFont="1" applyBorder="1"/>
    <xf numFmtId="0" fontId="52" fillId="0" borderId="0" xfId="0" applyFont="1"/>
    <xf numFmtId="0" fontId="6" fillId="0" borderId="0" xfId="28" applyFont="1" applyFill="1" applyAlignment="1">
      <alignment horizontal="left" indent="1"/>
    </xf>
    <xf numFmtId="0" fontId="6" fillId="0" borderId="0" xfId="28" applyFont="1" applyFill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horizontal="left"/>
    </xf>
    <xf numFmtId="17" fontId="6" fillId="0" borderId="0" xfId="0" quotePrefix="1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52" fillId="0" borderId="0" xfId="0" applyFont="1" applyFill="1" applyAlignment="1">
      <alignment horizontal="center"/>
    </xf>
    <xf numFmtId="0" fontId="6" fillId="0" borderId="0" xfId="0" applyFont="1" applyBorder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28" applyNumberFormat="1" applyFont="1" applyFill="1" applyBorder="1" applyAlignment="1">
      <alignment horizontal="center"/>
    </xf>
    <xf numFmtId="0" fontId="6" fillId="0" borderId="0" xfId="0" quotePrefix="1" applyFont="1" applyAlignment="1">
      <alignment horizontal="left" indent="1"/>
    </xf>
    <xf numFmtId="0" fontId="6" fillId="0" borderId="0" xfId="28" quotePrefix="1" applyFont="1" applyFill="1" applyAlignment="1">
      <alignment horizontal="center" vertical="center"/>
    </xf>
    <xf numFmtId="0" fontId="6" fillId="0" borderId="0" xfId="28" quotePrefix="1" applyFont="1" applyFill="1" applyAlignment="1">
      <alignment horizontal="center"/>
    </xf>
    <xf numFmtId="0" fontId="6" fillId="0" borderId="0" xfId="28" quotePrefix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28" applyFont="1" applyAlignment="1">
      <alignment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37" fontId="6" fillId="0" borderId="3" xfId="22" quotePrefix="1" applyNumberFormat="1" applyFont="1" applyFill="1" applyBorder="1" applyAlignment="1">
      <alignment horizontal="center"/>
    </xf>
    <xf numFmtId="39" fontId="6" fillId="0" borderId="3" xfId="22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horizontal="center"/>
    </xf>
    <xf numFmtId="168" fontId="6" fillId="36" borderId="0" xfId="0" applyNumberFormat="1" applyFont="1" applyFill="1" applyAlignment="1">
      <alignment horizontal="left"/>
    </xf>
    <xf numFmtId="183" fontId="0" fillId="36" borderId="0" xfId="0" applyNumberFormat="1" applyFill="1" applyAlignment="1">
      <alignment horizontal="center"/>
    </xf>
    <xf numFmtId="17" fontId="0" fillId="36" borderId="0" xfId="0" quotePrefix="1" applyNumberFormat="1" applyFill="1" applyAlignment="1">
      <alignment horizontal="center"/>
    </xf>
    <xf numFmtId="183" fontId="0" fillId="36" borderId="0" xfId="0" quotePrefix="1" applyNumberFormat="1" applyFill="1" applyAlignment="1">
      <alignment horizontal="center"/>
    </xf>
    <xf numFmtId="37" fontId="40" fillId="36" borderId="0" xfId="81" applyNumberFormat="1" applyFont="1" applyFill="1" applyAlignment="1">
      <alignment horizontal="right"/>
    </xf>
    <xf numFmtId="37" fontId="40" fillId="36" borderId="0" xfId="82" applyNumberFormat="1" applyFont="1" applyFill="1" applyAlignment="1">
      <alignment horizontal="right"/>
    </xf>
    <xf numFmtId="0" fontId="7" fillId="0" borderId="8" xfId="0" applyFont="1" applyBorder="1"/>
    <xf numFmtId="0" fontId="7" fillId="0" borderId="0" xfId="0" applyFont="1" applyAlignment="1">
      <alignment horizontal="center"/>
    </xf>
    <xf numFmtId="6" fontId="0" fillId="0" borderId="0" xfId="0" applyNumberFormat="1"/>
    <xf numFmtId="0" fontId="6" fillId="0" borderId="8" xfId="0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36" borderId="0" xfId="0" applyFont="1" applyFill="1" applyAlignment="1">
      <alignment wrapText="1"/>
    </xf>
    <xf numFmtId="0" fontId="6" fillId="36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4" fillId="0" borderId="0" xfId="108" applyFont="1"/>
    <xf numFmtId="0" fontId="6" fillId="0" borderId="0" xfId="108" applyFont="1"/>
    <xf numFmtId="0" fontId="6" fillId="0" borderId="0" xfId="108" applyFont="1" applyBorder="1"/>
    <xf numFmtId="0" fontId="6" fillId="0" borderId="0" xfId="108" applyFill="1" applyAlignment="1">
      <alignment horizontal="center"/>
    </xf>
    <xf numFmtId="0" fontId="6" fillId="0" borderId="0" xfId="108"/>
    <xf numFmtId="0" fontId="10" fillId="0" borderId="0" xfId="108" applyFont="1" applyAlignment="1">
      <alignment horizontal="center"/>
    </xf>
    <xf numFmtId="0" fontId="6" fillId="0" borderId="0" xfId="108" applyBorder="1"/>
    <xf numFmtId="0" fontId="7" fillId="0" borderId="0" xfId="108" applyFont="1" applyAlignment="1">
      <alignment horizontal="right"/>
    </xf>
    <xf numFmtId="167" fontId="6" fillId="0" borderId="0" xfId="19" applyNumberFormat="1" applyFont="1"/>
    <xf numFmtId="0" fontId="6" fillId="0" borderId="0" xfId="108" applyFont="1" applyAlignment="1">
      <alignment horizontal="left" indent="1"/>
    </xf>
    <xf numFmtId="0" fontId="7" fillId="34" borderId="0" xfId="109" applyFont="1" applyFill="1"/>
    <xf numFmtId="0" fontId="6" fillId="36" borderId="0" xfId="109" applyFont="1" applyFill="1"/>
    <xf numFmtId="0" fontId="6" fillId="0" borderId="0" xfId="108" applyFill="1"/>
    <xf numFmtId="164" fontId="6" fillId="0" borderId="0" xfId="108" applyNumberFormat="1"/>
    <xf numFmtId="0" fontId="10" fillId="0" borderId="0" xfId="108" quotePrefix="1" applyFont="1" applyAlignment="1">
      <alignment horizontal="center"/>
    </xf>
    <xf numFmtId="0" fontId="6" fillId="0" borderId="0" xfId="108" applyFont="1" applyAlignment="1">
      <alignment horizontal="center"/>
    </xf>
    <xf numFmtId="0" fontId="6" fillId="0" borderId="0" xfId="108" applyAlignment="1"/>
    <xf numFmtId="0" fontId="6" fillId="0" borderId="0" xfId="108" quotePrefix="1" applyFont="1" applyBorder="1" applyAlignment="1">
      <alignment horizontal="center" wrapText="1"/>
    </xf>
    <xf numFmtId="0" fontId="6" fillId="0" borderId="0" xfId="108" applyFill="1" applyAlignment="1"/>
    <xf numFmtId="0" fontId="6" fillId="0" borderId="0" xfId="108" applyAlignment="1">
      <alignment vertical="center" wrapText="1"/>
    </xf>
    <xf numFmtId="0" fontId="10" fillId="0" borderId="0" xfId="108" quotePrefix="1" applyFont="1" applyAlignment="1">
      <alignment horizontal="center" vertical="center" wrapText="1"/>
    </xf>
    <xf numFmtId="0" fontId="6" fillId="0" borderId="6" xfId="108" quotePrefix="1" applyFont="1" applyBorder="1" applyAlignment="1">
      <alignment horizontal="center" vertical="center" wrapText="1"/>
    </xf>
    <xf numFmtId="0" fontId="6" fillId="0" borderId="5" xfId="108" applyFont="1" applyFill="1" applyBorder="1" applyAlignment="1">
      <alignment horizontal="center" vertical="center" wrapText="1"/>
    </xf>
    <xf numFmtId="0" fontId="6" fillId="0" borderId="0" xfId="108" applyFill="1" applyAlignment="1">
      <alignment horizontal="center" vertical="center" wrapText="1"/>
    </xf>
    <xf numFmtId="0" fontId="6" fillId="0" borderId="0" xfId="108" applyFill="1" applyAlignment="1">
      <alignment vertical="center" wrapText="1"/>
    </xf>
    <xf numFmtId="0" fontId="7" fillId="0" borderId="3" xfId="108" applyFont="1" applyFill="1" applyBorder="1" applyAlignment="1">
      <alignment horizontal="center" wrapText="1"/>
    </xf>
    <xf numFmtId="0" fontId="7" fillId="0" borderId="3" xfId="108" quotePrefix="1" applyFont="1" applyBorder="1" applyAlignment="1">
      <alignment horizontal="center" wrapText="1"/>
    </xf>
    <xf numFmtId="0" fontId="7" fillId="0" borderId="6" xfId="108" applyFont="1" applyBorder="1" applyAlignment="1">
      <alignment horizontal="center" wrapText="1"/>
    </xf>
    <xf numFmtId="0" fontId="7" fillId="0" borderId="3" xfId="108" applyFont="1" applyFill="1" applyBorder="1" applyAlignment="1">
      <alignment horizontal="center"/>
    </xf>
    <xf numFmtId="0" fontId="7" fillId="0" borderId="4" xfId="108" applyFont="1" applyBorder="1" applyAlignment="1">
      <alignment horizontal="center" wrapText="1"/>
    </xf>
    <xf numFmtId="0" fontId="7" fillId="0" borderId="3" xfId="108" applyFont="1" applyBorder="1" applyAlignment="1">
      <alignment horizontal="center" wrapText="1"/>
    </xf>
    <xf numFmtId="0" fontId="7" fillId="0" borderId="0" xfId="108" applyFont="1" applyAlignment="1">
      <alignment horizontal="center"/>
    </xf>
    <xf numFmtId="10" fontId="6" fillId="0" borderId="0" xfId="108" applyNumberFormat="1"/>
    <xf numFmtId="3" fontId="29" fillId="36" borderId="0" xfId="110" applyNumberFormat="1" applyFill="1"/>
    <xf numFmtId="3" fontId="29" fillId="36" borderId="0" xfId="111" applyNumberFormat="1" applyFill="1"/>
    <xf numFmtId="3" fontId="29" fillId="36" borderId="0" xfId="112" applyNumberFormat="1" applyFill="1"/>
    <xf numFmtId="175" fontId="6" fillId="0" borderId="0" xfId="108" applyNumberFormat="1" applyAlignment="1">
      <alignment horizontal="center"/>
    </xf>
    <xf numFmtId="0" fontId="6" fillId="0" borderId="0" xfId="108" quotePrefix="1" applyNumberFormat="1" applyFont="1" applyAlignment="1">
      <alignment horizontal="center"/>
    </xf>
    <xf numFmtId="3" fontId="29" fillId="36" borderId="0" xfId="110" applyNumberFormat="1" applyFill="1" applyAlignment="1">
      <alignment horizontal="center"/>
    </xf>
    <xf numFmtId="3" fontId="29" fillId="36" borderId="0" xfId="111" applyNumberFormat="1" applyFill="1" applyAlignment="1">
      <alignment horizontal="center"/>
    </xf>
    <xf numFmtId="3" fontId="29" fillId="36" borderId="0" xfId="112" applyNumberFormat="1" applyFill="1" applyAlignment="1">
      <alignment horizontal="center"/>
    </xf>
    <xf numFmtId="10" fontId="6" fillId="0" borderId="0" xfId="108" applyNumberFormat="1" applyBorder="1"/>
    <xf numFmtId="0" fontId="6" fillId="0" borderId="0" xfId="108" quotePrefix="1" applyNumberFormat="1" applyFont="1" applyBorder="1" applyAlignment="1">
      <alignment horizontal="center"/>
    </xf>
    <xf numFmtId="166" fontId="6" fillId="0" borderId="15" xfId="108" applyNumberFormat="1" applyBorder="1" applyAlignment="1">
      <alignment horizontal="center"/>
    </xf>
    <xf numFmtId="164" fontId="6" fillId="0" borderId="16" xfId="108" applyNumberFormat="1" applyBorder="1"/>
    <xf numFmtId="0" fontId="6" fillId="0" borderId="17" xfId="108" applyFill="1" applyBorder="1" applyAlignment="1">
      <alignment horizontal="center"/>
    </xf>
    <xf numFmtId="166" fontId="6" fillId="0" borderId="0" xfId="108" applyNumberFormat="1" applyAlignment="1">
      <alignment horizontal="center"/>
    </xf>
    <xf numFmtId="166" fontId="6" fillId="0" borderId="0" xfId="108" applyNumberFormat="1"/>
    <xf numFmtId="3" fontId="29" fillId="0" borderId="0" xfId="113" applyNumberFormat="1" applyFill="1" applyBorder="1"/>
    <xf numFmtId="3" fontId="29" fillId="0" borderId="0" xfId="114" applyNumberFormat="1" applyFill="1"/>
    <xf numFmtId="0" fontId="6" fillId="0" borderId="0" xfId="108" applyFill="1" applyBorder="1"/>
    <xf numFmtId="166" fontId="6" fillId="0" borderId="0" xfId="108" applyNumberFormat="1" applyFill="1"/>
    <xf numFmtId="3" fontId="29" fillId="0" borderId="0" xfId="112" applyNumberFormat="1" applyFill="1" applyBorder="1" applyAlignment="1">
      <alignment horizontal="center"/>
    </xf>
    <xf numFmtId="0" fontId="6" fillId="0" borderId="0" xfId="108" applyFill="1" applyBorder="1" applyAlignment="1">
      <alignment horizontal="center"/>
    </xf>
    <xf numFmtId="0" fontId="6" fillId="0" borderId="0" xfId="108" applyAlignment="1">
      <alignment horizontal="left" indent="1"/>
    </xf>
    <xf numFmtId="164" fontId="6" fillId="0" borderId="0" xfId="108" applyNumberFormat="1" applyFont="1"/>
    <xf numFmtId="181" fontId="6" fillId="34" borderId="0" xfId="35" quotePrefix="1" applyNumberFormat="1" applyFont="1" applyFill="1" applyAlignment="1">
      <alignment horizontal="left"/>
    </xf>
    <xf numFmtId="10" fontId="6" fillId="0" borderId="3" xfId="108" applyNumberFormat="1" applyBorder="1"/>
    <xf numFmtId="3" fontId="6" fillId="0" borderId="3" xfId="108" applyNumberFormat="1" applyBorder="1"/>
    <xf numFmtId="0" fontId="6" fillId="0" borderId="0" xfId="108" applyAlignment="1">
      <alignment horizontal="center"/>
    </xf>
    <xf numFmtId="3" fontId="6" fillId="0" borderId="0" xfId="108" applyNumberFormat="1" applyFill="1"/>
    <xf numFmtId="9" fontId="6" fillId="0" borderId="0" xfId="37" applyFont="1"/>
    <xf numFmtId="3" fontId="29" fillId="0" borderId="0" xfId="111" applyNumberFormat="1" applyFill="1"/>
    <xf numFmtId="0" fontId="6" fillId="0" borderId="0" xfId="108" applyFont="1" applyAlignment="1">
      <alignment horizontal="center" vertical="center" wrapText="1"/>
    </xf>
    <xf numFmtId="0" fontId="6" fillId="0" borderId="0" xfId="108" quotePrefix="1" applyFont="1" applyAlignment="1">
      <alignment horizontal="center" vertical="center" wrapText="1"/>
    </xf>
    <xf numFmtId="0" fontId="10" fillId="0" borderId="0" xfId="108" quotePrefix="1" applyFont="1" applyBorder="1" applyAlignment="1">
      <alignment horizontal="center"/>
    </xf>
    <xf numFmtId="2" fontId="7" fillId="0" borderId="5" xfId="108" applyNumberFormat="1" applyFont="1" applyFill="1" applyBorder="1" applyAlignment="1">
      <alignment horizontal="center" wrapText="1"/>
    </xf>
    <xf numFmtId="2" fontId="7" fillId="0" borderId="3" xfId="108" applyNumberFormat="1" applyFont="1" applyFill="1" applyBorder="1" applyAlignment="1">
      <alignment horizontal="center" wrapText="1"/>
    </xf>
    <xf numFmtId="2" fontId="7" fillId="0" borderId="3" xfId="108" applyNumberFormat="1" applyFont="1" applyBorder="1" applyAlignment="1">
      <alignment horizontal="center" wrapText="1"/>
    </xf>
    <xf numFmtId="2" fontId="6" fillId="0" borderId="0" xfId="108" applyNumberFormat="1" applyFont="1" applyAlignment="1">
      <alignment horizontal="center" wrapText="1"/>
    </xf>
    <xf numFmtId="2" fontId="6" fillId="0" borderId="0" xfId="108" applyNumberFormat="1" applyFont="1" applyFill="1" applyAlignment="1">
      <alignment horizontal="center" wrapText="1"/>
    </xf>
    <xf numFmtId="2" fontId="7" fillId="0" borderId="0" xfId="108" applyNumberFormat="1" applyFont="1" applyAlignment="1">
      <alignment horizontal="center"/>
    </xf>
    <xf numFmtId="2" fontId="6" fillId="34" borderId="0" xfId="35" applyNumberFormat="1" applyFont="1" applyFill="1" applyAlignment="1">
      <alignment horizontal="left"/>
    </xf>
    <xf numFmtId="164" fontId="6" fillId="0" borderId="0" xfId="108" applyNumberFormat="1" applyFill="1"/>
    <xf numFmtId="1" fontId="3" fillId="0" borderId="0" xfId="0" applyNumberFormat="1" applyFont="1" applyFill="1" applyAlignment="1">
      <alignment horizontal="right"/>
    </xf>
    <xf numFmtId="2" fontId="6" fillId="0" borderId="0" xfId="108" applyNumberFormat="1" applyFont="1"/>
    <xf numFmtId="1" fontId="6" fillId="0" borderId="0" xfId="108" applyNumberFormat="1" applyFont="1"/>
    <xf numFmtId="2" fontId="6" fillId="0" borderId="0" xfId="108" applyNumberFormat="1" applyFont="1" applyFill="1" applyAlignment="1">
      <alignment horizontal="center"/>
    </xf>
    <xf numFmtId="181" fontId="54" fillId="0" borderId="0" xfId="35" applyNumberFormat="1" applyFont="1" applyFill="1" applyAlignment="1">
      <alignment horizontal="left"/>
    </xf>
    <xf numFmtId="0" fontId="7" fillId="0" borderId="0" xfId="108" applyFont="1" applyAlignment="1">
      <alignment horizontal="center" vertical="center" wrapText="1"/>
    </xf>
    <xf numFmtId="0" fontId="6" fillId="0" borderId="0" xfId="108" quotePrefix="1" applyFont="1" applyAlignment="1">
      <alignment horizontal="center"/>
    </xf>
    <xf numFmtId="0" fontId="6" fillId="0" borderId="0" xfId="108" applyFont="1" applyFill="1" applyAlignment="1">
      <alignment horizontal="center"/>
    </xf>
    <xf numFmtId="181" fontId="7" fillId="0" borderId="3" xfId="35" applyNumberFormat="1" applyFont="1" applyFill="1" applyBorder="1" applyAlignment="1">
      <alignment horizontal="center"/>
    </xf>
    <xf numFmtId="175" fontId="6" fillId="0" borderId="0" xfId="108" quotePrefix="1" applyNumberFormat="1" applyFill="1" applyAlignment="1">
      <alignment horizontal="center"/>
    </xf>
    <xf numFmtId="164" fontId="6" fillId="0" borderId="0" xfId="108" applyNumberFormat="1" applyAlignment="1">
      <alignment horizontal="right"/>
    </xf>
    <xf numFmtId="166" fontId="6" fillId="0" borderId="15" xfId="108" quotePrefix="1" applyNumberFormat="1" applyFill="1" applyBorder="1" applyAlignment="1">
      <alignment horizontal="center"/>
    </xf>
    <xf numFmtId="166" fontId="6" fillId="0" borderId="16" xfId="108" applyNumberFormat="1" applyFill="1" applyBorder="1" applyAlignment="1">
      <alignment horizontal="center"/>
    </xf>
    <xf numFmtId="0" fontId="6" fillId="0" borderId="17" xfId="108" applyFont="1" applyBorder="1" applyAlignment="1">
      <alignment horizontal="center"/>
    </xf>
    <xf numFmtId="166" fontId="6" fillId="0" borderId="0" xfId="108" quotePrefix="1" applyNumberFormat="1" applyFill="1" applyAlignment="1">
      <alignment horizontal="center"/>
    </xf>
    <xf numFmtId="164" fontId="6" fillId="0" borderId="0" xfId="108" applyNumberFormat="1" applyBorder="1" applyAlignment="1">
      <alignment horizontal="right"/>
    </xf>
    <xf numFmtId="175" fontId="6" fillId="0" borderId="0" xfId="108" applyNumberFormat="1" applyFill="1" applyAlignment="1">
      <alignment horizontal="center"/>
    </xf>
    <xf numFmtId="166" fontId="6" fillId="0" borderId="15" xfId="108" applyNumberFormat="1" applyFill="1" applyBorder="1" applyAlignment="1">
      <alignment horizontal="center"/>
    </xf>
    <xf numFmtId="164" fontId="6" fillId="0" borderId="0" xfId="108" applyNumberFormat="1" applyBorder="1"/>
    <xf numFmtId="0" fontId="10" fillId="0" borderId="0" xfId="108" applyFont="1"/>
    <xf numFmtId="0" fontId="6" fillId="0" borderId="0" xfId="108" applyFont="1" applyFill="1"/>
    <xf numFmtId="0" fontId="6" fillId="0" borderId="0" xfId="108" applyAlignment="1">
      <alignment horizontal="left"/>
    </xf>
    <xf numFmtId="0" fontId="7" fillId="0" borderId="6" xfId="108" applyFont="1" applyFill="1" applyBorder="1"/>
    <xf numFmtId="0" fontId="6" fillId="0" borderId="9" xfId="108" applyFont="1" applyFill="1" applyBorder="1"/>
    <xf numFmtId="0" fontId="6" fillId="0" borderId="4" xfId="108" applyFont="1" applyFill="1" applyBorder="1"/>
    <xf numFmtId="181" fontId="6" fillId="36" borderId="0" xfId="35" applyNumberFormat="1" applyFont="1" applyFill="1" applyAlignment="1">
      <alignment horizontal="left"/>
    </xf>
    <xf numFmtId="0" fontId="6" fillId="36" borderId="0" xfId="35" applyFont="1" applyFill="1" applyAlignment="1">
      <alignment horizontal="left" vertical="top" indent="1"/>
    </xf>
    <xf numFmtId="0" fontId="6" fillId="36" borderId="0" xfId="108" applyFont="1" applyFill="1"/>
    <xf numFmtId="0" fontId="6" fillId="36" borderId="0" xfId="108" applyFill="1"/>
    <xf numFmtId="181" fontId="6" fillId="36" borderId="0" xfId="35" quotePrefix="1" applyNumberFormat="1" applyFont="1" applyFill="1" applyAlignment="1">
      <alignment horizontal="left"/>
    </xf>
    <xf numFmtId="0" fontId="10" fillId="0" borderId="0" xfId="108" quotePrefix="1" applyFont="1" applyFill="1" applyAlignment="1">
      <alignment horizontal="center"/>
    </xf>
    <xf numFmtId="0" fontId="10" fillId="0" borderId="0" xfId="108" quotePrefix="1" applyFont="1" applyFill="1" applyBorder="1" applyAlignment="1">
      <alignment horizontal="center"/>
    </xf>
    <xf numFmtId="0" fontId="7" fillId="0" borderId="0" xfId="108" applyFont="1" applyAlignment="1">
      <alignment horizontal="center" vertical="center"/>
    </xf>
    <xf numFmtId="0" fontId="10" fillId="0" borderId="0" xfId="108" quotePrefix="1" applyFont="1" applyFill="1" applyAlignment="1">
      <alignment horizontal="center" vertical="center" wrapText="1"/>
    </xf>
    <xf numFmtId="0" fontId="10" fillId="0" borderId="0" xfId="108" quotePrefix="1" applyFont="1" applyFill="1" applyBorder="1" applyAlignment="1">
      <alignment horizontal="center" vertical="center" wrapText="1"/>
    </xf>
    <xf numFmtId="0" fontId="6" fillId="0" borderId="0" xfId="108" applyAlignment="1">
      <alignment wrapText="1"/>
    </xf>
    <xf numFmtId="0" fontId="10" fillId="0" borderId="0" xfId="108" quotePrefix="1" applyFont="1" applyAlignment="1">
      <alignment horizontal="center" wrapText="1"/>
    </xf>
    <xf numFmtId="0" fontId="6" fillId="0" borderId="0" xfId="108" quotePrefix="1" applyFont="1" applyAlignment="1">
      <alignment horizontal="center" vertical="top" wrapText="1"/>
    </xf>
    <xf numFmtId="0" fontId="10" fillId="0" borderId="0" xfId="108" quotePrefix="1" applyFont="1" applyFill="1" applyAlignment="1">
      <alignment horizontal="center" wrapText="1"/>
    </xf>
    <xf numFmtId="0" fontId="10" fillId="0" borderId="0" xfId="108" quotePrefix="1" applyFont="1" applyFill="1" applyBorder="1" applyAlignment="1">
      <alignment horizontal="center" wrapText="1"/>
    </xf>
    <xf numFmtId="0" fontId="6" fillId="0" borderId="0" xfId="108" applyFill="1" applyAlignment="1">
      <alignment horizontal="center" wrapText="1"/>
    </xf>
    <xf numFmtId="0" fontId="6" fillId="0" borderId="7" xfId="108" applyFill="1" applyBorder="1"/>
    <xf numFmtId="0" fontId="7" fillId="34" borderId="7" xfId="108" applyFont="1" applyFill="1" applyBorder="1" applyAlignment="1">
      <alignment horizontal="center" wrapText="1"/>
    </xf>
    <xf numFmtId="0" fontId="6" fillId="0" borderId="7" xfId="108" applyBorder="1"/>
    <xf numFmtId="0" fontId="10" fillId="0" borderId="7" xfId="108" quotePrefix="1" applyFont="1" applyBorder="1" applyAlignment="1">
      <alignment horizontal="center"/>
    </xf>
    <xf numFmtId="0" fontId="6" fillId="0" borderId="0" xfId="108" applyFont="1" applyFill="1" applyBorder="1"/>
    <xf numFmtId="0" fontId="7" fillId="0" borderId="5" xfId="108" applyFont="1" applyFill="1" applyBorder="1" applyAlignment="1">
      <alignment horizontal="center" wrapText="1"/>
    </xf>
    <xf numFmtId="0" fontId="7" fillId="34" borderId="11" xfId="108" applyFont="1" applyFill="1" applyBorder="1" applyAlignment="1">
      <alignment horizontal="center" wrapText="1"/>
    </xf>
    <xf numFmtId="0" fontId="7" fillId="34" borderId="10" xfId="108" applyFont="1" applyFill="1" applyBorder="1" applyAlignment="1">
      <alignment horizontal="center" wrapText="1"/>
    </xf>
    <xf numFmtId="0" fontId="7" fillId="34" borderId="5" xfId="108" applyFont="1" applyFill="1" applyBorder="1" applyAlignment="1">
      <alignment horizontal="center" wrapText="1"/>
    </xf>
    <xf numFmtId="0" fontId="7" fillId="0" borderId="0" xfId="108" applyFont="1" applyFill="1" applyBorder="1" applyAlignment="1">
      <alignment horizontal="center" wrapText="1"/>
    </xf>
    <xf numFmtId="3" fontId="6" fillId="36" borderId="0" xfId="108" applyNumberFormat="1" applyFill="1"/>
    <xf numFmtId="3" fontId="6" fillId="0" borderId="0" xfId="108" applyNumberFormat="1"/>
    <xf numFmtId="176" fontId="0" fillId="36" borderId="0" xfId="0" applyNumberFormat="1" applyFill="1" applyAlignment="1">
      <alignment horizontal="center"/>
    </xf>
    <xf numFmtId="167" fontId="40" fillId="36" borderId="0" xfId="115" applyNumberFormat="1" applyFont="1" applyFill="1"/>
    <xf numFmtId="182" fontId="6" fillId="0" borderId="0" xfId="108" applyNumberFormat="1" applyFill="1"/>
    <xf numFmtId="176" fontId="6" fillId="0" borderId="0" xfId="108" applyNumberFormat="1" applyFill="1" applyAlignment="1">
      <alignment horizontal="center"/>
    </xf>
    <xf numFmtId="167" fontId="40" fillId="36" borderId="0" xfId="115" applyNumberFormat="1" applyFont="1" applyFill="1" applyBorder="1"/>
    <xf numFmtId="3" fontId="6" fillId="36" borderId="0" xfId="108" applyNumberFormat="1" applyFill="1" applyBorder="1"/>
    <xf numFmtId="182" fontId="13" fillId="0" borderId="0" xfId="108" applyNumberFormat="1" applyFont="1" applyFill="1"/>
    <xf numFmtId="10" fontId="0" fillId="0" borderId="3" xfId="116" applyNumberFormat="1" applyFont="1" applyBorder="1"/>
    <xf numFmtId="2" fontId="54" fillId="0" borderId="0" xfId="108" applyNumberFormat="1" applyFont="1"/>
    <xf numFmtId="2" fontId="10" fillId="0" borderId="0" xfId="108" quotePrefix="1" applyNumberFormat="1" applyFont="1" applyAlignment="1">
      <alignment horizontal="center"/>
    </xf>
    <xf numFmtId="2" fontId="10" fillId="0" borderId="0" xfId="108" quotePrefix="1" applyNumberFormat="1" applyFont="1" applyFill="1" applyAlignment="1">
      <alignment horizontal="center"/>
    </xf>
    <xf numFmtId="2" fontId="10" fillId="0" borderId="0" xfId="108" quotePrefix="1" applyNumberFormat="1" applyFont="1" applyFill="1" applyBorder="1" applyAlignment="1">
      <alignment horizontal="center"/>
    </xf>
    <xf numFmtId="2" fontId="6" fillId="0" borderId="0" xfId="108" applyNumberFormat="1" applyFont="1" applyBorder="1"/>
    <xf numFmtId="2" fontId="6" fillId="0" borderId="0" xfId="108" applyNumberFormat="1" applyFont="1" applyAlignment="1">
      <alignment wrapText="1"/>
    </xf>
    <xf numFmtId="2" fontId="10" fillId="0" borderId="0" xfId="108" quotePrefix="1" applyNumberFormat="1" applyFont="1" applyAlignment="1">
      <alignment horizontal="center" wrapText="1"/>
    </xf>
    <xf numFmtId="2" fontId="6" fillId="0" borderId="0" xfId="108" quotePrefix="1" applyNumberFormat="1" applyFont="1" applyAlignment="1">
      <alignment horizontal="center" vertical="top" wrapText="1"/>
    </xf>
    <xf numFmtId="2" fontId="6" fillId="0" borderId="0" xfId="108" quotePrefix="1" applyNumberFormat="1" applyFont="1" applyBorder="1" applyAlignment="1">
      <alignment horizontal="center" vertical="top" wrapText="1"/>
    </xf>
    <xf numFmtId="2" fontId="6" fillId="0" borderId="0" xfId="108" applyNumberFormat="1" applyFont="1" applyBorder="1" applyAlignment="1">
      <alignment wrapText="1"/>
    </xf>
    <xf numFmtId="2" fontId="6" fillId="0" borderId="0" xfId="108" applyNumberFormat="1" applyFont="1" applyBorder="1" applyAlignment="1">
      <alignment horizontal="center" wrapText="1"/>
    </xf>
    <xf numFmtId="176" fontId="3" fillId="36" borderId="0" xfId="0" applyNumberFormat="1" applyFont="1" applyFill="1" applyAlignment="1">
      <alignment horizontal="center"/>
    </xf>
    <xf numFmtId="176" fontId="3" fillId="36" borderId="0" xfId="0" applyNumberFormat="1" applyFont="1" applyFill="1" applyBorder="1" applyAlignment="1">
      <alignment horizontal="center"/>
    </xf>
    <xf numFmtId="3" fontId="6" fillId="0" borderId="0" xfId="108" applyNumberFormat="1" applyBorder="1"/>
    <xf numFmtId="0" fontId="6" fillId="36" borderId="3" xfId="0" quotePrefix="1" applyNumberFormat="1" applyFont="1" applyFill="1" applyBorder="1" applyAlignment="1">
      <alignment horizontal="center"/>
    </xf>
    <xf numFmtId="0" fontId="6" fillId="36" borderId="3" xfId="0" applyNumberFormat="1" applyFont="1" applyFill="1" applyBorder="1"/>
    <xf numFmtId="0" fontId="6" fillId="36" borderId="4" xfId="0" applyNumberFormat="1" applyFont="1" applyFill="1" applyBorder="1"/>
    <xf numFmtId="0" fontId="9" fillId="36" borderId="6" xfId="0" quotePrefix="1" applyNumberFormat="1" applyFont="1" applyFill="1" applyBorder="1" applyAlignment="1">
      <alignment horizontal="left"/>
    </xf>
    <xf numFmtId="43" fontId="40" fillId="0" borderId="0" xfId="19" applyFont="1"/>
    <xf numFmtId="0" fontId="6" fillId="36" borderId="3" xfId="0" applyFont="1" applyFill="1" applyBorder="1" applyAlignment="1">
      <alignment horizontal="center"/>
    </xf>
    <xf numFmtId="0" fontId="6" fillId="36" borderId="3" xfId="0" applyFont="1" applyFill="1" applyBorder="1"/>
    <xf numFmtId="164" fontId="40" fillId="36" borderId="0" xfId="100" applyNumberFormat="1" applyFont="1" applyFill="1" applyAlignment="1">
      <alignment horizontal="right"/>
    </xf>
    <xf numFmtId="167" fontId="0" fillId="36" borderId="0" xfId="19" applyNumberFormat="1" applyFont="1" applyFill="1"/>
    <xf numFmtId="37" fontId="0" fillId="36" borderId="0" xfId="19" applyNumberFormat="1" applyFont="1" applyFill="1"/>
    <xf numFmtId="0" fontId="9" fillId="36" borderId="0" xfId="28" applyNumberFormat="1" applyFill="1" applyAlignment="1">
      <alignment horizontal="center"/>
    </xf>
    <xf numFmtId="0" fontId="6" fillId="36" borderId="0" xfId="100" applyFill="1" applyBorder="1" applyAlignment="1" applyProtection="1">
      <alignment horizontal="left" vertical="top" indent="1"/>
      <protection locked="0"/>
    </xf>
    <xf numFmtId="0" fontId="6" fillId="36" borderId="0" xfId="100" applyFont="1" applyFill="1" applyBorder="1" applyAlignment="1" applyProtection="1">
      <alignment horizontal="left" indent="1"/>
      <protection locked="0"/>
    </xf>
    <xf numFmtId="0" fontId="6" fillId="36" borderId="0" xfId="100" applyFont="1" applyFill="1" applyBorder="1" applyAlignment="1" applyProtection="1">
      <alignment horizontal="left" indent="2"/>
      <protection locked="0"/>
    </xf>
    <xf numFmtId="164" fontId="47" fillId="0" borderId="0" xfId="0" applyNumberFormat="1" applyFont="1"/>
    <xf numFmtId="170" fontId="6" fillId="36" borderId="0" xfId="100" applyNumberFormat="1" applyFont="1" applyFill="1" applyAlignment="1">
      <alignment horizontal="center"/>
    </xf>
    <xf numFmtId="0" fontId="6" fillId="36" borderId="0" xfId="100" applyFont="1" applyFill="1"/>
    <xf numFmtId="164" fontId="6" fillId="36" borderId="0" xfId="100" applyNumberFormat="1" applyFont="1" applyFill="1"/>
    <xf numFmtId="164" fontId="40" fillId="36" borderId="0" xfId="96" applyNumberFormat="1" applyFont="1" applyFill="1" applyBorder="1"/>
    <xf numFmtId="164" fontId="40" fillId="36" borderId="0" xfId="0" applyNumberFormat="1" applyFont="1" applyFill="1" applyBorder="1" applyProtection="1"/>
    <xf numFmtId="0" fontId="9" fillId="36" borderId="6" xfId="0" applyFont="1" applyFill="1" applyBorder="1" applyAlignment="1">
      <alignment horizontal="left"/>
    </xf>
    <xf numFmtId="0" fontId="6" fillId="36" borderId="3" xfId="0" quotePrefix="1" applyNumberFormat="1" applyFont="1" applyFill="1" applyBorder="1" applyAlignment="1">
      <alignment horizontal="left"/>
    </xf>
    <xf numFmtId="37" fontId="6" fillId="36" borderId="3" xfId="97" quotePrefix="1" applyNumberFormat="1" applyFont="1" applyFill="1" applyBorder="1" applyAlignment="1">
      <alignment horizontal="center"/>
    </xf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164" fontId="0" fillId="36" borderId="0" xfId="0" applyNumberFormat="1" applyFill="1"/>
    <xf numFmtId="37" fontId="6" fillId="36" borderId="3" xfId="97" quotePrefix="1" applyNumberFormat="1" applyFont="1" applyFill="1" applyBorder="1" applyAlignment="1">
      <alignment horizontal="center"/>
    </xf>
    <xf numFmtId="37" fontId="6" fillId="36" borderId="3" xfId="0" applyNumberFormat="1" applyFont="1" applyFill="1" applyBorder="1" applyAlignment="1">
      <alignment horizontal="center"/>
    </xf>
    <xf numFmtId="0" fontId="6" fillId="36" borderId="3" xfId="0" quotePrefix="1" applyNumberFormat="1" applyFont="1" applyFill="1" applyBorder="1" applyAlignment="1">
      <alignment horizontal="left"/>
    </xf>
    <xf numFmtId="164" fontId="13" fillId="36" borderId="0" xfId="0" applyNumberFormat="1" applyFont="1" applyFill="1" applyAlignment="1">
      <alignment horizontal="right"/>
    </xf>
    <xf numFmtId="164" fontId="0" fillId="36" borderId="0" xfId="0" applyNumberForma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43" fontId="0" fillId="0" borderId="0" xfId="19" applyFont="1"/>
    <xf numFmtId="3" fontId="0" fillId="36" borderId="0" xfId="19" applyNumberFormat="1" applyFont="1" applyFill="1" applyAlignment="1">
      <alignment horizontal="left" indent="1"/>
    </xf>
    <xf numFmtId="3" fontId="6" fillId="36" borderId="0" xfId="110" applyNumberFormat="1" applyFont="1" applyFill="1"/>
    <xf numFmtId="3" fontId="6" fillId="36" borderId="0" xfId="111" applyNumberFormat="1" applyFont="1" applyFill="1"/>
    <xf numFmtId="3" fontId="6" fillId="36" borderId="0" xfId="112" applyNumberFormat="1" applyFont="1" applyFill="1"/>
    <xf numFmtId="10" fontId="6" fillId="36" borderId="0" xfId="108" applyNumberFormat="1" applyFont="1" applyFill="1" applyBorder="1"/>
    <xf numFmtId="3" fontId="6" fillId="36" borderId="0" xfId="110" applyNumberFormat="1" applyFont="1" applyFill="1" applyBorder="1"/>
    <xf numFmtId="3" fontId="6" fillId="36" borderId="0" xfId="111" applyNumberFormat="1" applyFont="1" applyFill="1" applyBorder="1"/>
    <xf numFmtId="3" fontId="6" fillId="36" borderId="0" xfId="112" applyNumberFormat="1" applyFont="1" applyFill="1" applyBorder="1"/>
    <xf numFmtId="164" fontId="6" fillId="0" borderId="3" xfId="108" applyNumberFormat="1" applyFill="1" applyBorder="1"/>
    <xf numFmtId="164" fontId="6" fillId="0" borderId="0" xfId="108" quotePrefix="1" applyNumberFormat="1" applyFill="1" applyAlignment="1">
      <alignment horizontal="center"/>
    </xf>
    <xf numFmtId="166" fontId="6" fillId="0" borderId="0" xfId="108" applyNumberFormat="1" applyFill="1" applyAlignment="1">
      <alignment horizontal="center"/>
    </xf>
    <xf numFmtId="166" fontId="9" fillId="0" borderId="0" xfId="0" applyNumberFormat="1" applyFont="1"/>
    <xf numFmtId="0" fontId="7" fillId="0" borderId="6" xfId="28" applyFont="1" applyBorder="1" applyAlignment="1">
      <alignment horizontal="center"/>
    </xf>
    <xf numFmtId="0" fontId="7" fillId="0" borderId="9" xfId="28" applyFont="1" applyBorder="1" applyAlignment="1">
      <alignment horizontal="center"/>
    </xf>
    <xf numFmtId="0" fontId="7" fillId="0" borderId="4" xfId="28" applyFont="1" applyBorder="1" applyAlignment="1">
      <alignment horizontal="center"/>
    </xf>
    <xf numFmtId="0" fontId="7" fillId="0" borderId="7" xfId="28" applyFont="1" applyBorder="1" applyAlignment="1">
      <alignment horizontal="center"/>
    </xf>
    <xf numFmtId="0" fontId="7" fillId="0" borderId="5" xfId="28" applyFont="1" applyBorder="1" applyAlignment="1">
      <alignment horizontal="center"/>
    </xf>
    <xf numFmtId="0" fontId="7" fillId="0" borderId="3" xfId="28" applyFont="1" applyFill="1" applyBorder="1" applyAlignment="1">
      <alignment horizontal="center"/>
    </xf>
    <xf numFmtId="0" fontId="7" fillId="0" borderId="6" xfId="28" applyFont="1" applyFill="1" applyBorder="1" applyAlignment="1">
      <alignment horizontal="center"/>
    </xf>
    <xf numFmtId="0" fontId="7" fillId="0" borderId="9" xfId="28" applyFont="1" applyFill="1" applyBorder="1" applyAlignment="1">
      <alignment horizontal="center"/>
    </xf>
    <xf numFmtId="0" fontId="7" fillId="0" borderId="4" xfId="28" applyFont="1" applyFill="1" applyBorder="1" applyAlignment="1">
      <alignment horizontal="center"/>
    </xf>
    <xf numFmtId="0" fontId="7" fillId="0" borderId="3" xfId="28" applyFont="1" applyBorder="1" applyAlignment="1"/>
    <xf numFmtId="0" fontId="9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6" fillId="0" borderId="0" xfId="0" applyFont="1" applyFill="1" applyBorder="1" applyAlignment="1">
      <alignment vertical="top" wrapText="1"/>
    </xf>
    <xf numFmtId="0" fontId="7" fillId="0" borderId="10" xfId="0" applyNumberFormat="1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7" fillId="0" borderId="6" xfId="0" applyFont="1" applyFill="1" applyBorder="1" applyAlignment="1"/>
    <xf numFmtId="0" fontId="0" fillId="0" borderId="9" xfId="0" applyBorder="1" applyAlignment="1"/>
    <xf numFmtId="0" fontId="0" fillId="0" borderId="4" xfId="0" applyBorder="1" applyAlignment="1"/>
    <xf numFmtId="0" fontId="9" fillId="0" borderId="6" xfId="0" applyFont="1" applyFill="1" applyBorder="1" applyAlignment="1">
      <alignment horizontal="left"/>
    </xf>
    <xf numFmtId="0" fontId="9" fillId="0" borderId="4" xfId="0" applyFont="1" applyBorder="1" applyAlignment="1">
      <alignment horizontal="left"/>
    </xf>
    <xf numFmtId="0" fontId="7" fillId="0" borderId="6" xfId="0" applyNumberFormat="1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7" fillId="0" borderId="6" xfId="0" applyNumberFormat="1" applyFont="1" applyFill="1" applyBorder="1" applyAlignment="1"/>
    <xf numFmtId="0" fontId="6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9" fontId="9" fillId="0" borderId="6" xfId="22" applyNumberFormat="1" applyFont="1" applyBorder="1" applyAlignment="1">
      <alignment horizontal="center"/>
    </xf>
    <xf numFmtId="0" fontId="0" fillId="0" borderId="9" xfId="0" applyBorder="1"/>
    <xf numFmtId="0" fontId="0" fillId="0" borderId="4" xfId="0" applyBorder="1"/>
    <xf numFmtId="0" fontId="7" fillId="0" borderId="3" xfId="0" applyNumberFormat="1" applyFont="1" applyFill="1" applyBorder="1" applyAlignment="1">
      <alignment wrapText="1"/>
    </xf>
    <xf numFmtId="0" fontId="9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6" fillId="0" borderId="12" xfId="108" applyFont="1" applyFill="1" applyBorder="1" applyAlignment="1">
      <alignment horizontal="center"/>
    </xf>
    <xf numFmtId="0" fontId="6" fillId="0" borderId="14" xfId="108" applyFont="1" applyFill="1" applyBorder="1" applyAlignment="1">
      <alignment horizontal="center"/>
    </xf>
    <xf numFmtId="0" fontId="6" fillId="0" borderId="13" xfId="108" applyFont="1" applyFill="1" applyBorder="1" applyAlignment="1">
      <alignment horizontal="center"/>
    </xf>
    <xf numFmtId="0" fontId="6" fillId="0" borderId="6" xfId="108" applyFont="1" applyFill="1" applyBorder="1" applyAlignment="1">
      <alignment horizontal="center" wrapText="1"/>
    </xf>
    <xf numFmtId="0" fontId="6" fillId="0" borderId="9" xfId="108" applyFont="1" applyFill="1" applyBorder="1" applyAlignment="1">
      <alignment horizontal="center" wrapText="1"/>
    </xf>
    <xf numFmtId="0" fontId="6" fillId="0" borderId="4" xfId="108" applyFont="1" applyFill="1" applyBorder="1" applyAlignment="1">
      <alignment horizontal="center" wrapText="1"/>
    </xf>
    <xf numFmtId="166" fontId="6" fillId="0" borderId="16" xfId="108" applyNumberFormat="1" applyBorder="1" applyAlignment="1">
      <alignment horizontal="center"/>
    </xf>
  </cellXfs>
  <cellStyles count="142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19" builtinId="3"/>
    <cellStyle name="Comma 2" xfId="20"/>
    <cellStyle name="Comma 2 2" xfId="21"/>
    <cellStyle name="Comma 2 2 2" xfId="96"/>
    <cellStyle name="Comma 2 3" xfId="95"/>
    <cellStyle name="Comma 2 4" xfId="83"/>
    <cellStyle name="Comma 3" xfId="22"/>
    <cellStyle name="Comma 3 2" xfId="97"/>
    <cellStyle name="Comma 4" xfId="94"/>
    <cellStyle name="Comma 5" xfId="119"/>
    <cellStyle name="Comma 8" xfId="115"/>
    <cellStyle name="Currency" xfId="23" builtinId="4"/>
    <cellStyle name="Currency 2" xfId="98"/>
    <cellStyle name="Currency 3" xfId="120"/>
    <cellStyle name="Emphasis 1" xfId="24"/>
    <cellStyle name="Emphasis 2" xfId="25"/>
    <cellStyle name="Emphasis 3" xfId="26"/>
    <cellStyle name="Hyperlink" xfId="27" builtinId="8"/>
    <cellStyle name="Normal" xfId="0" builtinId="0"/>
    <cellStyle name="Normal 12" xfId="110"/>
    <cellStyle name="Normal 13" xfId="112"/>
    <cellStyle name="Normal 14" xfId="111"/>
    <cellStyle name="Normal 15" xfId="114"/>
    <cellStyle name="Normal 16" xfId="113"/>
    <cellStyle name="Normal 2" xfId="28"/>
    <cellStyle name="Normal 2 2" xfId="29"/>
    <cellStyle name="Normal 2 2 2" xfId="100"/>
    <cellStyle name="Normal 2 3" xfId="30"/>
    <cellStyle name="Normal 2 3 2" xfId="101"/>
    <cellStyle name="Normal 2 4" xfId="31"/>
    <cellStyle name="Normal 2 4 2" xfId="102"/>
    <cellStyle name="Normal 2 5" xfId="99"/>
    <cellStyle name="Normal 2 6" xfId="82"/>
    <cellStyle name="Normal 2 6 2" xfId="123"/>
    <cellStyle name="Normal 2 6 2 2" xfId="133"/>
    <cellStyle name="Normal 2 6 2 3" xfId="137"/>
    <cellStyle name="Normal 2 6 2 4" xfId="141"/>
    <cellStyle name="Normal 2 6 2 5" xfId="127"/>
    <cellStyle name="Normal 2 6 3" xfId="128"/>
    <cellStyle name="Normal 2 6 4" xfId="131"/>
    <cellStyle name="Normal 2 6 5" xfId="135"/>
    <cellStyle name="Normal 2 6 6" xfId="139"/>
    <cellStyle name="Normal 2 6 7" xfId="125"/>
    <cellStyle name="Normal 2 7" xfId="109"/>
    <cellStyle name="Normal 3" xfId="80"/>
    <cellStyle name="Normal 3 2" xfId="32"/>
    <cellStyle name="Normal 3 2 2" xfId="103"/>
    <cellStyle name="Normal 4" xfId="33"/>
    <cellStyle name="Normal 4 2" xfId="104"/>
    <cellStyle name="Normal 5" xfId="93"/>
    <cellStyle name="Normal 5 2" xfId="107"/>
    <cellStyle name="Normal 6" xfId="81"/>
    <cellStyle name="Normal 6 2" xfId="122"/>
    <cellStyle name="Normal 6 2 2" xfId="132"/>
    <cellStyle name="Normal 6 2 3" xfId="136"/>
    <cellStyle name="Normal 6 2 4" xfId="140"/>
    <cellStyle name="Normal 6 2 5" xfId="126"/>
    <cellStyle name="Normal 6 3" xfId="129"/>
    <cellStyle name="Normal 6 4" xfId="130"/>
    <cellStyle name="Normal 6 5" xfId="134"/>
    <cellStyle name="Normal 6 6" xfId="138"/>
    <cellStyle name="Normal 6 7" xfId="124"/>
    <cellStyle name="Normal 7" xfId="118"/>
    <cellStyle name="Normal 8" xfId="108"/>
    <cellStyle name="Normal 9" xfId="117"/>
    <cellStyle name="Normal_2008 ISO Transmission Study test v1" xfId="34"/>
    <cellStyle name="Normal_Rate-Design" xfId="35"/>
    <cellStyle name="Normal_Statement AD Period I 2004" xfId="36"/>
    <cellStyle name="Percent" xfId="37" builtinId="5"/>
    <cellStyle name="Percent 2" xfId="38"/>
    <cellStyle name="Percent 3" xfId="39"/>
    <cellStyle name="Percent 3 2" xfId="106"/>
    <cellStyle name="Percent 3 3" xfId="116"/>
    <cellStyle name="Percent 4" xfId="105"/>
    <cellStyle name="Percent 5" xfId="121"/>
    <cellStyle name="SAPBEXaggData" xfId="40"/>
    <cellStyle name="SAPBEXaggDataEmph" xfId="41"/>
    <cellStyle name="SAPBEXaggItem" xfId="42"/>
    <cellStyle name="SAPBEXaggItemX" xfId="43"/>
    <cellStyle name="SAPBEXchaText" xfId="44"/>
    <cellStyle name="SAPBEXexcBad7" xfId="45"/>
    <cellStyle name="SAPBEXexcBad8" xfId="46"/>
    <cellStyle name="SAPBEXexcBad9" xfId="47"/>
    <cellStyle name="SAPBEXexcCritical4" xfId="48"/>
    <cellStyle name="SAPBEXexcCritical5" xfId="49"/>
    <cellStyle name="SAPBEXexcCritical6" xfId="50"/>
    <cellStyle name="SAPBEXexcGood1" xfId="51"/>
    <cellStyle name="SAPBEXexcGood2" xfId="52"/>
    <cellStyle name="SAPBEXexcGood3" xfId="53"/>
    <cellStyle name="SAPBEXfilterDrill" xfId="54"/>
    <cellStyle name="SAPBEXfilterItem" xfId="55"/>
    <cellStyle name="SAPBEXfilterText" xfId="56"/>
    <cellStyle name="SAPBEXformats" xfId="57"/>
    <cellStyle name="SAPBEXheaderItem" xfId="58"/>
    <cellStyle name="SAPBEXheaderText" xfId="59"/>
    <cellStyle name="SAPBEXHLevel0" xfId="60"/>
    <cellStyle name="SAPBEXHLevel0 2" xfId="84"/>
    <cellStyle name="SAPBEXHLevel0X" xfId="61"/>
    <cellStyle name="SAPBEXHLevel0X 2" xfId="85"/>
    <cellStyle name="SAPBEXHLevel1" xfId="62"/>
    <cellStyle name="SAPBEXHLevel1 2" xfId="86"/>
    <cellStyle name="SAPBEXHLevel1X" xfId="63"/>
    <cellStyle name="SAPBEXHLevel1X 2" xfId="87"/>
    <cellStyle name="SAPBEXHLevel2" xfId="64"/>
    <cellStyle name="SAPBEXHLevel2 2" xfId="88"/>
    <cellStyle name="SAPBEXHLevel2X" xfId="65"/>
    <cellStyle name="SAPBEXHLevel2X 2" xfId="89"/>
    <cellStyle name="SAPBEXHLevel3" xfId="66"/>
    <cellStyle name="SAPBEXHLevel3 2" xfId="90"/>
    <cellStyle name="SAPBEXHLevel3X" xfId="67"/>
    <cellStyle name="SAPBEXHLevel3X 2" xfId="91"/>
    <cellStyle name="SAPBEXinputData" xfId="68"/>
    <cellStyle name="SAPBEXinputData 2" xfId="92"/>
    <cellStyle name="SAPBEXresData" xfId="69"/>
    <cellStyle name="SAPBEXresDataEmph" xfId="70"/>
    <cellStyle name="SAPBEXresItem" xfId="71"/>
    <cellStyle name="SAPBEXresItemX" xfId="72"/>
    <cellStyle name="SAPBEXstdData" xfId="73"/>
    <cellStyle name="SAPBEXstdDataEmph" xfId="74"/>
    <cellStyle name="SAPBEXstdItem" xfId="75"/>
    <cellStyle name="SAPBEXstdItemX" xfId="76"/>
    <cellStyle name="SAPBEXtitle" xfId="77"/>
    <cellStyle name="SAPBEXundefined" xfId="78"/>
    <cellStyle name="Sheet Title" xfId="79"/>
  </cellStyles>
  <dxfs count="1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ont>
        <condense val="0"/>
        <extend val="0"/>
        <color auto="1"/>
      </font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workbookViewId="0">
      <selection activeCell="D31" sqref="D31"/>
    </sheetView>
  </sheetViews>
  <sheetFormatPr defaultRowHeight="12.75" x14ac:dyDescent="0.2"/>
  <cols>
    <col min="1" max="1" width="2.7109375" customWidth="1"/>
    <col min="2" max="2" width="18.7109375" customWidth="1"/>
    <col min="3" max="3" width="10.7109375" customWidth="1"/>
    <col min="4" max="4" width="66.7109375" customWidth="1"/>
  </cols>
  <sheetData>
    <row r="1" spans="1:4" x14ac:dyDescent="0.2">
      <c r="A1" s="1" t="s">
        <v>1383</v>
      </c>
      <c r="C1" s="1"/>
    </row>
    <row r="3" spans="1:4" x14ac:dyDescent="0.2">
      <c r="B3" s="3" t="s">
        <v>1384</v>
      </c>
      <c r="C3" s="3" t="s">
        <v>1468</v>
      </c>
      <c r="D3" s="481" t="s">
        <v>635</v>
      </c>
    </row>
    <row r="4" spans="1:4" x14ac:dyDescent="0.2">
      <c r="B4" s="439" t="s">
        <v>1314</v>
      </c>
      <c r="C4" s="64"/>
      <c r="D4" s="12" t="s">
        <v>1386</v>
      </c>
    </row>
    <row r="5" spans="1:4" x14ac:dyDescent="0.2">
      <c r="B5" s="439" t="s">
        <v>1385</v>
      </c>
      <c r="C5" s="64">
        <v>1</v>
      </c>
      <c r="D5" s="683" t="s">
        <v>2215</v>
      </c>
    </row>
    <row r="6" spans="1:4" x14ac:dyDescent="0.2">
      <c r="B6" s="439" t="s">
        <v>1325</v>
      </c>
      <c r="C6" s="64">
        <v>2</v>
      </c>
      <c r="D6" s="12" t="s">
        <v>1393</v>
      </c>
    </row>
    <row r="7" spans="1:4" x14ac:dyDescent="0.2">
      <c r="B7" s="439" t="s">
        <v>1326</v>
      </c>
      <c r="C7" s="64">
        <v>3</v>
      </c>
      <c r="D7" s="12" t="s">
        <v>1394</v>
      </c>
    </row>
    <row r="8" spans="1:4" x14ac:dyDescent="0.2">
      <c r="B8" s="439" t="s">
        <v>1882</v>
      </c>
      <c r="C8" s="64">
        <v>4</v>
      </c>
      <c r="D8" s="683" t="s">
        <v>1883</v>
      </c>
    </row>
    <row r="9" spans="1:4" x14ac:dyDescent="0.2">
      <c r="B9" s="439" t="s">
        <v>1315</v>
      </c>
      <c r="C9" s="64">
        <v>5</v>
      </c>
      <c r="D9" s="12" t="s">
        <v>1387</v>
      </c>
    </row>
    <row r="10" spans="1:4" x14ac:dyDescent="0.2">
      <c r="B10" s="439" t="s">
        <v>1318</v>
      </c>
      <c r="C10" s="64">
        <v>6</v>
      </c>
      <c r="D10" s="12" t="s">
        <v>1390</v>
      </c>
    </row>
    <row r="11" spans="1:4" x14ac:dyDescent="0.2">
      <c r="B11" s="439" t="s">
        <v>1319</v>
      </c>
      <c r="C11" s="64">
        <v>7</v>
      </c>
      <c r="D11" s="12" t="s">
        <v>1804</v>
      </c>
    </row>
    <row r="12" spans="1:4" x14ac:dyDescent="0.2">
      <c r="B12" s="439" t="s">
        <v>1328</v>
      </c>
      <c r="C12" s="64">
        <v>8</v>
      </c>
      <c r="D12" s="12" t="s">
        <v>1395</v>
      </c>
    </row>
    <row r="13" spans="1:4" x14ac:dyDescent="0.2">
      <c r="B13" s="439" t="s">
        <v>231</v>
      </c>
      <c r="C13" s="64">
        <v>9</v>
      </c>
      <c r="D13" s="12" t="s">
        <v>116</v>
      </c>
    </row>
    <row r="14" spans="1:4" x14ac:dyDescent="0.2">
      <c r="B14" s="439" t="s">
        <v>1</v>
      </c>
      <c r="C14" s="64">
        <v>10</v>
      </c>
      <c r="D14" s="683" t="s">
        <v>2216</v>
      </c>
    </row>
    <row r="15" spans="1:4" x14ac:dyDescent="0.2">
      <c r="B15" s="439" t="s">
        <v>1320</v>
      </c>
      <c r="C15" s="64">
        <v>11</v>
      </c>
      <c r="D15" s="12" t="s">
        <v>1451</v>
      </c>
    </row>
    <row r="16" spans="1:4" x14ac:dyDescent="0.2">
      <c r="B16" s="439" t="s">
        <v>1321</v>
      </c>
      <c r="C16" s="64">
        <v>12</v>
      </c>
      <c r="D16" s="12" t="s">
        <v>1391</v>
      </c>
    </row>
    <row r="17" spans="2:4" x14ac:dyDescent="0.2">
      <c r="B17" s="439" t="s">
        <v>1327</v>
      </c>
      <c r="C17" s="64">
        <v>13</v>
      </c>
      <c r="D17" s="12" t="s">
        <v>1405</v>
      </c>
    </row>
    <row r="18" spans="2:4" x14ac:dyDescent="0.2">
      <c r="B18" s="439" t="s">
        <v>1322</v>
      </c>
      <c r="C18" s="64">
        <v>14</v>
      </c>
      <c r="D18" s="12" t="s">
        <v>1392</v>
      </c>
    </row>
    <row r="19" spans="2:4" x14ac:dyDescent="0.2">
      <c r="B19" s="439" t="s">
        <v>1323</v>
      </c>
      <c r="C19" s="64">
        <v>15</v>
      </c>
      <c r="D19" s="683" t="s">
        <v>2217</v>
      </c>
    </row>
    <row r="20" spans="2:4" x14ac:dyDescent="0.2">
      <c r="B20" s="439" t="s">
        <v>1324</v>
      </c>
      <c r="C20" s="64">
        <v>16</v>
      </c>
      <c r="D20" s="12" t="s">
        <v>1460</v>
      </c>
    </row>
    <row r="21" spans="2:4" x14ac:dyDescent="0.2">
      <c r="B21" s="439" t="s">
        <v>1316</v>
      </c>
      <c r="C21" s="64">
        <v>17</v>
      </c>
      <c r="D21" s="12" t="s">
        <v>1388</v>
      </c>
    </row>
    <row r="22" spans="2:4" x14ac:dyDescent="0.2">
      <c r="B22" s="439" t="s">
        <v>1317</v>
      </c>
      <c r="C22" s="64">
        <v>18</v>
      </c>
      <c r="D22" s="12" t="s">
        <v>1389</v>
      </c>
    </row>
    <row r="23" spans="2:4" x14ac:dyDescent="0.2">
      <c r="B23" s="439" t="s">
        <v>1329</v>
      </c>
      <c r="C23" s="64">
        <v>19</v>
      </c>
      <c r="D23" s="12" t="s">
        <v>1396</v>
      </c>
    </row>
    <row r="24" spans="2:4" x14ac:dyDescent="0.2">
      <c r="B24" s="439" t="s">
        <v>1330</v>
      </c>
      <c r="C24" s="64">
        <v>20</v>
      </c>
      <c r="D24" s="683" t="s">
        <v>325</v>
      </c>
    </row>
    <row r="25" spans="2:4" x14ac:dyDescent="0.2">
      <c r="B25" s="439" t="s">
        <v>1355</v>
      </c>
      <c r="C25" s="64">
        <v>21</v>
      </c>
      <c r="D25" s="12" t="s">
        <v>1397</v>
      </c>
    </row>
    <row r="26" spans="2:4" x14ac:dyDescent="0.2">
      <c r="B26" s="439" t="s">
        <v>1356</v>
      </c>
      <c r="C26" s="64">
        <v>22</v>
      </c>
      <c r="D26" s="12" t="s">
        <v>1459</v>
      </c>
    </row>
    <row r="27" spans="2:4" x14ac:dyDescent="0.2">
      <c r="B27" s="439" t="s">
        <v>1357</v>
      </c>
      <c r="C27" s="64">
        <v>23</v>
      </c>
      <c r="D27" s="12" t="s">
        <v>1398</v>
      </c>
    </row>
    <row r="28" spans="2:4" ht="12.75" customHeight="1" x14ac:dyDescent="0.2">
      <c r="B28" s="439" t="s">
        <v>1776</v>
      </c>
      <c r="C28" s="64">
        <v>24</v>
      </c>
      <c r="D28" s="12" t="s">
        <v>1777</v>
      </c>
    </row>
    <row r="29" spans="2:4" x14ac:dyDescent="0.2">
      <c r="B29" s="439" t="s">
        <v>1704</v>
      </c>
      <c r="C29" s="64">
        <v>25</v>
      </c>
      <c r="D29" s="12" t="s">
        <v>1705</v>
      </c>
    </row>
    <row r="30" spans="2:4" x14ac:dyDescent="0.2">
      <c r="B30" s="439" t="s">
        <v>1360</v>
      </c>
      <c r="C30" s="64">
        <v>26</v>
      </c>
      <c r="D30" s="12" t="s">
        <v>1399</v>
      </c>
    </row>
    <row r="31" spans="2:4" x14ac:dyDescent="0.2">
      <c r="B31" s="439" t="s">
        <v>1359</v>
      </c>
      <c r="C31" s="64">
        <v>27</v>
      </c>
      <c r="D31" s="12" t="s">
        <v>232</v>
      </c>
    </row>
    <row r="32" spans="2:4" x14ac:dyDescent="0.2">
      <c r="B32" s="439" t="s">
        <v>1358</v>
      </c>
      <c r="C32" s="64">
        <v>28</v>
      </c>
      <c r="D32" s="12" t="s">
        <v>1400</v>
      </c>
    </row>
    <row r="33" spans="2:4" x14ac:dyDescent="0.2">
      <c r="B33" s="439" t="s">
        <v>1361</v>
      </c>
      <c r="C33" s="64">
        <v>29</v>
      </c>
      <c r="D33" s="12" t="s">
        <v>1401</v>
      </c>
    </row>
    <row r="34" spans="2:4" x14ac:dyDescent="0.2">
      <c r="B34" s="439" t="s">
        <v>1362</v>
      </c>
      <c r="C34" s="64">
        <v>30</v>
      </c>
      <c r="D34" s="12" t="s">
        <v>1461</v>
      </c>
    </row>
    <row r="35" spans="2:4" x14ac:dyDescent="0.2">
      <c r="B35" s="439" t="s">
        <v>1363</v>
      </c>
      <c r="C35" s="64">
        <v>31</v>
      </c>
      <c r="D35" s="12" t="s">
        <v>1402</v>
      </c>
    </row>
    <row r="36" spans="2:4" x14ac:dyDescent="0.2">
      <c r="B36" s="439" t="s">
        <v>1364</v>
      </c>
      <c r="C36" s="64">
        <v>32</v>
      </c>
      <c r="D36" s="12" t="s">
        <v>1403</v>
      </c>
    </row>
    <row r="37" spans="2:4" x14ac:dyDescent="0.2">
      <c r="B37" s="439" t="s">
        <v>1365</v>
      </c>
      <c r="C37" s="662">
        <v>33</v>
      </c>
      <c r="D37" s="12" t="s">
        <v>1404</v>
      </c>
    </row>
    <row r="38" spans="2:4" x14ac:dyDescent="0.2">
      <c r="B38" s="12"/>
    </row>
    <row r="39" spans="2:4" x14ac:dyDescent="0.2">
      <c r="B39" s="12"/>
    </row>
    <row r="40" spans="2:4" x14ac:dyDescent="0.2">
      <c r="B40" s="12"/>
    </row>
    <row r="41" spans="2:4" x14ac:dyDescent="0.2">
      <c r="B41" s="12"/>
    </row>
    <row r="42" spans="2:4" x14ac:dyDescent="0.2">
      <c r="B42" s="12"/>
    </row>
  </sheetData>
  <hyperlinks>
    <hyperlink ref="B9" location="'ROR-1'!A1" display="ROR"/>
    <hyperlink ref="B4" location="Overview!A1" display="Overview"/>
    <hyperlink ref="B5" location="BaseTRR!A1" display="BaseTRR"/>
    <hyperlink ref="B21" location="Depreciation!A1" display="Depreciation"/>
    <hyperlink ref="B22" location="DepRates!A1" display="DepRates"/>
    <hyperlink ref="B10" location="PlantInService!A1" display="PlantInService"/>
    <hyperlink ref="B11" location="PlantStudy!A1" display="PlantStudy"/>
    <hyperlink ref="B15" location="PHFU!A1" display="PHFU"/>
    <hyperlink ref="B16" location="AbandonedPlant!A1" display="AbandonedPlant"/>
    <hyperlink ref="B18" location="IncentivePlant!A1" display="IncentivePlant"/>
    <hyperlink ref="B19" location="IncentiveAdder!A1" display="IncentiveAdder"/>
    <hyperlink ref="B20" location="PlantAdditions!A1" display="PlantAdditions"/>
    <hyperlink ref="B14" location="CWIP!A1" display="CWIP"/>
    <hyperlink ref="B6" location="IFPTRR!A1" display="IFPTRR"/>
    <hyperlink ref="B8" location="TUTRR!A1" display="TUTRR"/>
    <hyperlink ref="B7" location="TrueUpAdjust!A1" display="TrueUpAdjust"/>
    <hyperlink ref="B17" location="WorkCap!A1" display="WorkCap"/>
    <hyperlink ref="B12" location="AccDep!A1" display="AccDep"/>
    <hyperlink ref="B23" location="OandM!A1" display="OandM"/>
    <hyperlink ref="B24" location="AandG!A1" display="AandG"/>
    <hyperlink ref="B13" location="ADIT!A1" display="ADIT"/>
    <hyperlink ref="B25" location="RevenueCredits!A1" display="RevenueCredits"/>
    <hyperlink ref="B26" location="NUCs!A1" display="NUCs"/>
    <hyperlink ref="B27" location="RegAssets!A1" display="RegAssets"/>
    <hyperlink ref="B29" location="WholesaleDifference!A1" display="WholesaleDifference"/>
    <hyperlink ref="B30" location="TaxRates!A1" display="TaxRates"/>
    <hyperlink ref="B31" location="Allocators!A1" display="Allocators"/>
    <hyperlink ref="B32" location="FFU!A1" display="FFU"/>
    <hyperlink ref="B33" location="WholesaleTRRs!A1" display="WholesaleTRRs"/>
    <hyperlink ref="B34" location="WholesaleRates!A1" display="Wholesale Rates"/>
    <hyperlink ref="B35" location="HVLV!A1" display="HVLV"/>
    <hyperlink ref="B36" location="GrossLoad!A1" display="GrossLoad"/>
    <hyperlink ref="B37" location="RetailRates!A1" display="RetailRates"/>
    <hyperlink ref="B28" location="CWIPTRR!A1" display="CWIPTRR"/>
  </hyperlinks>
  <pageMargins left="0.7" right="0.7" top="0.75" bottom="0.75" header="0.3" footer="0.3"/>
  <pageSetup scale="90" orientation="portrait" r:id="rId1"/>
  <headerFooter>
    <oddHeader xml:space="preserve">&amp;RDkt. No. ER11-3697
2014 Draft Informational Filing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="90" zoomScaleNormal="90" workbookViewId="0">
      <selection activeCell="E48" sqref="E48"/>
    </sheetView>
  </sheetViews>
  <sheetFormatPr defaultRowHeight="12.75" x14ac:dyDescent="0.2"/>
  <cols>
    <col min="1" max="1" width="4.7109375" customWidth="1"/>
    <col min="2" max="2" width="25.7109375" style="148" customWidth="1"/>
    <col min="3" max="5" width="15.7109375" style="148" customWidth="1"/>
    <col min="6" max="6" width="12.28515625" style="148" customWidth="1"/>
    <col min="8" max="8" width="15.5703125" customWidth="1"/>
  </cols>
  <sheetData>
    <row r="1" spans="1:8" x14ac:dyDescent="0.2">
      <c r="A1" s="1" t="s">
        <v>516</v>
      </c>
      <c r="B1" s="199"/>
      <c r="C1" s="199"/>
      <c r="D1" s="199"/>
      <c r="E1" s="199"/>
      <c r="F1" s="199"/>
      <c r="G1" s="12"/>
    </row>
    <row r="2" spans="1:8" x14ac:dyDescent="0.2">
      <c r="B2" s="199"/>
      <c r="C2" s="199"/>
      <c r="E2" s="200" t="s">
        <v>537</v>
      </c>
      <c r="F2" s="215"/>
      <c r="G2" s="12"/>
    </row>
    <row r="3" spans="1:8" x14ac:dyDescent="0.2">
      <c r="A3" s="197" t="s">
        <v>520</v>
      </c>
      <c r="B3" s="199"/>
      <c r="C3" s="199"/>
      <c r="D3" s="199"/>
      <c r="E3" s="199"/>
      <c r="F3" s="199"/>
      <c r="G3" s="12"/>
    </row>
    <row r="4" spans="1:8" x14ac:dyDescent="0.2">
      <c r="A4" s="197"/>
      <c r="B4" s="199"/>
      <c r="C4" s="199"/>
      <c r="D4" s="199"/>
      <c r="E4" s="199"/>
      <c r="F4" s="199"/>
      <c r="G4" s="12"/>
    </row>
    <row r="5" spans="1:8" x14ac:dyDescent="0.2">
      <c r="B5" s="197"/>
      <c r="C5" s="99" t="s">
        <v>417</v>
      </c>
      <c r="E5" s="99" t="s">
        <v>400</v>
      </c>
      <c r="F5" s="99" t="s">
        <v>401</v>
      </c>
      <c r="G5" s="12"/>
    </row>
    <row r="6" spans="1:8" x14ac:dyDescent="0.2">
      <c r="B6" s="197"/>
      <c r="C6" s="99"/>
      <c r="E6" s="99"/>
      <c r="F6" s="99"/>
      <c r="G6" s="12"/>
    </row>
    <row r="7" spans="1:8" x14ac:dyDescent="0.2">
      <c r="A7" s="53" t="s">
        <v>380</v>
      </c>
      <c r="B7" s="197"/>
      <c r="C7" s="198" t="s">
        <v>225</v>
      </c>
      <c r="D7" s="198"/>
      <c r="E7" s="198" t="s">
        <v>1370</v>
      </c>
      <c r="F7" s="198" t="s">
        <v>518</v>
      </c>
      <c r="G7" s="12"/>
    </row>
    <row r="8" spans="1:8" x14ac:dyDescent="0.2">
      <c r="A8" s="2">
        <v>1</v>
      </c>
      <c r="B8" s="190" t="s">
        <v>117</v>
      </c>
      <c r="C8" s="190" t="s">
        <v>439</v>
      </c>
      <c r="D8" s="190" t="s">
        <v>523</v>
      </c>
      <c r="E8" s="190" t="s">
        <v>1371</v>
      </c>
      <c r="F8" s="190" t="s">
        <v>519</v>
      </c>
      <c r="G8" s="201" t="s">
        <v>196</v>
      </c>
    </row>
    <row r="9" spans="1:8" ht="12.75" customHeight="1" x14ac:dyDescent="0.2">
      <c r="A9" s="2">
        <f>A8+1</f>
        <v>2</v>
      </c>
      <c r="B9" s="191" t="s">
        <v>512</v>
      </c>
      <c r="C9" s="202"/>
      <c r="D9" s="202"/>
      <c r="E9" s="202"/>
      <c r="F9" s="203"/>
      <c r="G9" s="12"/>
    </row>
    <row r="10" spans="1:8" x14ac:dyDescent="0.2">
      <c r="A10" s="2">
        <f t="shared" ref="A10:A28" si="0">A9+1</f>
        <v>3</v>
      </c>
      <c r="B10" s="192">
        <v>352</v>
      </c>
      <c r="C10" s="204">
        <v>378255078</v>
      </c>
      <c r="D10" s="184" t="s">
        <v>524</v>
      </c>
      <c r="E10" s="204">
        <v>179247170.44292822</v>
      </c>
      <c r="F10" s="186">
        <f>E10/C10</f>
        <v>0.47387908548561036</v>
      </c>
      <c r="G10" s="12"/>
      <c r="H10" s="160"/>
    </row>
    <row r="11" spans="1:8" x14ac:dyDescent="0.2">
      <c r="A11" s="2">
        <f t="shared" si="0"/>
        <v>4</v>
      </c>
      <c r="B11" s="192">
        <v>353</v>
      </c>
      <c r="C11" s="138">
        <v>4021792061</v>
      </c>
      <c r="D11" s="184" t="s">
        <v>525</v>
      </c>
      <c r="E11" s="138">
        <v>2148172469.2107306</v>
      </c>
      <c r="F11" s="187">
        <f>E11/C11</f>
        <v>0.5341331517464375</v>
      </c>
      <c r="G11" s="12"/>
    </row>
    <row r="12" spans="1:8" x14ac:dyDescent="0.2">
      <c r="A12" s="2">
        <f t="shared" si="0"/>
        <v>5</v>
      </c>
      <c r="B12" s="194" t="s">
        <v>507</v>
      </c>
      <c r="C12" s="182">
        <f>SUM(C10:C11)</f>
        <v>4400047139</v>
      </c>
      <c r="D12" s="13" t="str">
        <f>"L "&amp;A10&amp;" + L "&amp;A11&amp;""</f>
        <v>L 3 + L 4</v>
      </c>
      <c r="E12" s="182">
        <f>SUM(E10:E11)</f>
        <v>2327419639.6536589</v>
      </c>
      <c r="F12" s="186">
        <f>E12/C12</f>
        <v>0.52895334211865108</v>
      </c>
      <c r="G12" s="12"/>
    </row>
    <row r="13" spans="1:8" x14ac:dyDescent="0.2">
      <c r="A13" s="2">
        <f t="shared" si="0"/>
        <v>6</v>
      </c>
      <c r="B13" s="205"/>
      <c r="C13" s="206"/>
      <c r="D13" s="206"/>
      <c r="E13" s="206"/>
      <c r="F13" s="186"/>
      <c r="G13" s="12"/>
    </row>
    <row r="14" spans="1:8" x14ac:dyDescent="0.2">
      <c r="A14" s="2">
        <f t="shared" si="0"/>
        <v>7</v>
      </c>
      <c r="B14" s="193" t="s">
        <v>508</v>
      </c>
      <c r="C14" s="207"/>
      <c r="D14" s="207"/>
      <c r="E14" s="207"/>
      <c r="F14" s="208"/>
      <c r="G14" s="12"/>
    </row>
    <row r="15" spans="1:8" x14ac:dyDescent="0.2">
      <c r="A15" s="2">
        <f t="shared" si="0"/>
        <v>8</v>
      </c>
      <c r="B15" s="192">
        <v>350</v>
      </c>
      <c r="C15" s="181">
        <v>268447149</v>
      </c>
      <c r="D15" s="184" t="s">
        <v>526</v>
      </c>
      <c r="E15" s="181">
        <v>185965995.1339905</v>
      </c>
      <c r="F15" s="186">
        <f>E15/C15</f>
        <v>0.69274714157605188</v>
      </c>
      <c r="G15" s="12"/>
    </row>
    <row r="16" spans="1:8" x14ac:dyDescent="0.2">
      <c r="A16" s="2">
        <f t="shared" si="0"/>
        <v>9</v>
      </c>
      <c r="B16" s="192"/>
      <c r="C16" s="182"/>
      <c r="D16" s="182"/>
      <c r="E16" s="182"/>
      <c r="F16" s="186"/>
      <c r="G16" s="12"/>
    </row>
    <row r="17" spans="1:7" x14ac:dyDescent="0.2">
      <c r="A17" s="2">
        <f t="shared" si="0"/>
        <v>10</v>
      </c>
      <c r="B17" s="193" t="s">
        <v>509</v>
      </c>
      <c r="C17" s="182">
        <f>C12+C15</f>
        <v>4668494288</v>
      </c>
      <c r="D17" s="13" t="str">
        <f>"L "&amp;A12&amp;" + L "&amp;A15&amp;""</f>
        <v>L 5 + L 8</v>
      </c>
      <c r="E17" s="182">
        <f>E12+E15</f>
        <v>2513385634.7876492</v>
      </c>
      <c r="F17" s="186">
        <f>E17/C17</f>
        <v>0.53837179178908079</v>
      </c>
      <c r="G17" s="12"/>
    </row>
    <row r="18" spans="1:7" x14ac:dyDescent="0.2">
      <c r="A18" s="2">
        <f t="shared" si="0"/>
        <v>11</v>
      </c>
      <c r="B18" s="205"/>
      <c r="C18" s="206"/>
      <c r="D18" s="206"/>
      <c r="E18" s="206"/>
      <c r="F18" s="186"/>
      <c r="G18" s="12"/>
    </row>
    <row r="19" spans="1:7" x14ac:dyDescent="0.2">
      <c r="A19" s="2">
        <f t="shared" si="0"/>
        <v>12</v>
      </c>
      <c r="B19" s="193" t="s">
        <v>510</v>
      </c>
      <c r="C19" s="206"/>
      <c r="D19" s="206"/>
      <c r="E19" s="206"/>
      <c r="F19" s="186"/>
      <c r="G19" s="12"/>
    </row>
    <row r="20" spans="1:7" x14ac:dyDescent="0.2">
      <c r="A20" s="2">
        <f t="shared" si="0"/>
        <v>13</v>
      </c>
      <c r="B20" s="192">
        <v>354</v>
      </c>
      <c r="C20" s="209">
        <v>772203666</v>
      </c>
      <c r="D20" s="184" t="s">
        <v>527</v>
      </c>
      <c r="E20" s="209">
        <v>728242650.16347945</v>
      </c>
      <c r="F20" s="210">
        <f>E20/C20</f>
        <v>0.94307069783255792</v>
      </c>
      <c r="G20" s="12"/>
    </row>
    <row r="21" spans="1:7" x14ac:dyDescent="0.2">
      <c r="A21" s="2">
        <f t="shared" si="0"/>
        <v>14</v>
      </c>
      <c r="B21" s="192">
        <v>355</v>
      </c>
      <c r="C21" s="209">
        <v>603692255</v>
      </c>
      <c r="D21" s="184" t="s">
        <v>528</v>
      </c>
      <c r="E21" s="209">
        <v>148632888.4820841</v>
      </c>
      <c r="F21" s="210">
        <f t="shared" ref="F21:F26" si="1">E21/C21</f>
        <v>0.246206386202659</v>
      </c>
      <c r="G21" s="12"/>
    </row>
    <row r="22" spans="1:7" x14ac:dyDescent="0.2">
      <c r="A22" s="2">
        <f t="shared" si="0"/>
        <v>15</v>
      </c>
      <c r="B22" s="192">
        <v>356</v>
      </c>
      <c r="C22" s="209">
        <v>706020712</v>
      </c>
      <c r="D22" s="184" t="s">
        <v>529</v>
      </c>
      <c r="E22" s="209">
        <v>494953932.48711836</v>
      </c>
      <c r="F22" s="210">
        <f t="shared" si="1"/>
        <v>0.70104732633837852</v>
      </c>
      <c r="G22" s="12"/>
    </row>
    <row r="23" spans="1:7" x14ac:dyDescent="0.2">
      <c r="A23" s="2">
        <f t="shared" si="0"/>
        <v>16</v>
      </c>
      <c r="B23" s="192">
        <v>357</v>
      </c>
      <c r="C23" s="209">
        <v>48517033</v>
      </c>
      <c r="D23" s="184" t="s">
        <v>530</v>
      </c>
      <c r="E23" s="209">
        <v>645861.64518965012</v>
      </c>
      <c r="F23" s="210">
        <f t="shared" si="1"/>
        <v>1.3312059811853089E-2</v>
      </c>
      <c r="G23" s="12"/>
    </row>
    <row r="24" spans="1:7" x14ac:dyDescent="0.2">
      <c r="A24" s="2">
        <f t="shared" si="0"/>
        <v>17</v>
      </c>
      <c r="B24" s="192">
        <v>358</v>
      </c>
      <c r="C24" s="209">
        <v>208167367</v>
      </c>
      <c r="D24" s="184" t="s">
        <v>531</v>
      </c>
      <c r="E24" s="209">
        <v>3959306.6940610548</v>
      </c>
      <c r="F24" s="210">
        <f t="shared" si="1"/>
        <v>1.901982405369548E-2</v>
      </c>
      <c r="G24" s="12"/>
    </row>
    <row r="25" spans="1:7" x14ac:dyDescent="0.2">
      <c r="A25" s="2">
        <f t="shared" si="0"/>
        <v>18</v>
      </c>
      <c r="B25" s="192">
        <v>359</v>
      </c>
      <c r="C25" s="211">
        <v>43038583</v>
      </c>
      <c r="D25" s="184" t="s">
        <v>532</v>
      </c>
      <c r="E25" s="211">
        <v>38747355.238424651</v>
      </c>
      <c r="F25" s="212">
        <f t="shared" si="1"/>
        <v>0.90029347012713334</v>
      </c>
      <c r="G25" s="12"/>
    </row>
    <row r="26" spans="1:7" x14ac:dyDescent="0.2">
      <c r="A26" s="2">
        <f t="shared" si="0"/>
        <v>19</v>
      </c>
      <c r="B26" s="194" t="s">
        <v>511</v>
      </c>
      <c r="C26" s="182">
        <f>SUM(C20:C25)</f>
        <v>2381639616</v>
      </c>
      <c r="D26" s="185" t="str">
        <f>"Sum L"&amp;A20&amp;" to L"&amp;A25&amp;""</f>
        <v>Sum L13 to L18</v>
      </c>
      <c r="E26" s="182">
        <f>SUM(E20:E25)</f>
        <v>1415181994.7103572</v>
      </c>
      <c r="F26" s="186">
        <f t="shared" si="1"/>
        <v>0.59420492722873708</v>
      </c>
      <c r="G26" s="12"/>
    </row>
    <row r="27" spans="1:7" x14ac:dyDescent="0.2">
      <c r="A27" s="2">
        <f t="shared" si="0"/>
        <v>20</v>
      </c>
      <c r="B27" s="213"/>
      <c r="C27" s="182"/>
      <c r="D27" s="182"/>
      <c r="E27" s="182"/>
      <c r="F27" s="186"/>
      <c r="G27" s="12"/>
    </row>
    <row r="28" spans="1:7" x14ac:dyDescent="0.2">
      <c r="A28" s="2">
        <f t="shared" si="0"/>
        <v>21</v>
      </c>
      <c r="B28" s="214" t="s">
        <v>522</v>
      </c>
      <c r="C28" s="188">
        <f>C17+C26</f>
        <v>7050133904</v>
      </c>
      <c r="D28" s="13" t="str">
        <f>"L "&amp;A17&amp;" + L "&amp;A26&amp;""</f>
        <v>L 10 + L 19</v>
      </c>
      <c r="E28" s="188">
        <f>E17+E26</f>
        <v>3928567629.4980063</v>
      </c>
      <c r="F28" s="189">
        <f>E28/C28</f>
        <v>0.55723305159765468</v>
      </c>
      <c r="G28" s="12" t="s">
        <v>418</v>
      </c>
    </row>
    <row r="29" spans="1:7" x14ac:dyDescent="0.2">
      <c r="A29" s="2"/>
      <c r="B29" s="153"/>
      <c r="C29" s="149"/>
      <c r="D29" s="149"/>
      <c r="E29" s="149"/>
      <c r="F29" s="152"/>
    </row>
    <row r="30" spans="1:7" x14ac:dyDescent="0.2">
      <c r="A30" s="2"/>
      <c r="B30" s="150"/>
      <c r="C30" s="151"/>
      <c r="D30" s="151"/>
      <c r="E30" s="151"/>
      <c r="F30" s="151"/>
    </row>
    <row r="31" spans="1:7" x14ac:dyDescent="0.2">
      <c r="A31" s="197" t="s">
        <v>521</v>
      </c>
      <c r="C31" s="151"/>
      <c r="D31" s="151"/>
      <c r="E31" s="151"/>
      <c r="F31" s="151"/>
    </row>
    <row r="32" spans="1:7" x14ac:dyDescent="0.2">
      <c r="A32" s="2"/>
      <c r="B32" s="156"/>
      <c r="C32" s="151"/>
      <c r="D32" s="151"/>
      <c r="E32" s="151"/>
      <c r="F32" s="151"/>
    </row>
    <row r="33" spans="1:9" x14ac:dyDescent="0.2">
      <c r="A33" s="53" t="s">
        <v>380</v>
      </c>
      <c r="B33" s="197"/>
      <c r="C33" s="198" t="s">
        <v>225</v>
      </c>
      <c r="D33" s="198"/>
      <c r="E33" s="198" t="s">
        <v>355</v>
      </c>
      <c r="F33" s="198" t="s">
        <v>518</v>
      </c>
    </row>
    <row r="34" spans="1:9" x14ac:dyDescent="0.2">
      <c r="A34" s="2">
        <f>A28+1</f>
        <v>22</v>
      </c>
      <c r="B34" s="190" t="s">
        <v>117</v>
      </c>
      <c r="C34" s="190" t="s">
        <v>439</v>
      </c>
      <c r="D34" s="190" t="s">
        <v>523</v>
      </c>
      <c r="E34" s="190" t="s">
        <v>1371</v>
      </c>
      <c r="F34" s="190" t="s">
        <v>519</v>
      </c>
    </row>
    <row r="35" spans="1:9" x14ac:dyDescent="0.2">
      <c r="A35" s="2">
        <f t="shared" ref="A35:A42" si="2">A34+1</f>
        <v>23</v>
      </c>
      <c r="B35" s="191" t="s">
        <v>513</v>
      </c>
      <c r="C35" s="149"/>
      <c r="D35" s="149"/>
      <c r="E35" s="149"/>
      <c r="F35" s="152"/>
    </row>
    <row r="36" spans="1:9" x14ac:dyDescent="0.2">
      <c r="A36" s="2">
        <f t="shared" si="2"/>
        <v>24</v>
      </c>
      <c r="B36" s="192">
        <v>360</v>
      </c>
      <c r="C36" s="181">
        <v>105974876</v>
      </c>
      <c r="D36" s="184" t="s">
        <v>533</v>
      </c>
      <c r="E36" s="181">
        <v>78348.646627332098</v>
      </c>
      <c r="F36" s="186">
        <f>E36/C36</f>
        <v>7.3931340695630634E-4</v>
      </c>
    </row>
    <row r="37" spans="1:9" x14ac:dyDescent="0.2">
      <c r="A37" s="2">
        <f t="shared" si="2"/>
        <v>25</v>
      </c>
      <c r="B37" s="193" t="s">
        <v>514</v>
      </c>
      <c r="C37" s="182"/>
      <c r="D37" s="182"/>
      <c r="E37" s="182"/>
      <c r="F37" s="186"/>
    </row>
    <row r="38" spans="1:9" x14ac:dyDescent="0.2">
      <c r="A38" s="2">
        <f t="shared" si="2"/>
        <v>26</v>
      </c>
      <c r="B38" s="192">
        <v>361</v>
      </c>
      <c r="C38" s="181">
        <v>436830749</v>
      </c>
      <c r="D38" s="184" t="s">
        <v>534</v>
      </c>
      <c r="E38" s="181">
        <v>718564.57265429304</v>
      </c>
      <c r="F38" s="186">
        <f>E38/C38</f>
        <v>1.6449496156102624E-3</v>
      </c>
    </row>
    <row r="39" spans="1:9" x14ac:dyDescent="0.2">
      <c r="A39" s="2">
        <f t="shared" si="2"/>
        <v>27</v>
      </c>
      <c r="B39" s="192">
        <v>362</v>
      </c>
      <c r="C39" s="183">
        <v>1761037882</v>
      </c>
      <c r="D39" s="184" t="s">
        <v>535</v>
      </c>
      <c r="E39" s="183">
        <v>6051836.2912730929</v>
      </c>
      <c r="F39" s="187">
        <f>E39/C39</f>
        <v>3.4365168138234818E-3</v>
      </c>
    </row>
    <row r="40" spans="1:9" x14ac:dyDescent="0.2">
      <c r="A40" s="2">
        <f t="shared" si="2"/>
        <v>28</v>
      </c>
      <c r="B40" s="194" t="s">
        <v>515</v>
      </c>
      <c r="C40" s="182">
        <f>SUM(C38:C39)</f>
        <v>2197868631</v>
      </c>
      <c r="D40" s="13" t="str">
        <f>"L "&amp;A38&amp;" + L "&amp;A39&amp;""</f>
        <v>L 26 + L 27</v>
      </c>
      <c r="E40" s="182">
        <f>SUM(E38:E39)</f>
        <v>6770400.8639273858</v>
      </c>
      <c r="F40" s="186">
        <f>E40/C40</f>
        <v>3.0804392803253878E-3</v>
      </c>
    </row>
    <row r="41" spans="1:9" x14ac:dyDescent="0.2">
      <c r="A41" s="2">
        <f t="shared" si="2"/>
        <v>29</v>
      </c>
      <c r="B41" s="195"/>
      <c r="C41" s="161"/>
      <c r="D41" s="182"/>
      <c r="E41" s="182"/>
      <c r="F41" s="186"/>
    </row>
    <row r="42" spans="1:9" x14ac:dyDescent="0.2">
      <c r="A42" s="2">
        <f t="shared" si="2"/>
        <v>30</v>
      </c>
      <c r="B42" s="196" t="s">
        <v>1502</v>
      </c>
      <c r="C42" s="188">
        <f>C36+C40</f>
        <v>2303843507</v>
      </c>
      <c r="D42" s="13" t="str">
        <f>"L "&amp;A36&amp;" + L "&amp;A40&amp;""</f>
        <v>L 24 + L 28</v>
      </c>
      <c r="E42" s="188">
        <f>E36+E40</f>
        <v>6848749.5105547179</v>
      </c>
      <c r="F42" s="189">
        <f>E42/C42</f>
        <v>2.9727494466292837E-3</v>
      </c>
      <c r="G42" s="12" t="s">
        <v>419</v>
      </c>
      <c r="H42" s="12"/>
    </row>
    <row r="43" spans="1:9" x14ac:dyDescent="0.2">
      <c r="A43" s="2"/>
      <c r="B43" s="157"/>
      <c r="C43" s="158"/>
      <c r="D43" s="158"/>
      <c r="E43" s="158"/>
      <c r="F43" s="159"/>
      <c r="H43" s="162"/>
      <c r="I43" s="12"/>
    </row>
    <row r="44" spans="1:9" x14ac:dyDescent="0.2">
      <c r="A44" s="64"/>
      <c r="E44" s="154"/>
    </row>
    <row r="45" spans="1:9" x14ac:dyDescent="0.2">
      <c r="A45" s="98" t="s">
        <v>269</v>
      </c>
    </row>
    <row r="46" spans="1:9" x14ac:dyDescent="0.2">
      <c r="A46" s="13" t="s">
        <v>536</v>
      </c>
      <c r="E46" s="154"/>
    </row>
    <row r="47" spans="1:9" x14ac:dyDescent="0.2">
      <c r="A47" s="13" t="s">
        <v>541</v>
      </c>
    </row>
    <row r="48" spans="1:9" x14ac:dyDescent="0.2">
      <c r="A48" s="13" t="s">
        <v>538</v>
      </c>
      <c r="C48" s="154"/>
      <c r="D48" s="154"/>
    </row>
    <row r="49" spans="1:4" x14ac:dyDescent="0.2">
      <c r="A49" s="13" t="s">
        <v>540</v>
      </c>
      <c r="C49" s="155"/>
      <c r="D49" s="155"/>
    </row>
    <row r="50" spans="1:4" x14ac:dyDescent="0.2">
      <c r="A50" s="64"/>
      <c r="C50" s="154"/>
      <c r="D50" s="154"/>
    </row>
    <row r="51" spans="1:4" x14ac:dyDescent="0.2">
      <c r="A51" s="98" t="s">
        <v>445</v>
      </c>
    </row>
    <row r="52" spans="1:4" x14ac:dyDescent="0.2">
      <c r="A52" s="13" t="s">
        <v>539</v>
      </c>
    </row>
    <row r="53" spans="1:4" x14ac:dyDescent="0.2">
      <c r="A53" s="13" t="s">
        <v>1783</v>
      </c>
    </row>
    <row r="54" spans="1:4" x14ac:dyDescent="0.2">
      <c r="A54" s="687" t="s">
        <v>2130</v>
      </c>
    </row>
  </sheetData>
  <pageMargins left="0.7" right="0.7" top="0.75" bottom="0.75" header="0.3" footer="0.3"/>
  <pageSetup scale="90" orientation="portrait" r:id="rId1"/>
  <headerFooter>
    <oddHeader>&amp;CSchedule 7
Transmission Plant Study Summary&amp;RDkt. No. ER11-3697
2014 Draft Informational Filing</oddHeader>
    <oddFooter>&amp;RPlantStudy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2"/>
  <sheetViews>
    <sheetView zoomScaleNormal="100" workbookViewId="0">
      <selection activeCell="C5" sqref="C5"/>
    </sheetView>
  </sheetViews>
  <sheetFormatPr defaultRowHeight="12.75" x14ac:dyDescent="0.2"/>
  <cols>
    <col min="1" max="1" width="4.7109375" customWidth="1"/>
    <col min="2" max="2" width="7.7109375" customWidth="1"/>
    <col min="3" max="3" width="10.7109375" customWidth="1"/>
    <col min="4" max="10" width="13.7109375" customWidth="1"/>
    <col min="11" max="12" width="11.7109375" customWidth="1"/>
    <col min="13" max="13" width="13.7109375" customWidth="1"/>
    <col min="14" max="14" width="14.7109375" customWidth="1"/>
    <col min="15" max="15" width="13.7109375" style="14" customWidth="1"/>
    <col min="16" max="23" width="9.140625" style="14"/>
  </cols>
  <sheetData>
    <row r="1" spans="1:18" x14ac:dyDescent="0.2">
      <c r="A1" s="1" t="s">
        <v>190</v>
      </c>
      <c r="B1" s="1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74"/>
      <c r="P1" s="274"/>
      <c r="Q1" s="274"/>
      <c r="R1" s="274"/>
    </row>
    <row r="2" spans="1:18" x14ac:dyDescent="0.2">
      <c r="A2" s="264"/>
      <c r="B2" s="264"/>
      <c r="C2" s="264"/>
      <c r="D2" s="264"/>
      <c r="E2" s="264"/>
      <c r="F2" s="264"/>
      <c r="G2" s="264"/>
      <c r="H2" s="264"/>
      <c r="I2" s="264"/>
      <c r="J2" s="742" t="s">
        <v>537</v>
      </c>
      <c r="K2" s="215"/>
      <c r="L2" s="264"/>
      <c r="M2" s="264"/>
      <c r="N2" s="264"/>
      <c r="O2" s="274"/>
      <c r="P2" s="274"/>
      <c r="Q2" s="274"/>
      <c r="R2" s="274"/>
    </row>
    <row r="3" spans="1:18" x14ac:dyDescent="0.2">
      <c r="A3" s="264"/>
      <c r="B3" s="1" t="s">
        <v>378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74"/>
      <c r="P3" s="274"/>
      <c r="Q3" s="274"/>
      <c r="R3" s="274"/>
    </row>
    <row r="4" spans="1:18" x14ac:dyDescent="0.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74"/>
      <c r="P4" s="274"/>
      <c r="Q4" s="274"/>
      <c r="R4" s="274"/>
    </row>
    <row r="5" spans="1:18" x14ac:dyDescent="0.2">
      <c r="A5" s="264"/>
      <c r="B5" s="264"/>
      <c r="C5" s="683" t="s">
        <v>1944</v>
      </c>
      <c r="D5" s="264"/>
      <c r="E5" s="264"/>
      <c r="F5" s="264"/>
      <c r="G5" s="264"/>
      <c r="H5" s="264"/>
      <c r="I5" s="264"/>
      <c r="J5" s="683"/>
      <c r="K5" s="264"/>
      <c r="L5" s="264"/>
      <c r="M5" s="264"/>
      <c r="N5" s="264"/>
      <c r="O5" s="274"/>
      <c r="P5" s="274"/>
      <c r="Q5" s="274"/>
      <c r="R5" s="274"/>
    </row>
    <row r="6" spans="1:18" x14ac:dyDescent="0.2">
      <c r="A6" s="264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74"/>
      <c r="P6" s="274"/>
      <c r="Q6" s="274"/>
      <c r="R6" s="274"/>
    </row>
    <row r="7" spans="1:18" x14ac:dyDescent="0.2">
      <c r="A7" s="264"/>
      <c r="B7" s="264"/>
      <c r="C7" s="99" t="s">
        <v>417</v>
      </c>
      <c r="D7" s="99" t="s">
        <v>400</v>
      </c>
      <c r="E7" s="99" t="s">
        <v>401</v>
      </c>
      <c r="F7" s="99" t="s">
        <v>402</v>
      </c>
      <c r="G7" s="99" t="s">
        <v>403</v>
      </c>
      <c r="H7" s="99" t="s">
        <v>404</v>
      </c>
      <c r="I7" s="99" t="s">
        <v>405</v>
      </c>
      <c r="J7" s="99" t="s">
        <v>654</v>
      </c>
      <c r="K7" s="99" t="s">
        <v>1128</v>
      </c>
      <c r="L7" s="99" t="s">
        <v>1145</v>
      </c>
      <c r="M7" s="99" t="s">
        <v>1148</v>
      </c>
      <c r="N7" s="99" t="s">
        <v>1166</v>
      </c>
      <c r="O7" s="274"/>
      <c r="P7" s="274"/>
      <c r="Q7" s="274"/>
      <c r="R7" s="274"/>
    </row>
    <row r="8" spans="1:18" x14ac:dyDescent="0.2">
      <c r="A8" s="264"/>
      <c r="B8" s="264"/>
      <c r="C8" s="286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644" t="s">
        <v>2132</v>
      </c>
      <c r="O8" s="274"/>
      <c r="P8" s="274"/>
      <c r="Q8" s="274"/>
      <c r="R8" s="274"/>
    </row>
    <row r="9" spans="1:18" x14ac:dyDescent="0.2">
      <c r="A9" s="264"/>
      <c r="B9" s="264"/>
      <c r="C9" s="723" t="s">
        <v>473</v>
      </c>
      <c r="D9" s="743" t="s">
        <v>12</v>
      </c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74"/>
      <c r="P9" s="274"/>
      <c r="Q9" s="274"/>
      <c r="R9" s="274"/>
    </row>
    <row r="10" spans="1:18" x14ac:dyDescent="0.2">
      <c r="A10" s="264"/>
      <c r="B10" s="264"/>
      <c r="C10" s="723" t="s">
        <v>221</v>
      </c>
      <c r="D10" s="743" t="s">
        <v>1146</v>
      </c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74"/>
      <c r="P10" s="274"/>
      <c r="Q10" s="274"/>
      <c r="R10" s="274"/>
    </row>
    <row r="11" spans="1:18" ht="12.75" customHeight="1" x14ac:dyDescent="0.2">
      <c r="A11" s="53" t="s">
        <v>380</v>
      </c>
      <c r="B11" s="53"/>
      <c r="C11" s="3" t="s">
        <v>220</v>
      </c>
      <c r="D11" s="99">
        <v>350.1</v>
      </c>
      <c r="E11" s="99">
        <v>350.2</v>
      </c>
      <c r="F11" s="99">
        <v>352</v>
      </c>
      <c r="G11" s="99">
        <v>353</v>
      </c>
      <c r="H11" s="99">
        <v>354</v>
      </c>
      <c r="I11" s="99">
        <v>355</v>
      </c>
      <c r="J11" s="99">
        <v>356</v>
      </c>
      <c r="K11" s="99">
        <v>357</v>
      </c>
      <c r="L11" s="99">
        <v>358</v>
      </c>
      <c r="M11" s="99">
        <v>359</v>
      </c>
      <c r="N11" s="3" t="s">
        <v>225</v>
      </c>
      <c r="O11" s="274"/>
      <c r="P11" s="274"/>
      <c r="Q11" s="274"/>
      <c r="R11" s="274"/>
    </row>
    <row r="12" spans="1:18" ht="12.75" customHeight="1" x14ac:dyDescent="0.2">
      <c r="A12" s="723">
        <v>1</v>
      </c>
      <c r="B12" s="723"/>
      <c r="C12" s="724" t="s">
        <v>208</v>
      </c>
      <c r="D12" s="269">
        <v>0</v>
      </c>
      <c r="E12" s="269">
        <v>6590309.0656594057</v>
      </c>
      <c r="F12" s="269">
        <v>37414556.233022258</v>
      </c>
      <c r="G12" s="269">
        <v>237964277.06324455</v>
      </c>
      <c r="H12" s="269">
        <v>357349607.94221509</v>
      </c>
      <c r="I12" s="269">
        <v>33638583.48029466</v>
      </c>
      <c r="J12" s="269">
        <v>332225868.75762475</v>
      </c>
      <c r="K12" s="269">
        <v>240592.79741319374</v>
      </c>
      <c r="L12" s="269">
        <v>1461025.2132115618</v>
      </c>
      <c r="M12" s="269">
        <v>11929277.810372636</v>
      </c>
      <c r="N12" s="266">
        <f>SUM(D12:M12)</f>
        <v>1018814098.3630581</v>
      </c>
      <c r="O12" s="274"/>
      <c r="P12" s="274"/>
      <c r="Q12" s="274"/>
      <c r="R12" s="274"/>
    </row>
    <row r="13" spans="1:18" ht="12.75" customHeight="1" x14ac:dyDescent="0.2">
      <c r="A13" s="723">
        <f>A12+1</f>
        <v>2</v>
      </c>
      <c r="B13" s="723"/>
      <c r="C13" s="726" t="s">
        <v>209</v>
      </c>
      <c r="D13" s="268">
        <v>0</v>
      </c>
      <c r="E13" s="268">
        <f t="shared" ref="E13:E23" si="0">E152+E93+E12</f>
        <v>6705413.4426246267</v>
      </c>
      <c r="F13" s="268">
        <f t="shared" ref="F13:F23" si="1">F152+F93+F12</f>
        <v>37168497.946761996</v>
      </c>
      <c r="G13" s="268">
        <f t="shared" ref="G13:G23" si="2">G152+G93+G12</f>
        <v>244044107.88460487</v>
      </c>
      <c r="H13" s="268">
        <f t="shared" ref="H13:H23" si="3">H152+H93+H12</f>
        <v>358561702.64031726</v>
      </c>
      <c r="I13" s="268">
        <f t="shared" ref="I13:I23" si="4">I152+I93+I12</f>
        <v>34255269.698653124</v>
      </c>
      <c r="J13" s="268">
        <f t="shared" ref="J13:J23" si="5">J152+J93+J12</f>
        <v>333558677.54679346</v>
      </c>
      <c r="K13" s="268">
        <f t="shared" ref="K13:K23" si="6">K152+K93+K12</f>
        <v>243244.34007737826</v>
      </c>
      <c r="L13" s="268">
        <f t="shared" ref="L13:L23" si="7">L152+L93+L12</f>
        <v>1466426.6051769422</v>
      </c>
      <c r="M13" s="268">
        <f t="shared" ref="M13:M23" si="8">M152+M93+M12</f>
        <v>12076372.650114991</v>
      </c>
      <c r="N13" s="266">
        <f t="shared" ref="N13:N24" si="9">SUM(D13:M13)</f>
        <v>1028079712.7551247</v>
      </c>
      <c r="O13" s="274"/>
      <c r="P13" s="274"/>
      <c r="Q13" s="274"/>
      <c r="R13" s="274"/>
    </row>
    <row r="14" spans="1:18" ht="12.75" customHeight="1" x14ac:dyDescent="0.2">
      <c r="A14" s="723">
        <f t="shared" ref="A14:A25" si="10">A13+1</f>
        <v>3</v>
      </c>
      <c r="B14" s="723"/>
      <c r="C14" s="724" t="s">
        <v>210</v>
      </c>
      <c r="D14" s="268">
        <v>0</v>
      </c>
      <c r="E14" s="268">
        <f t="shared" si="0"/>
        <v>6820550.0177921867</v>
      </c>
      <c r="F14" s="268">
        <f t="shared" si="1"/>
        <v>37124852.695863932</v>
      </c>
      <c r="G14" s="268">
        <f t="shared" si="2"/>
        <v>236604042.94579539</v>
      </c>
      <c r="H14" s="268">
        <f t="shared" si="3"/>
        <v>359504821.05332738</v>
      </c>
      <c r="I14" s="268">
        <f t="shared" si="4"/>
        <v>35010346.812655911</v>
      </c>
      <c r="J14" s="268">
        <f t="shared" si="5"/>
        <v>335167790.404634</v>
      </c>
      <c r="K14" s="268">
        <f t="shared" si="6"/>
        <v>245896.89541588319</v>
      </c>
      <c r="L14" s="268">
        <f t="shared" si="7"/>
        <v>1472211.046745891</v>
      </c>
      <c r="M14" s="268">
        <f t="shared" si="8"/>
        <v>12223193.201773008</v>
      </c>
      <c r="N14" s="266">
        <f t="shared" si="9"/>
        <v>1024173705.0740036</v>
      </c>
      <c r="O14" s="274"/>
      <c r="P14" s="274"/>
      <c r="Q14" s="274"/>
      <c r="R14" s="274"/>
    </row>
    <row r="15" spans="1:18" ht="12.75" customHeight="1" x14ac:dyDescent="0.2">
      <c r="A15" s="723">
        <f t="shared" si="10"/>
        <v>4</v>
      </c>
      <c r="B15" s="723"/>
      <c r="C15" s="724" t="s">
        <v>223</v>
      </c>
      <c r="D15" s="268">
        <v>0</v>
      </c>
      <c r="E15" s="268">
        <f t="shared" si="0"/>
        <v>6958539.3003331413</v>
      </c>
      <c r="F15" s="268">
        <f t="shared" si="1"/>
        <v>37115966.089479186</v>
      </c>
      <c r="G15" s="268">
        <f t="shared" si="2"/>
        <v>193907363.27494422</v>
      </c>
      <c r="H15" s="268">
        <f t="shared" si="3"/>
        <v>344548178.81970847</v>
      </c>
      <c r="I15" s="268">
        <f t="shared" si="4"/>
        <v>34797820.57271716</v>
      </c>
      <c r="J15" s="268">
        <f t="shared" si="5"/>
        <v>326866898.06988311</v>
      </c>
      <c r="K15" s="268">
        <f t="shared" si="6"/>
        <v>248369.59109041901</v>
      </c>
      <c r="L15" s="268">
        <f t="shared" si="7"/>
        <v>1481878.2839104806</v>
      </c>
      <c r="M15" s="268">
        <f t="shared" si="8"/>
        <v>7206964.3222951069</v>
      </c>
      <c r="N15" s="266">
        <f t="shared" si="9"/>
        <v>953131978.32436132</v>
      </c>
      <c r="O15" s="274"/>
      <c r="P15" s="274"/>
      <c r="Q15" s="274"/>
      <c r="R15" s="274"/>
    </row>
    <row r="16" spans="1:18" ht="12.75" customHeight="1" x14ac:dyDescent="0.2">
      <c r="A16" s="723">
        <f t="shared" si="10"/>
        <v>5</v>
      </c>
      <c r="B16" s="723"/>
      <c r="C16" s="726" t="s">
        <v>211</v>
      </c>
      <c r="D16" s="268">
        <v>0</v>
      </c>
      <c r="E16" s="268">
        <f t="shared" si="0"/>
        <v>7098335.6767357597</v>
      </c>
      <c r="F16" s="268">
        <f t="shared" si="1"/>
        <v>37066219.406156458</v>
      </c>
      <c r="G16" s="268">
        <f t="shared" si="2"/>
        <v>193322540.96495658</v>
      </c>
      <c r="H16" s="268">
        <f t="shared" si="3"/>
        <v>345312488.45929837</v>
      </c>
      <c r="I16" s="268">
        <f t="shared" si="4"/>
        <v>35845148.890790597</v>
      </c>
      <c r="J16" s="268">
        <f t="shared" si="5"/>
        <v>327159154.13754863</v>
      </c>
      <c r="K16" s="268">
        <f t="shared" si="6"/>
        <v>250857.68840711765</v>
      </c>
      <c r="L16" s="268">
        <f t="shared" si="7"/>
        <v>1490689.2101160814</v>
      </c>
      <c r="M16" s="268">
        <f t="shared" si="8"/>
        <v>7037522.3752846848</v>
      </c>
      <c r="N16" s="266">
        <f t="shared" si="9"/>
        <v>954582956.80929422</v>
      </c>
      <c r="O16" s="274"/>
      <c r="P16" s="274"/>
      <c r="Q16" s="274"/>
      <c r="R16" s="274"/>
    </row>
    <row r="17" spans="1:18" ht="12.75" customHeight="1" x14ac:dyDescent="0.2">
      <c r="A17" s="723">
        <f t="shared" si="10"/>
        <v>6</v>
      </c>
      <c r="B17" s="723"/>
      <c r="C17" s="724" t="s">
        <v>212</v>
      </c>
      <c r="D17" s="268">
        <v>0</v>
      </c>
      <c r="E17" s="268">
        <f t="shared" si="0"/>
        <v>7238105.412718134</v>
      </c>
      <c r="F17" s="268">
        <f t="shared" si="1"/>
        <v>37131067.174250908</v>
      </c>
      <c r="G17" s="268">
        <f t="shared" si="2"/>
        <v>199854697.67511916</v>
      </c>
      <c r="H17" s="268">
        <f t="shared" si="3"/>
        <v>346732125.32027495</v>
      </c>
      <c r="I17" s="268">
        <f t="shared" si="4"/>
        <v>35722609.00553678</v>
      </c>
      <c r="J17" s="268">
        <f t="shared" si="5"/>
        <v>326805382.44527072</v>
      </c>
      <c r="K17" s="268">
        <f t="shared" si="6"/>
        <v>253342.56021729441</v>
      </c>
      <c r="L17" s="268">
        <f t="shared" si="7"/>
        <v>1497048.1710613451</v>
      </c>
      <c r="M17" s="268">
        <f t="shared" si="8"/>
        <v>6568221.1300798636</v>
      </c>
      <c r="N17" s="266">
        <f t="shared" si="9"/>
        <v>961802598.89452922</v>
      </c>
      <c r="O17" s="274"/>
      <c r="P17" s="274"/>
      <c r="Q17" s="274"/>
      <c r="R17" s="274"/>
    </row>
    <row r="18" spans="1:18" ht="12.75" customHeight="1" x14ac:dyDescent="0.2">
      <c r="A18" s="723">
        <f t="shared" si="10"/>
        <v>7</v>
      </c>
      <c r="B18" s="723"/>
      <c r="C18" s="724" t="s">
        <v>213</v>
      </c>
      <c r="D18" s="268">
        <v>0</v>
      </c>
      <c r="E18" s="268">
        <f t="shared" si="0"/>
        <v>7440271.3781169401</v>
      </c>
      <c r="F18" s="268">
        <f t="shared" si="1"/>
        <v>37214001.721324466</v>
      </c>
      <c r="G18" s="268">
        <f t="shared" si="2"/>
        <v>206433424.262546</v>
      </c>
      <c r="H18" s="268">
        <f t="shared" si="3"/>
        <v>348049682.41314542</v>
      </c>
      <c r="I18" s="268">
        <f t="shared" si="4"/>
        <v>35306608.88753096</v>
      </c>
      <c r="J18" s="268">
        <f t="shared" si="5"/>
        <v>327075309.37625092</v>
      </c>
      <c r="K18" s="268">
        <f t="shared" si="6"/>
        <v>255840.87180099433</v>
      </c>
      <c r="L18" s="268">
        <f t="shared" si="7"/>
        <v>1503379.645951177</v>
      </c>
      <c r="M18" s="268">
        <f t="shared" si="8"/>
        <v>6458693.2256387686</v>
      </c>
      <c r="N18" s="266">
        <f t="shared" si="9"/>
        <v>969737211.7823056</v>
      </c>
      <c r="O18" s="274"/>
      <c r="P18" s="274"/>
      <c r="Q18" s="274"/>
      <c r="R18" s="274"/>
    </row>
    <row r="19" spans="1:18" ht="12.75" customHeight="1" x14ac:dyDescent="0.2">
      <c r="A19" s="723">
        <f t="shared" si="10"/>
        <v>8</v>
      </c>
      <c r="B19" s="723"/>
      <c r="C19" s="726" t="s">
        <v>214</v>
      </c>
      <c r="D19" s="268">
        <v>0</v>
      </c>
      <c r="E19" s="268">
        <f t="shared" si="0"/>
        <v>7517694.8288566293</v>
      </c>
      <c r="F19" s="268">
        <f t="shared" si="1"/>
        <v>36986387.42303209</v>
      </c>
      <c r="G19" s="268">
        <f t="shared" si="2"/>
        <v>207798165.87348032</v>
      </c>
      <c r="H19" s="268">
        <f t="shared" si="3"/>
        <v>349846152.82328129</v>
      </c>
      <c r="I19" s="268">
        <f t="shared" si="4"/>
        <v>36224513.245619804</v>
      </c>
      <c r="J19" s="268">
        <f t="shared" si="5"/>
        <v>328585496.07996273</v>
      </c>
      <c r="K19" s="268">
        <f t="shared" si="6"/>
        <v>270096.95974105899</v>
      </c>
      <c r="L19" s="268">
        <f t="shared" si="7"/>
        <v>1514409.4777808548</v>
      </c>
      <c r="M19" s="268">
        <f t="shared" si="8"/>
        <v>6700198.8131472748</v>
      </c>
      <c r="N19" s="266">
        <f t="shared" si="9"/>
        <v>975443115.52490211</v>
      </c>
      <c r="O19" s="274"/>
      <c r="P19" s="274"/>
      <c r="Q19" s="274"/>
      <c r="R19" s="274"/>
    </row>
    <row r="20" spans="1:18" ht="12.75" customHeight="1" x14ac:dyDescent="0.2">
      <c r="A20" s="723">
        <f t="shared" si="10"/>
        <v>9</v>
      </c>
      <c r="B20" s="723"/>
      <c r="C20" s="724" t="s">
        <v>215</v>
      </c>
      <c r="D20" s="268">
        <v>0</v>
      </c>
      <c r="E20" s="268">
        <f t="shared" si="0"/>
        <v>7657354.2998272106</v>
      </c>
      <c r="F20" s="268">
        <f t="shared" si="1"/>
        <v>36746805.430242993</v>
      </c>
      <c r="G20" s="268">
        <f t="shared" si="2"/>
        <v>220146795.39011112</v>
      </c>
      <c r="H20" s="268">
        <f t="shared" si="3"/>
        <v>349586491.73906189</v>
      </c>
      <c r="I20" s="268">
        <f t="shared" si="4"/>
        <v>36182488.510051183</v>
      </c>
      <c r="J20" s="268">
        <f t="shared" si="5"/>
        <v>327594760.64229655</v>
      </c>
      <c r="K20" s="268">
        <f t="shared" si="6"/>
        <v>254431.47843636424</v>
      </c>
      <c r="L20" s="268">
        <f t="shared" si="7"/>
        <v>1521117.9702805593</v>
      </c>
      <c r="M20" s="268">
        <f t="shared" si="8"/>
        <v>5490735.0780724864</v>
      </c>
      <c r="N20" s="266">
        <f t="shared" si="9"/>
        <v>985180980.53838015</v>
      </c>
      <c r="O20" s="274"/>
      <c r="P20" s="274"/>
      <c r="Q20" s="274"/>
      <c r="R20" s="274"/>
    </row>
    <row r="21" spans="1:18" ht="12.75" customHeight="1" x14ac:dyDescent="0.2">
      <c r="A21" s="723">
        <f t="shared" si="10"/>
        <v>10</v>
      </c>
      <c r="B21" s="723"/>
      <c r="C21" s="724" t="s">
        <v>216</v>
      </c>
      <c r="D21" s="268">
        <v>0</v>
      </c>
      <c r="E21" s="268">
        <f t="shared" si="0"/>
        <v>7801954.031126963</v>
      </c>
      <c r="F21" s="268">
        <f t="shared" si="1"/>
        <v>36824136.218769051</v>
      </c>
      <c r="G21" s="268">
        <f t="shared" si="2"/>
        <v>223226847.17866185</v>
      </c>
      <c r="H21" s="268">
        <f t="shared" si="3"/>
        <v>350823608.31795353</v>
      </c>
      <c r="I21" s="268">
        <f t="shared" si="4"/>
        <v>36746836.913732581</v>
      </c>
      <c r="J21" s="268">
        <f t="shared" si="5"/>
        <v>327989135.57742393</v>
      </c>
      <c r="K21" s="268">
        <f t="shared" si="6"/>
        <v>256942.78110548671</v>
      </c>
      <c r="L21" s="268">
        <f t="shared" si="7"/>
        <v>1526161.9563914652</v>
      </c>
      <c r="M21" s="268">
        <f t="shared" si="8"/>
        <v>4606477.1503302436</v>
      </c>
      <c r="N21" s="266">
        <f t="shared" si="9"/>
        <v>989802100.12549508</v>
      </c>
      <c r="O21" s="274"/>
      <c r="P21" s="274"/>
      <c r="Q21" s="274"/>
      <c r="R21" s="274"/>
    </row>
    <row r="22" spans="1:18" ht="12.75" customHeight="1" x14ac:dyDescent="0.2">
      <c r="A22" s="723">
        <f t="shared" si="10"/>
        <v>11</v>
      </c>
      <c r="B22" s="723"/>
      <c r="C22" s="726" t="s">
        <v>219</v>
      </c>
      <c r="D22" s="268">
        <v>0</v>
      </c>
      <c r="E22" s="268">
        <f t="shared" si="0"/>
        <v>7946296.0180214178</v>
      </c>
      <c r="F22" s="268">
        <f t="shared" si="1"/>
        <v>36732071.607959002</v>
      </c>
      <c r="G22" s="268">
        <f t="shared" si="2"/>
        <v>355917793.00444078</v>
      </c>
      <c r="H22" s="268">
        <f t="shared" si="3"/>
        <v>350152035.72049755</v>
      </c>
      <c r="I22" s="268">
        <f t="shared" si="4"/>
        <v>36251936.136507802</v>
      </c>
      <c r="J22" s="268">
        <f t="shared" si="5"/>
        <v>325516477.7153874</v>
      </c>
      <c r="K22" s="268">
        <f t="shared" si="6"/>
        <v>259485.40163373351</v>
      </c>
      <c r="L22" s="268">
        <f t="shared" si="7"/>
        <v>1532738.3741544751</v>
      </c>
      <c r="M22" s="268">
        <f t="shared" si="8"/>
        <v>4959487.2235598126</v>
      </c>
      <c r="N22" s="266">
        <f t="shared" si="9"/>
        <v>1119268321.202162</v>
      </c>
      <c r="O22" s="274"/>
      <c r="P22" s="274"/>
      <c r="Q22" s="274"/>
      <c r="R22" s="274"/>
    </row>
    <row r="23" spans="1:18" ht="12.75" customHeight="1" x14ac:dyDescent="0.2">
      <c r="A23" s="723">
        <f t="shared" si="10"/>
        <v>12</v>
      </c>
      <c r="B23" s="723"/>
      <c r="C23" s="726" t="s">
        <v>218</v>
      </c>
      <c r="D23" s="268">
        <v>0</v>
      </c>
      <c r="E23" s="268">
        <f t="shared" si="0"/>
        <v>8090610.0954818828</v>
      </c>
      <c r="F23" s="268">
        <f t="shared" si="1"/>
        <v>38373028.790801801</v>
      </c>
      <c r="G23" s="268">
        <f t="shared" si="2"/>
        <v>260779408.92380124</v>
      </c>
      <c r="H23" s="268">
        <f t="shared" si="3"/>
        <v>350872264.02084529</v>
      </c>
      <c r="I23" s="268">
        <f t="shared" si="4"/>
        <v>35016345.519630045</v>
      </c>
      <c r="J23" s="268">
        <f t="shared" si="5"/>
        <v>325468010.34191984</v>
      </c>
      <c r="K23" s="268">
        <f t="shared" si="6"/>
        <v>262223.11808739498</v>
      </c>
      <c r="L23" s="268">
        <f t="shared" si="7"/>
        <v>1555549.0688092124</v>
      </c>
      <c r="M23" s="268">
        <f t="shared" si="8"/>
        <v>4643983.4463051334</v>
      </c>
      <c r="N23" s="266">
        <f t="shared" si="9"/>
        <v>1025061423.3256819</v>
      </c>
      <c r="O23" s="274"/>
      <c r="P23" s="274"/>
      <c r="Q23" s="274"/>
      <c r="R23" s="274"/>
    </row>
    <row r="24" spans="1:18" x14ac:dyDescent="0.2">
      <c r="A24" s="723">
        <f t="shared" si="10"/>
        <v>13</v>
      </c>
      <c r="B24" s="723"/>
      <c r="C24" s="724" t="s">
        <v>208</v>
      </c>
      <c r="D24" s="493">
        <v>0</v>
      </c>
      <c r="E24" s="493">
        <v>8234183.5624758042</v>
      </c>
      <c r="F24" s="493">
        <v>34328280.923169941</v>
      </c>
      <c r="G24" s="493">
        <v>261379513.96968466</v>
      </c>
      <c r="H24" s="493">
        <v>347998957.79018742</v>
      </c>
      <c r="I24" s="493">
        <v>34843014.820941068</v>
      </c>
      <c r="J24" s="493">
        <v>319049111.97583044</v>
      </c>
      <c r="K24" s="493">
        <v>264938.05872218398</v>
      </c>
      <c r="L24" s="493">
        <v>1566128.8426273782</v>
      </c>
      <c r="M24" s="493">
        <v>1034533.0466876787</v>
      </c>
      <c r="N24" s="430">
        <f t="shared" si="9"/>
        <v>1008698662.9903265</v>
      </c>
      <c r="O24" s="274"/>
      <c r="P24" s="274"/>
      <c r="Q24" s="274"/>
      <c r="R24" s="274"/>
    </row>
    <row r="25" spans="1:18" x14ac:dyDescent="0.2">
      <c r="A25" s="723">
        <f t="shared" si="10"/>
        <v>14</v>
      </c>
      <c r="B25" s="264"/>
      <c r="C25" s="727" t="s">
        <v>1453</v>
      </c>
      <c r="D25" s="266">
        <f t="shared" ref="D25:N25" si="11">AVERAGE(D12:D24)</f>
        <v>0</v>
      </c>
      <c r="E25" s="266">
        <f>AVERAGE(E12:E24)</f>
        <v>7392278.2407515477</v>
      </c>
      <c r="F25" s="266">
        <f t="shared" si="11"/>
        <v>36940451.666218005</v>
      </c>
      <c r="G25" s="266">
        <f t="shared" si="11"/>
        <v>233952229.10856855</v>
      </c>
      <c r="H25" s="266">
        <f t="shared" si="11"/>
        <v>350718316.6969319</v>
      </c>
      <c r="I25" s="266">
        <f t="shared" si="11"/>
        <v>35372424.807281666</v>
      </c>
      <c r="J25" s="266">
        <f t="shared" si="11"/>
        <v>327927851.77467901</v>
      </c>
      <c r="K25" s="266">
        <f t="shared" si="11"/>
        <v>254327.88785757715</v>
      </c>
      <c r="L25" s="266">
        <f t="shared" si="11"/>
        <v>1506827.9897090322</v>
      </c>
      <c r="M25" s="266">
        <f t="shared" si="11"/>
        <v>6995050.7287432086</v>
      </c>
      <c r="N25" s="266">
        <f t="shared" si="11"/>
        <v>1001059758.9007404</v>
      </c>
      <c r="O25" s="274"/>
      <c r="P25" s="274"/>
      <c r="Q25" s="274"/>
      <c r="R25" s="274"/>
    </row>
    <row r="26" spans="1:18" x14ac:dyDescent="0.2">
      <c r="A26" s="264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74"/>
      <c r="P26" s="274"/>
      <c r="Q26" s="274"/>
      <c r="R26" s="274"/>
    </row>
    <row r="27" spans="1:18" x14ac:dyDescent="0.2">
      <c r="A27" s="274"/>
      <c r="B27" s="274"/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4"/>
      <c r="P27" s="274"/>
      <c r="Q27" s="274"/>
      <c r="R27" s="274"/>
    </row>
    <row r="28" spans="1:18" x14ac:dyDescent="0.2">
      <c r="A28" s="264"/>
      <c r="B28" s="488" t="s">
        <v>1945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4"/>
      <c r="O28" s="274"/>
      <c r="P28" s="274"/>
      <c r="Q28" s="274"/>
      <c r="R28" s="274"/>
    </row>
    <row r="29" spans="1:18" x14ac:dyDescent="0.2">
      <c r="A29" s="264"/>
      <c r="B29" s="488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74"/>
      <c r="P29" s="274"/>
      <c r="Q29" s="274"/>
      <c r="R29" s="274"/>
    </row>
    <row r="30" spans="1:18" x14ac:dyDescent="0.2">
      <c r="A30" s="264"/>
      <c r="B30" s="264"/>
      <c r="C30" s="99" t="s">
        <v>417</v>
      </c>
      <c r="D30" s="99" t="s">
        <v>400</v>
      </c>
      <c r="E30" s="99" t="s">
        <v>401</v>
      </c>
      <c r="F30" s="99" t="s">
        <v>402</v>
      </c>
      <c r="G30" s="99" t="s">
        <v>403</v>
      </c>
      <c r="H30" s="264"/>
      <c r="I30" s="264"/>
      <c r="J30" s="264"/>
      <c r="K30" s="264"/>
      <c r="L30" s="264"/>
      <c r="M30" s="264"/>
      <c r="N30" s="264"/>
      <c r="O30" s="274"/>
      <c r="P30" s="274"/>
      <c r="Q30" s="274"/>
      <c r="R30" s="274"/>
    </row>
    <row r="31" spans="1:18" x14ac:dyDescent="0.2">
      <c r="A31" s="264"/>
      <c r="B31" s="264"/>
      <c r="C31" s="264"/>
      <c r="D31" s="743" t="s">
        <v>12</v>
      </c>
      <c r="E31" s="264"/>
      <c r="F31" s="264"/>
      <c r="G31" s="644" t="s">
        <v>2131</v>
      </c>
      <c r="H31" s="264"/>
      <c r="I31" s="264"/>
      <c r="J31" s="264"/>
      <c r="K31" s="264"/>
      <c r="L31" s="264"/>
      <c r="M31" s="264"/>
      <c r="N31" s="264"/>
      <c r="O31" s="745"/>
      <c r="P31" s="274"/>
      <c r="Q31" s="274"/>
      <c r="R31" s="274"/>
    </row>
    <row r="32" spans="1:18" x14ac:dyDescent="0.2">
      <c r="A32" s="264"/>
      <c r="B32" s="264"/>
      <c r="C32" s="264"/>
      <c r="D32" s="743" t="s">
        <v>1146</v>
      </c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649"/>
      <c r="P32" s="274"/>
      <c r="Q32" s="274"/>
      <c r="R32" s="274"/>
    </row>
    <row r="33" spans="1:18" x14ac:dyDescent="0.2">
      <c r="A33" s="264"/>
      <c r="B33" s="264"/>
      <c r="C33" s="264"/>
      <c r="D33" s="99">
        <v>360</v>
      </c>
      <c r="E33" s="99">
        <v>361</v>
      </c>
      <c r="F33" s="99">
        <v>362</v>
      </c>
      <c r="G33" s="3" t="s">
        <v>225</v>
      </c>
      <c r="H33" s="264"/>
      <c r="I33" s="264"/>
      <c r="J33" s="264"/>
      <c r="K33" s="264"/>
      <c r="L33" s="264"/>
      <c r="M33" s="264"/>
      <c r="N33" s="264"/>
      <c r="O33" s="649"/>
      <c r="P33" s="274"/>
      <c r="Q33" s="274"/>
      <c r="R33" s="274"/>
    </row>
    <row r="34" spans="1:18" x14ac:dyDescent="0.2">
      <c r="A34" s="723">
        <f>A25+1</f>
        <v>15</v>
      </c>
      <c r="C34" s="728" t="s">
        <v>1649</v>
      </c>
      <c r="D34" s="269">
        <v>3790.6752255301626</v>
      </c>
      <c r="E34" s="269">
        <v>236705.89970846157</v>
      </c>
      <c r="F34" s="269">
        <v>848034.85054420761</v>
      </c>
      <c r="G34" s="266">
        <f>SUM(D34:F34)</f>
        <v>1088531.4254781993</v>
      </c>
      <c r="I34" s="264"/>
      <c r="J34" s="264"/>
      <c r="K34" s="264"/>
      <c r="L34" s="264"/>
      <c r="M34" s="264"/>
      <c r="N34" s="264"/>
      <c r="O34" s="649"/>
      <c r="P34" s="274"/>
      <c r="Q34" s="274"/>
      <c r="R34" s="274"/>
    </row>
    <row r="35" spans="1:18" x14ac:dyDescent="0.2">
      <c r="A35" s="723">
        <v>16</v>
      </c>
      <c r="C35" s="265" t="s">
        <v>1650</v>
      </c>
      <c r="D35" s="493">
        <v>4598.1430817474538</v>
      </c>
      <c r="E35" s="493">
        <v>260420.80567207644</v>
      </c>
      <c r="F35" s="493">
        <v>897997.79743491788</v>
      </c>
      <c r="G35" s="430">
        <f>SUM(D35:F35)</f>
        <v>1163016.7461887416</v>
      </c>
      <c r="I35" s="264"/>
      <c r="J35" s="264"/>
      <c r="K35" s="264"/>
      <c r="L35" s="264"/>
      <c r="O35" s="649"/>
      <c r="P35" s="274"/>
      <c r="Q35" s="274"/>
      <c r="R35" s="274"/>
    </row>
    <row r="36" spans="1:18" x14ac:dyDescent="0.2">
      <c r="A36" s="723">
        <f>A35+1</f>
        <v>17</v>
      </c>
      <c r="C36" s="265" t="s">
        <v>1651</v>
      </c>
      <c r="D36" s="266">
        <f>AVERAGE(D34:D35)</f>
        <v>4194.4091536388078</v>
      </c>
      <c r="E36" s="266">
        <f>AVERAGE(E34:E35)</f>
        <v>248563.35269026901</v>
      </c>
      <c r="F36" s="266">
        <f>AVERAGE(F34:F35)</f>
        <v>873016.32398956269</v>
      </c>
      <c r="G36" s="266">
        <f>AVERAGE(G34:G35)</f>
        <v>1125774.0858334703</v>
      </c>
      <c r="H36" s="284" t="str">
        <f>"Average of Line "&amp;A34&amp;" and Line "&amp;A35&amp;""</f>
        <v>Average of Line 15 and Line 16</v>
      </c>
      <c r="I36" s="264"/>
      <c r="J36" s="264"/>
      <c r="K36" s="264"/>
      <c r="M36" s="724"/>
      <c r="N36" s="698"/>
      <c r="O36" s="649"/>
      <c r="P36" s="274"/>
      <c r="Q36" s="274"/>
      <c r="R36" s="274"/>
    </row>
    <row r="37" spans="1:18" x14ac:dyDescent="0.2">
      <c r="C37" s="265"/>
      <c r="I37" s="264"/>
      <c r="J37" s="264"/>
      <c r="K37" s="264"/>
      <c r="M37" s="735"/>
      <c r="N37" s="737"/>
      <c r="O37" s="649"/>
      <c r="P37" s="274"/>
      <c r="Q37" s="274"/>
      <c r="R37" s="274"/>
    </row>
    <row r="38" spans="1:18" x14ac:dyDescent="0.2">
      <c r="B38" s="488" t="s">
        <v>1941</v>
      </c>
      <c r="I38" s="264"/>
      <c r="J38" s="264"/>
      <c r="K38" s="264"/>
      <c r="L38" s="264"/>
      <c r="M38" s="724"/>
      <c r="N38" s="737"/>
      <c r="O38" s="649"/>
      <c r="P38" s="274"/>
      <c r="Q38" s="274"/>
      <c r="R38" s="274"/>
    </row>
    <row r="39" spans="1:18" ht="15" x14ac:dyDescent="0.25">
      <c r="B39" s="434"/>
      <c r="F39" s="267" t="s">
        <v>225</v>
      </c>
      <c r="J39" s="264"/>
      <c r="K39" s="267"/>
      <c r="L39" s="264"/>
      <c r="O39" s="274"/>
      <c r="P39" s="274"/>
      <c r="Q39" s="274"/>
      <c r="R39" s="274"/>
    </row>
    <row r="40" spans="1:18" x14ac:dyDescent="0.2">
      <c r="F40" s="267" t="s">
        <v>1652</v>
      </c>
      <c r="J40" s="264"/>
      <c r="K40" s="267"/>
      <c r="L40" s="264"/>
      <c r="O40" s="274"/>
      <c r="P40" s="274"/>
      <c r="Q40" s="274"/>
      <c r="R40" s="274"/>
    </row>
    <row r="41" spans="1:18" x14ac:dyDescent="0.2">
      <c r="B41" s="264"/>
      <c r="E41" s="264"/>
      <c r="F41" s="267" t="s">
        <v>1483</v>
      </c>
      <c r="J41" s="264"/>
      <c r="K41" s="267"/>
      <c r="L41" s="264"/>
      <c r="O41" s="274"/>
      <c r="P41" s="274"/>
      <c r="Q41" s="274"/>
      <c r="R41" s="274"/>
    </row>
    <row r="42" spans="1:18" x14ac:dyDescent="0.2">
      <c r="B42" s="264"/>
      <c r="E42" s="264"/>
      <c r="F42" s="267" t="s">
        <v>1653</v>
      </c>
      <c r="J42" s="264"/>
      <c r="K42" s="267"/>
      <c r="L42" s="264"/>
      <c r="Q42" s="274"/>
      <c r="R42" s="274"/>
    </row>
    <row r="43" spans="1:18" x14ac:dyDescent="0.2">
      <c r="B43" s="264"/>
      <c r="E43" s="264"/>
      <c r="F43" s="431" t="s">
        <v>1654</v>
      </c>
      <c r="G43" s="494" t="s">
        <v>207</v>
      </c>
      <c r="J43" s="264"/>
      <c r="K43" s="431"/>
      <c r="L43" s="264"/>
      <c r="O43" s="274"/>
      <c r="P43" s="274"/>
      <c r="Q43" s="274"/>
      <c r="R43" s="274"/>
    </row>
    <row r="44" spans="1:18" x14ac:dyDescent="0.2">
      <c r="A44" s="723">
        <f>A36+1</f>
        <v>18</v>
      </c>
      <c r="B44" s="264"/>
      <c r="E44" s="728" t="s">
        <v>1649</v>
      </c>
      <c r="F44" s="269">
        <f>802468093+535592088</f>
        <v>1338060181</v>
      </c>
      <c r="G44" s="284" t="s">
        <v>1655</v>
      </c>
      <c r="J44" s="1017"/>
      <c r="L44" s="264"/>
      <c r="O44" s="274"/>
      <c r="P44" s="274"/>
      <c r="Q44" s="274"/>
      <c r="R44" s="274"/>
    </row>
    <row r="45" spans="1:18" x14ac:dyDescent="0.2">
      <c r="A45" s="723">
        <f>A44+1</f>
        <v>19</v>
      </c>
      <c r="B45" s="264"/>
      <c r="E45" s="265" t="s">
        <v>1650</v>
      </c>
      <c r="F45" s="269">
        <f>790830008+700607236</f>
        <v>1491437244</v>
      </c>
      <c r="G45" s="284" t="s">
        <v>1656</v>
      </c>
      <c r="J45" s="264"/>
      <c r="K45" s="744"/>
      <c r="L45" s="264"/>
      <c r="O45" s="274"/>
      <c r="P45" s="274"/>
      <c r="Q45" s="274"/>
      <c r="R45" s="274"/>
    </row>
    <row r="46" spans="1:18" x14ac:dyDescent="0.2">
      <c r="A46" s="723">
        <f>A45+1</f>
        <v>20</v>
      </c>
      <c r="B46" s="264"/>
      <c r="E46" s="265" t="s">
        <v>1651</v>
      </c>
      <c r="F46" s="266">
        <f>AVERAGE(F44:F45)</f>
        <v>1414748712.5</v>
      </c>
      <c r="G46" s="284" t="str">
        <f>"Average of Line "&amp;A44&amp;" and Line "&amp;A45&amp;""</f>
        <v>Average of Line 18 and Line 19</v>
      </c>
      <c r="J46" s="264"/>
      <c r="K46" s="744"/>
      <c r="L46" s="264"/>
      <c r="O46" s="274"/>
      <c r="P46" s="274"/>
      <c r="Q46" s="274"/>
      <c r="R46" s="274"/>
    </row>
    <row r="47" spans="1:18" x14ac:dyDescent="0.2">
      <c r="I47" s="264"/>
      <c r="J47" s="264"/>
      <c r="K47" s="264"/>
      <c r="L47" s="264"/>
      <c r="O47" s="274"/>
      <c r="P47" s="274"/>
      <c r="Q47" s="274"/>
      <c r="R47" s="274"/>
    </row>
    <row r="48" spans="1:18" x14ac:dyDescent="0.2">
      <c r="B48" s="1" t="s">
        <v>1657</v>
      </c>
      <c r="C48" s="22"/>
      <c r="D48" s="732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74"/>
      <c r="P48" s="274"/>
      <c r="Q48" s="274"/>
      <c r="R48" s="274"/>
    </row>
    <row r="49" spans="1:18" x14ac:dyDescent="0.2">
      <c r="B49" s="1"/>
      <c r="C49" s="22"/>
      <c r="D49" s="732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74"/>
      <c r="P49" s="274"/>
      <c r="Q49" s="274"/>
      <c r="R49" s="274"/>
    </row>
    <row r="50" spans="1:18" x14ac:dyDescent="0.2">
      <c r="B50" s="264"/>
      <c r="C50" s="1"/>
      <c r="D50" s="22"/>
      <c r="E50" s="732"/>
      <c r="F50" s="431" t="s">
        <v>203</v>
      </c>
      <c r="G50" s="494" t="s">
        <v>207</v>
      </c>
      <c r="H50" s="264"/>
      <c r="I50" s="264"/>
      <c r="J50" s="264"/>
      <c r="K50" s="264"/>
      <c r="L50" s="264"/>
      <c r="M50" s="264"/>
      <c r="N50" s="264"/>
      <c r="O50" s="274"/>
      <c r="P50" s="274"/>
      <c r="Q50" s="274"/>
      <c r="R50" s="274"/>
    </row>
    <row r="51" spans="1:18" x14ac:dyDescent="0.2">
      <c r="A51" s="723">
        <f>A46+1</f>
        <v>21</v>
      </c>
      <c r="B51" s="264"/>
      <c r="C51" s="22"/>
      <c r="D51" s="22"/>
      <c r="E51" s="728" t="s">
        <v>1659</v>
      </c>
      <c r="F51" s="729">
        <f>F46</f>
        <v>1414748712.5</v>
      </c>
      <c r="G51" s="284" t="str">
        <f>"Line "&amp;A46&amp;""</f>
        <v>Line 20</v>
      </c>
      <c r="H51" s="264"/>
      <c r="I51" s="264"/>
      <c r="J51" s="264"/>
      <c r="K51" s="264"/>
      <c r="L51" s="264"/>
      <c r="M51" s="264"/>
      <c r="N51" s="264"/>
      <c r="O51" s="274"/>
      <c r="P51" s="274"/>
      <c r="Q51" s="274"/>
      <c r="R51" s="274"/>
    </row>
    <row r="52" spans="1:18" x14ac:dyDescent="0.2">
      <c r="A52" s="723">
        <f>A51+1</f>
        <v>22</v>
      </c>
      <c r="B52" s="264"/>
      <c r="C52" s="22"/>
      <c r="D52" s="22"/>
      <c r="E52" s="740" t="s">
        <v>278</v>
      </c>
      <c r="F52" s="744">
        <f>Allocators!G15</f>
        <v>3.9310790220978262E-2</v>
      </c>
      <c r="G52" s="284" t="str">
        <f>"Allocators WS, Line "&amp;Allocators!A15&amp;""</f>
        <v>Allocators WS, Line 9</v>
      </c>
      <c r="H52" s="264"/>
      <c r="I52" s="264"/>
      <c r="J52" s="264"/>
      <c r="K52" s="264"/>
      <c r="L52" s="264"/>
      <c r="M52" s="264"/>
      <c r="N52" s="264"/>
      <c r="O52" s="274"/>
      <c r="P52" s="274"/>
      <c r="Q52" s="274"/>
      <c r="R52" s="274"/>
    </row>
    <row r="53" spans="1:18" x14ac:dyDescent="0.2">
      <c r="A53" s="723">
        <f>A52+1</f>
        <v>23</v>
      </c>
      <c r="B53" s="264"/>
      <c r="C53" s="22"/>
      <c r="D53" s="22"/>
      <c r="E53" s="740" t="s">
        <v>1660</v>
      </c>
      <c r="F53" s="729">
        <f>F51*F52</f>
        <v>55614889.852486588</v>
      </c>
      <c r="G53" s="284" t="str">
        <f>"Line "&amp;A51&amp;" * Line "&amp;A52&amp;""</f>
        <v>Line 21 * Line 22</v>
      </c>
      <c r="H53" s="264"/>
      <c r="I53" s="264"/>
      <c r="J53" s="264"/>
      <c r="K53" s="264"/>
      <c r="L53" s="264"/>
      <c r="M53" s="264"/>
      <c r="O53" s="274"/>
      <c r="P53" s="274"/>
      <c r="Q53" s="274"/>
      <c r="R53" s="274"/>
    </row>
    <row r="54" spans="1:18" x14ac:dyDescent="0.2">
      <c r="B54" s="22"/>
      <c r="C54" s="22"/>
      <c r="D54" s="740"/>
      <c r="E54" s="729"/>
      <c r="F54" s="264"/>
      <c r="G54" s="264"/>
      <c r="H54" s="264"/>
      <c r="I54" s="264"/>
      <c r="J54" s="264"/>
      <c r="K54" s="264"/>
      <c r="L54" s="264"/>
      <c r="M54" s="264"/>
      <c r="O54" s="274"/>
      <c r="P54" s="274"/>
      <c r="Q54" s="274"/>
      <c r="R54" s="274"/>
    </row>
    <row r="55" spans="1:18" x14ac:dyDescent="0.2">
      <c r="B55" s="1" t="s">
        <v>1658</v>
      </c>
      <c r="C55" s="22"/>
      <c r="D55" s="732"/>
      <c r="E55" s="264"/>
      <c r="F55" s="264"/>
      <c r="G55" s="264"/>
      <c r="H55" s="264"/>
      <c r="I55" s="264"/>
      <c r="J55" s="264"/>
      <c r="K55" s="264"/>
      <c r="L55" s="264"/>
      <c r="M55" s="264"/>
      <c r="O55" s="274"/>
      <c r="P55" s="274"/>
      <c r="Q55" s="274"/>
      <c r="R55" s="274"/>
    </row>
    <row r="56" spans="1:18" x14ac:dyDescent="0.2"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O56" s="746"/>
      <c r="P56" s="84"/>
      <c r="Q56" s="274"/>
      <c r="R56" s="274"/>
    </row>
    <row r="57" spans="1:18" x14ac:dyDescent="0.2">
      <c r="B57" s="264"/>
      <c r="C57" s="264"/>
      <c r="D57" s="264"/>
      <c r="E57" s="264"/>
      <c r="F57" s="431" t="s">
        <v>203</v>
      </c>
      <c r="G57" s="494" t="s">
        <v>207</v>
      </c>
      <c r="H57" s="264"/>
      <c r="I57" s="264"/>
      <c r="J57" s="264"/>
      <c r="K57" s="264"/>
      <c r="L57" s="264"/>
      <c r="M57" s="264"/>
      <c r="O57" s="527"/>
      <c r="P57" s="527"/>
      <c r="Q57" s="274"/>
      <c r="R57" s="274"/>
    </row>
    <row r="58" spans="1:18" x14ac:dyDescent="0.2">
      <c r="A58" s="723">
        <f>A53+1</f>
        <v>24</v>
      </c>
      <c r="B58" s="22"/>
      <c r="C58" s="22"/>
      <c r="E58" s="728" t="s">
        <v>1661</v>
      </c>
      <c r="F58" s="729">
        <f>F45</f>
        <v>1491437244</v>
      </c>
      <c r="G58" s="284" t="str">
        <f>"Line "&amp;A45&amp;""</f>
        <v>Line 19</v>
      </c>
      <c r="H58" s="264"/>
      <c r="I58" s="264"/>
      <c r="J58" s="264"/>
      <c r="K58" s="264"/>
      <c r="L58" s="264"/>
      <c r="M58" s="264"/>
      <c r="O58" s="42"/>
      <c r="P58" s="668"/>
      <c r="Q58" s="274"/>
      <c r="R58" s="274"/>
    </row>
    <row r="59" spans="1:18" x14ac:dyDescent="0.2">
      <c r="A59" s="723">
        <f>A58+1</f>
        <v>25</v>
      </c>
      <c r="B59" s="22"/>
      <c r="C59" s="22"/>
      <c r="E59" s="740" t="s">
        <v>278</v>
      </c>
      <c r="F59" s="744">
        <f>Allocators!G15</f>
        <v>3.9310790220978262E-2</v>
      </c>
      <c r="G59" s="284" t="str">
        <f>"Allocators WS, Line "&amp;Allocators!A15&amp;""</f>
        <v>Allocators WS, Line 9</v>
      </c>
      <c r="H59" s="264"/>
      <c r="I59" s="264"/>
      <c r="J59" s="264"/>
      <c r="K59" s="264"/>
      <c r="L59" s="264"/>
      <c r="M59" s="264"/>
      <c r="O59" s="42"/>
      <c r="P59" s="668"/>
      <c r="Q59" s="274"/>
      <c r="R59" s="274"/>
    </row>
    <row r="60" spans="1:18" x14ac:dyDescent="0.2">
      <c r="A60" s="723">
        <f>A59+1</f>
        <v>26</v>
      </c>
      <c r="B60" s="22"/>
      <c r="C60" s="22"/>
      <c r="E60" s="740" t="s">
        <v>1662</v>
      </c>
      <c r="F60" s="729">
        <f>F58*F59</f>
        <v>58629576.626637973</v>
      </c>
      <c r="G60" s="284" t="str">
        <f>"Line "&amp;A58&amp;" * Line "&amp;A59&amp;""</f>
        <v>Line 24 * Line 25</v>
      </c>
      <c r="H60" s="264"/>
      <c r="I60" s="264"/>
      <c r="J60" s="264"/>
      <c r="K60" s="264"/>
      <c r="L60" s="264"/>
      <c r="M60" s="264"/>
      <c r="Q60" s="274"/>
      <c r="R60" s="274"/>
    </row>
    <row r="61" spans="1:18" x14ac:dyDescent="0.2"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4"/>
      <c r="Q61" s="274"/>
      <c r="R61" s="274"/>
    </row>
    <row r="62" spans="1:18" x14ac:dyDescent="0.2">
      <c r="Q62" s="274"/>
      <c r="R62" s="274"/>
    </row>
    <row r="63" spans="1:18" x14ac:dyDescent="0.2">
      <c r="B63" s="1" t="s">
        <v>1942</v>
      </c>
      <c r="Q63" s="274"/>
      <c r="R63" s="274"/>
    </row>
    <row r="64" spans="1:18" x14ac:dyDescent="0.2">
      <c r="Q64" s="274"/>
      <c r="R64" s="274"/>
    </row>
    <row r="65" spans="1:18" x14ac:dyDescent="0.2">
      <c r="C65" s="1" t="s">
        <v>1931</v>
      </c>
      <c r="D65" s="683"/>
      <c r="E65" s="683"/>
      <c r="F65" s="683"/>
      <c r="G65" s="683"/>
      <c r="H65" s="683"/>
      <c r="I65" s="683"/>
      <c r="J65" s="683"/>
      <c r="K65" s="683"/>
      <c r="L65" s="683"/>
      <c r="M65" s="683"/>
      <c r="Q65" s="274"/>
      <c r="R65" s="274"/>
    </row>
    <row r="66" spans="1:18" x14ac:dyDescent="0.2">
      <c r="A66" s="683"/>
      <c r="D66" s="683"/>
      <c r="E66" s="683"/>
      <c r="F66" s="683"/>
      <c r="G66" s="683"/>
      <c r="H66" s="683"/>
      <c r="I66" s="683"/>
      <c r="J66" s="683"/>
      <c r="K66" s="683"/>
      <c r="L66" s="683"/>
      <c r="M66" s="683"/>
      <c r="Q66" s="274"/>
      <c r="R66" s="274"/>
    </row>
    <row r="67" spans="1:18" x14ac:dyDescent="0.2">
      <c r="A67" s="488"/>
      <c r="C67" s="99" t="s">
        <v>417</v>
      </c>
      <c r="D67" s="99" t="s">
        <v>400</v>
      </c>
      <c r="E67" s="99" t="s">
        <v>401</v>
      </c>
      <c r="F67" s="99" t="s">
        <v>402</v>
      </c>
      <c r="G67" s="99" t="s">
        <v>403</v>
      </c>
      <c r="H67" s="99" t="s">
        <v>404</v>
      </c>
      <c r="I67" s="99" t="s">
        <v>405</v>
      </c>
      <c r="J67" s="99" t="s">
        <v>654</v>
      </c>
      <c r="K67" s="99" t="s">
        <v>1128</v>
      </c>
      <c r="L67" s="99" t="s">
        <v>1145</v>
      </c>
      <c r="M67" s="99" t="s">
        <v>1148</v>
      </c>
      <c r="N67" s="99" t="s">
        <v>1166</v>
      </c>
      <c r="Q67" s="274"/>
      <c r="R67" s="274"/>
    </row>
    <row r="68" spans="1:18" x14ac:dyDescent="0.2">
      <c r="A68" s="264"/>
      <c r="C68" s="286"/>
      <c r="D68" s="264"/>
      <c r="E68" s="264"/>
      <c r="F68" s="264"/>
      <c r="G68" s="264"/>
      <c r="H68" s="264"/>
      <c r="I68" s="264"/>
      <c r="J68" s="264"/>
      <c r="K68" s="264"/>
      <c r="L68" s="264"/>
      <c r="N68" s="286" t="s">
        <v>1501</v>
      </c>
      <c r="O68" s="274"/>
      <c r="P68" s="274"/>
      <c r="Q68" s="274"/>
      <c r="R68" s="274"/>
    </row>
    <row r="69" spans="1:18" x14ac:dyDescent="0.2">
      <c r="A69" s="264"/>
      <c r="C69" s="723" t="s">
        <v>473</v>
      </c>
      <c r="D69" s="264"/>
      <c r="E69" s="264"/>
      <c r="F69" s="264"/>
      <c r="G69" s="264"/>
      <c r="H69" s="264"/>
      <c r="I69" s="264"/>
      <c r="J69" s="264"/>
      <c r="K69" s="264"/>
      <c r="L69" s="264"/>
      <c r="M69" s="264"/>
      <c r="O69" s="274"/>
      <c r="P69" s="274"/>
      <c r="Q69" s="274"/>
      <c r="R69" s="274"/>
    </row>
    <row r="70" spans="1:18" x14ac:dyDescent="0.2">
      <c r="A70" s="264"/>
      <c r="C70" s="723" t="s">
        <v>221</v>
      </c>
      <c r="D70" s="99"/>
      <c r="E70" s="99"/>
      <c r="F70" s="264"/>
      <c r="G70" s="264"/>
      <c r="H70" s="264"/>
      <c r="I70" s="264"/>
      <c r="J70" s="264"/>
      <c r="K70" s="264"/>
      <c r="L70" s="264"/>
      <c r="M70" s="264"/>
      <c r="O70" s="274"/>
      <c r="P70" s="274"/>
      <c r="Q70" s="274"/>
      <c r="R70" s="274"/>
    </row>
    <row r="71" spans="1:18" x14ac:dyDescent="0.2">
      <c r="A71" s="53"/>
      <c r="C71" s="3" t="s">
        <v>220</v>
      </c>
      <c r="D71" s="99">
        <v>350.1</v>
      </c>
      <c r="E71" s="99">
        <v>350.2</v>
      </c>
      <c r="F71" s="99">
        <v>352</v>
      </c>
      <c r="G71" s="99">
        <v>353</v>
      </c>
      <c r="H71" s="99">
        <v>354</v>
      </c>
      <c r="I71" s="99">
        <v>355</v>
      </c>
      <c r="J71" s="99">
        <v>356</v>
      </c>
      <c r="K71" s="99">
        <v>357</v>
      </c>
      <c r="L71" s="99">
        <v>358</v>
      </c>
      <c r="M71" s="99">
        <v>359</v>
      </c>
      <c r="N71" s="3" t="s">
        <v>225</v>
      </c>
      <c r="O71" s="274"/>
      <c r="P71" s="274"/>
      <c r="Q71" s="274"/>
      <c r="R71" s="274"/>
    </row>
    <row r="72" spans="1:18" x14ac:dyDescent="0.2">
      <c r="A72" s="723">
        <f>A60+1</f>
        <v>27</v>
      </c>
      <c r="C72" s="726" t="s">
        <v>209</v>
      </c>
      <c r="D72" s="725">
        <v>0</v>
      </c>
      <c r="E72" s="854">
        <v>167810.66000000015</v>
      </c>
      <c r="F72" s="854">
        <v>814961.84976992011</v>
      </c>
      <c r="G72" s="854">
        <v>2070638.527094841</v>
      </c>
      <c r="H72" s="854">
        <v>1230286.6188451648</v>
      </c>
      <c r="I72" s="854">
        <v>741849.98074245453</v>
      </c>
      <c r="J72" s="854">
        <v>1327939.5887203813</v>
      </c>
      <c r="K72" s="854">
        <v>64981.774160100147</v>
      </c>
      <c r="L72" s="854">
        <v>592321.8315205276</v>
      </c>
      <c r="M72" s="854">
        <v>147708.12548731826</v>
      </c>
      <c r="N72" s="266">
        <f t="shared" ref="N72:N83" si="12">SUM(D72:M72)</f>
        <v>7158498.9563407078</v>
      </c>
      <c r="O72" s="274"/>
      <c r="P72" s="274"/>
      <c r="Q72" s="274"/>
      <c r="R72" s="274"/>
    </row>
    <row r="73" spans="1:18" x14ac:dyDescent="0.2">
      <c r="A73" s="723">
        <f t="shared" ref="A73:A84" si="13">A72+1</f>
        <v>28</v>
      </c>
      <c r="C73" s="724" t="s">
        <v>210</v>
      </c>
      <c r="D73" s="725">
        <v>0</v>
      </c>
      <c r="E73" s="854">
        <v>167851.71000000089</v>
      </c>
      <c r="F73" s="854">
        <v>665401.3852969259</v>
      </c>
      <c r="G73" s="854">
        <v>12691999.206107736</v>
      </c>
      <c r="H73" s="854">
        <v>865178.84559941292</v>
      </c>
      <c r="I73" s="854">
        <v>966224.74806234241</v>
      </c>
      <c r="J73" s="854">
        <v>1591168.5208147168</v>
      </c>
      <c r="K73" s="854">
        <v>65012.282833287492</v>
      </c>
      <c r="L73" s="854">
        <v>604948.63168604672</v>
      </c>
      <c r="M73" s="854">
        <v>147387.60317955539</v>
      </c>
      <c r="N73" s="266">
        <f t="shared" si="12"/>
        <v>17765172.933580022</v>
      </c>
      <c r="P73" s="274"/>
      <c r="Q73" s="274"/>
      <c r="R73" s="274"/>
    </row>
    <row r="74" spans="1:18" x14ac:dyDescent="0.2">
      <c r="A74" s="723">
        <f t="shared" si="13"/>
        <v>29</v>
      </c>
      <c r="C74" s="724" t="s">
        <v>223</v>
      </c>
      <c r="D74" s="725">
        <v>0</v>
      </c>
      <c r="E74" s="854">
        <v>188352.29999996722</v>
      </c>
      <c r="F74" s="854">
        <v>742306.67783252895</v>
      </c>
      <c r="G74" s="854">
        <v>40889476.979403257</v>
      </c>
      <c r="H74" s="854">
        <v>-20659714.07149756</v>
      </c>
      <c r="I74" s="854">
        <v>-619298.78097620606</v>
      </c>
      <c r="J74" s="854">
        <v>-7847066.2506905794</v>
      </c>
      <c r="K74" s="854">
        <v>62086.217878742144</v>
      </c>
      <c r="L74" s="854">
        <v>215925.48910956085</v>
      </c>
      <c r="M74" s="854">
        <v>-5886324.5986132305</v>
      </c>
      <c r="N74" s="266">
        <f t="shared" si="12"/>
        <v>7085743.962446481</v>
      </c>
      <c r="P74" s="274"/>
      <c r="Q74" s="274"/>
      <c r="R74" s="274"/>
    </row>
    <row r="75" spans="1:18" x14ac:dyDescent="0.2">
      <c r="A75" s="723">
        <f t="shared" si="13"/>
        <v>30</v>
      </c>
      <c r="C75" s="726" t="s">
        <v>211</v>
      </c>
      <c r="D75" s="725">
        <v>0</v>
      </c>
      <c r="E75" s="854">
        <v>193576.33999999985</v>
      </c>
      <c r="F75" s="854">
        <v>770605.31718766689</v>
      </c>
      <c r="G75" s="854">
        <v>7782971.4348240495</v>
      </c>
      <c r="H75" s="854">
        <v>622736.28549921513</v>
      </c>
      <c r="I75" s="854">
        <v>1442456.8073290884</v>
      </c>
      <c r="J75" s="854">
        <v>337060.20125675201</v>
      </c>
      <c r="K75" s="854">
        <v>62469.71255021356</v>
      </c>
      <c r="L75" s="854">
        <v>300368.4795256108</v>
      </c>
      <c r="M75" s="854">
        <v>-222091.07271349803</v>
      </c>
      <c r="N75" s="266">
        <f t="shared" si="12"/>
        <v>11290153.505459098</v>
      </c>
      <c r="P75" s="274"/>
      <c r="Q75" s="274"/>
      <c r="R75" s="274"/>
    </row>
    <row r="76" spans="1:18" x14ac:dyDescent="0.2">
      <c r="A76" s="723">
        <f t="shared" si="13"/>
        <v>31</v>
      </c>
      <c r="C76" s="724" t="s">
        <v>212</v>
      </c>
      <c r="D76" s="725">
        <v>0</v>
      </c>
      <c r="E76" s="854">
        <v>193807.30999999866</v>
      </c>
      <c r="F76" s="854">
        <v>678265.29320071638</v>
      </c>
      <c r="G76" s="854">
        <v>2177370.1276789904</v>
      </c>
      <c r="H76" s="854">
        <v>1457532.0409268737</v>
      </c>
      <c r="I76" s="854">
        <v>-477275.40949478745</v>
      </c>
      <c r="J76" s="854">
        <v>-272593.15061080456</v>
      </c>
      <c r="K76" s="854">
        <v>62361.263213606551</v>
      </c>
      <c r="L76" s="854">
        <v>554962.20779311657</v>
      </c>
      <c r="M76" s="854">
        <v>-575504.52124876343</v>
      </c>
      <c r="N76" s="266">
        <f t="shared" si="12"/>
        <v>3798925.1614589468</v>
      </c>
    </row>
    <row r="77" spans="1:18" x14ac:dyDescent="0.2">
      <c r="A77" s="723">
        <f t="shared" si="13"/>
        <v>32</v>
      </c>
      <c r="C77" s="724" t="s">
        <v>213</v>
      </c>
      <c r="D77" s="725">
        <v>0</v>
      </c>
      <c r="E77" s="854">
        <v>2381983.6000000015</v>
      </c>
      <c r="F77" s="854">
        <v>659556.0837880224</v>
      </c>
      <c r="G77" s="854">
        <v>2128273.6877148747</v>
      </c>
      <c r="H77" s="854">
        <v>1320206.8220448494</v>
      </c>
      <c r="I77" s="854">
        <v>-957353.49249392748</v>
      </c>
      <c r="J77" s="854">
        <v>321353.87428945303</v>
      </c>
      <c r="K77" s="854">
        <v>62125.658625546843</v>
      </c>
      <c r="L77" s="854">
        <v>575044.96850483119</v>
      </c>
      <c r="M77" s="854">
        <v>-155064.35492205434</v>
      </c>
      <c r="N77" s="266">
        <f t="shared" si="12"/>
        <v>6336126.8475515973</v>
      </c>
    </row>
    <row r="78" spans="1:18" x14ac:dyDescent="0.2">
      <c r="A78" s="723">
        <f t="shared" si="13"/>
        <v>33</v>
      </c>
      <c r="C78" s="726" t="s">
        <v>214</v>
      </c>
      <c r="D78" s="725">
        <v>0</v>
      </c>
      <c r="E78" s="854">
        <v>-1991514.4699999988</v>
      </c>
      <c r="F78" s="854">
        <v>860771.95232221484</v>
      </c>
      <c r="G78" s="854">
        <v>6204264.8764342666</v>
      </c>
      <c r="H78" s="854">
        <v>1968712.5670625567</v>
      </c>
      <c r="I78" s="854">
        <v>1226151.1872876883</v>
      </c>
      <c r="J78" s="854">
        <v>1502617.166852653</v>
      </c>
      <c r="K78" s="854">
        <v>460092.84171300754</v>
      </c>
      <c r="L78" s="854">
        <v>105687.93362344801</v>
      </c>
      <c r="M78" s="854">
        <v>255181.60232202336</v>
      </c>
      <c r="N78" s="266">
        <f t="shared" si="12"/>
        <v>10591965.65761786</v>
      </c>
    </row>
    <row r="79" spans="1:18" x14ac:dyDescent="0.2">
      <c r="A79" s="723">
        <f t="shared" si="13"/>
        <v>34</v>
      </c>
      <c r="C79" s="724" t="s">
        <v>215</v>
      </c>
      <c r="D79" s="725">
        <v>0</v>
      </c>
      <c r="E79" s="854">
        <v>193590.26000000164</v>
      </c>
      <c r="F79" s="854">
        <v>844495.84418736398</v>
      </c>
      <c r="G79" s="854">
        <v>-2390343.9815137982</v>
      </c>
      <c r="H79" s="854">
        <v>-815073.2969956398</v>
      </c>
      <c r="I79" s="854">
        <v>-350146.82792195678</v>
      </c>
      <c r="J79" s="854">
        <v>-878469.57694834471</v>
      </c>
      <c r="K79" s="854">
        <v>-560041.94508457556</v>
      </c>
      <c r="L79" s="854">
        <v>550023.0842538774</v>
      </c>
      <c r="M79" s="854">
        <v>-1440502.2918672357</v>
      </c>
      <c r="N79" s="266">
        <f t="shared" si="12"/>
        <v>-4846468.7318903077</v>
      </c>
    </row>
    <row r="80" spans="1:18" x14ac:dyDescent="0.2">
      <c r="A80" s="723">
        <f t="shared" si="13"/>
        <v>35</v>
      </c>
      <c r="C80" s="724" t="s">
        <v>216</v>
      </c>
      <c r="D80" s="725">
        <v>0</v>
      </c>
      <c r="E80" s="854">
        <v>198461.53999999724</v>
      </c>
      <c r="F80" s="854">
        <v>629130.4105078131</v>
      </c>
      <c r="G80" s="854">
        <v>5307438.2028053999</v>
      </c>
      <c r="H80" s="854">
        <v>1207190.5898022652</v>
      </c>
      <c r="I80" s="854">
        <v>640432.42635539174</v>
      </c>
      <c r="J80" s="854">
        <v>439527.41402339935</v>
      </c>
      <c r="K80" s="854">
        <v>59816.158177768812</v>
      </c>
      <c r="L80" s="854">
        <v>722525.16389723122</v>
      </c>
      <c r="M80" s="854">
        <v>-1060507.7815606799</v>
      </c>
      <c r="N80" s="266">
        <f t="shared" si="12"/>
        <v>8144014.1240085866</v>
      </c>
    </row>
    <row r="81" spans="1:15" x14ac:dyDescent="0.2">
      <c r="A81" s="723">
        <f t="shared" si="13"/>
        <v>36</v>
      </c>
      <c r="C81" s="726" t="s">
        <v>219</v>
      </c>
      <c r="D81" s="725">
        <v>0</v>
      </c>
      <c r="E81" s="854">
        <v>198033.74000000022</v>
      </c>
      <c r="F81" s="854">
        <v>740073.63695108891</v>
      </c>
      <c r="G81" s="854">
        <v>-96572254.522458136</v>
      </c>
      <c r="H81" s="854">
        <v>-1378146.6411350369</v>
      </c>
      <c r="I81" s="854">
        <v>-1098404.7819722891</v>
      </c>
      <c r="J81" s="854">
        <v>-2291007.5462396741</v>
      </c>
      <c r="K81" s="854">
        <v>60859.288995388895</v>
      </c>
      <c r="L81" s="854">
        <v>562650.04583768547</v>
      </c>
      <c r="M81" s="854">
        <v>385358.26540438645</v>
      </c>
      <c r="N81" s="266">
        <f t="shared" si="12"/>
        <v>-99392838.514616594</v>
      </c>
    </row>
    <row r="82" spans="1:15" x14ac:dyDescent="0.2">
      <c r="A82" s="723">
        <f t="shared" si="13"/>
        <v>37</v>
      </c>
      <c r="C82" s="726" t="s">
        <v>218</v>
      </c>
      <c r="D82" s="725">
        <v>0</v>
      </c>
      <c r="E82" s="854">
        <v>197760.10000000149</v>
      </c>
      <c r="F82" s="854">
        <v>-546440.73900134861</v>
      </c>
      <c r="G82" s="854">
        <v>82550310.502804816</v>
      </c>
      <c r="H82" s="854">
        <v>505310.26067119837</v>
      </c>
      <c r="I82" s="854">
        <v>-2312288.766646117</v>
      </c>
      <c r="J82" s="854">
        <v>17855.886557459831</v>
      </c>
      <c r="K82" s="854">
        <v>67489.298081386834</v>
      </c>
      <c r="L82" s="854">
        <v>-1119959.3825962096</v>
      </c>
      <c r="M82" s="854">
        <v>-395970.27124787681</v>
      </c>
      <c r="N82" s="266">
        <f t="shared" si="12"/>
        <v>78964066.888623312</v>
      </c>
    </row>
    <row r="83" spans="1:15" x14ac:dyDescent="0.2">
      <c r="A83" s="723">
        <f t="shared" si="13"/>
        <v>38</v>
      </c>
      <c r="C83" s="724" t="s">
        <v>208</v>
      </c>
      <c r="D83" s="138">
        <v>0</v>
      </c>
      <c r="E83" s="854">
        <v>170903.8099999968</v>
      </c>
      <c r="F83" s="854">
        <v>3652680.3408108354</v>
      </c>
      <c r="G83" s="854">
        <v>7275510.5513979197</v>
      </c>
      <c r="H83" s="854">
        <v>-4360718.712061882</v>
      </c>
      <c r="I83" s="854">
        <v>-573900.54144844413</v>
      </c>
      <c r="J83" s="854">
        <v>-6049237.2996422052</v>
      </c>
      <c r="K83" s="854">
        <v>66360.730680782348</v>
      </c>
      <c r="L83" s="854">
        <v>175225.12247663736</v>
      </c>
      <c r="M83" s="854">
        <v>-4245377.0414540842</v>
      </c>
      <c r="N83" s="430">
        <f t="shared" si="12"/>
        <v>-3888553.0392404441</v>
      </c>
      <c r="O83" s="274"/>
    </row>
    <row r="84" spans="1:15" x14ac:dyDescent="0.2">
      <c r="A84" s="723">
        <f t="shared" si="13"/>
        <v>39</v>
      </c>
      <c r="C84" s="727" t="s">
        <v>4</v>
      </c>
      <c r="D84" s="266">
        <f>SUM(D72:D83)</f>
        <v>0</v>
      </c>
      <c r="E84" s="266">
        <f t="shared" ref="E84:M84" si="14">SUM(E72:E83)</f>
        <v>2260616.8999999668</v>
      </c>
      <c r="F84" s="266">
        <f t="shared" si="14"/>
        <v>10511808.052853748</v>
      </c>
      <c r="G84" s="266">
        <f t="shared" si="14"/>
        <v>70115655.592294216</v>
      </c>
      <c r="H84" s="266">
        <f t="shared" si="14"/>
        <v>-18036498.691238582</v>
      </c>
      <c r="I84" s="266">
        <f t="shared" si="14"/>
        <v>-1371553.4511767626</v>
      </c>
      <c r="J84" s="266">
        <f t="shared" si="14"/>
        <v>-11800851.171616793</v>
      </c>
      <c r="K84" s="266">
        <f t="shared" si="14"/>
        <v>533613.2818252556</v>
      </c>
      <c r="L84" s="266">
        <f t="shared" si="14"/>
        <v>3839723.5756323636</v>
      </c>
      <c r="M84" s="266">
        <f t="shared" si="14"/>
        <v>-13045706.337234139</v>
      </c>
      <c r="N84" s="266">
        <f>SUM(N72:N83)</f>
        <v>43006807.751339264</v>
      </c>
      <c r="O84" s="274"/>
    </row>
    <row r="86" spans="1:15" x14ac:dyDescent="0.2">
      <c r="C86" s="1" t="s">
        <v>1947</v>
      </c>
      <c r="D86" s="683"/>
      <c r="E86" s="683"/>
      <c r="F86" s="683"/>
      <c r="G86" s="683"/>
      <c r="H86" s="683"/>
      <c r="I86" s="683"/>
      <c r="J86" s="683"/>
      <c r="K86" s="683"/>
      <c r="L86" s="683"/>
    </row>
    <row r="87" spans="1:15" x14ac:dyDescent="0.2">
      <c r="A87" s="683"/>
      <c r="C87" s="683"/>
      <c r="D87" s="683"/>
      <c r="E87" s="683"/>
      <c r="F87" s="683"/>
      <c r="G87" s="683"/>
      <c r="H87" s="683"/>
      <c r="I87" s="683"/>
      <c r="J87" s="683"/>
      <c r="K87" s="683"/>
      <c r="L87" s="683"/>
    </row>
    <row r="88" spans="1:15" x14ac:dyDescent="0.2">
      <c r="A88" s="488"/>
      <c r="C88" s="99" t="s">
        <v>417</v>
      </c>
      <c r="D88" s="99" t="s">
        <v>400</v>
      </c>
      <c r="E88" s="99" t="s">
        <v>401</v>
      </c>
      <c r="F88" s="99" t="s">
        <v>402</v>
      </c>
      <c r="G88" s="99" t="s">
        <v>403</v>
      </c>
      <c r="H88" s="99" t="s">
        <v>404</v>
      </c>
      <c r="I88" s="99" t="s">
        <v>405</v>
      </c>
      <c r="J88" s="99" t="s">
        <v>654</v>
      </c>
      <c r="K88" s="99" t="s">
        <v>1128</v>
      </c>
      <c r="L88" s="99" t="s">
        <v>1145</v>
      </c>
      <c r="M88" s="99" t="s">
        <v>1148</v>
      </c>
      <c r="N88" s="99" t="s">
        <v>1166</v>
      </c>
    </row>
    <row r="89" spans="1:15" x14ac:dyDescent="0.2">
      <c r="A89" s="264"/>
      <c r="C89" s="286"/>
      <c r="D89" s="264"/>
      <c r="E89" s="264"/>
      <c r="F89" s="264"/>
      <c r="G89" s="264"/>
      <c r="H89" s="264"/>
      <c r="I89" s="264"/>
      <c r="J89" s="264"/>
      <c r="K89" s="264"/>
      <c r="L89" s="264"/>
      <c r="N89" s="286" t="s">
        <v>1501</v>
      </c>
    </row>
    <row r="90" spans="1:15" x14ac:dyDescent="0.2">
      <c r="A90" s="264"/>
      <c r="C90" s="723" t="s">
        <v>473</v>
      </c>
      <c r="D90" s="264"/>
      <c r="E90" s="264"/>
      <c r="F90" s="264"/>
      <c r="G90" s="264"/>
      <c r="H90" s="264"/>
      <c r="I90" s="264"/>
      <c r="J90" s="264"/>
      <c r="K90" s="264"/>
      <c r="L90" s="264"/>
      <c r="M90" s="264"/>
    </row>
    <row r="91" spans="1:15" x14ac:dyDescent="0.2">
      <c r="A91" s="264"/>
      <c r="C91" s="723" t="s">
        <v>221</v>
      </c>
      <c r="D91" s="99"/>
      <c r="E91" s="99"/>
      <c r="F91" s="264"/>
      <c r="G91" s="264"/>
      <c r="H91" s="264"/>
      <c r="I91" s="264"/>
      <c r="J91" s="264"/>
      <c r="K91" s="264"/>
      <c r="L91" s="264"/>
      <c r="M91" s="264"/>
    </row>
    <row r="92" spans="1:15" x14ac:dyDescent="0.2">
      <c r="A92" s="53"/>
      <c r="C92" s="3" t="s">
        <v>220</v>
      </c>
      <c r="D92" s="99">
        <v>350.1</v>
      </c>
      <c r="E92" s="99">
        <v>350.2</v>
      </c>
      <c r="F92" s="99">
        <v>352</v>
      </c>
      <c r="G92" s="99">
        <v>353</v>
      </c>
      <c r="H92" s="99">
        <v>354</v>
      </c>
      <c r="I92" s="99">
        <v>355</v>
      </c>
      <c r="J92" s="99">
        <v>356</v>
      </c>
      <c r="K92" s="99">
        <v>357</v>
      </c>
      <c r="L92" s="99">
        <v>358</v>
      </c>
      <c r="M92" s="99">
        <v>359</v>
      </c>
      <c r="N92" s="3" t="s">
        <v>225</v>
      </c>
    </row>
    <row r="93" spans="1:15" x14ac:dyDescent="0.2">
      <c r="A93" s="723">
        <f>A84+1</f>
        <v>40</v>
      </c>
      <c r="C93" s="726" t="s">
        <v>209</v>
      </c>
      <c r="D93" s="700">
        <f>Depreciation!C35</f>
        <v>0</v>
      </c>
      <c r="E93" s="700">
        <f>Depreciation!D35</f>
        <v>113559.19004926557</v>
      </c>
      <c r="F93" s="700">
        <f>Depreciation!E35</f>
        <v>366113.69863095414</v>
      </c>
      <c r="G93" s="700">
        <f>Depreciation!F35</f>
        <v>3835050.3675270141</v>
      </c>
      <c r="H93" s="700">
        <f>Depreciation!G35</f>
        <v>1160672.9305967521</v>
      </c>
      <c r="I93" s="700">
        <f>Depreciation!H35</f>
        <v>420438.92145270528</v>
      </c>
      <c r="J93" s="700">
        <f>Depreciation!I35</f>
        <v>1230519.9760836035</v>
      </c>
      <c r="K93" s="700">
        <f>Depreciation!J35</f>
        <v>768.546715274044</v>
      </c>
      <c r="L93" s="700">
        <f>Depreciation!K35</f>
        <v>10992.748321875633</v>
      </c>
      <c r="M93" s="700">
        <f>Depreciation!L35</f>
        <v>143458.12914229461</v>
      </c>
      <c r="N93" s="266">
        <f t="shared" ref="N93:N104" si="15">SUM(D93:M93)</f>
        <v>7281574.5085197408</v>
      </c>
    </row>
    <row r="94" spans="1:15" x14ac:dyDescent="0.2">
      <c r="A94" s="723">
        <f t="shared" ref="A94:A105" si="16">A93+1</f>
        <v>41</v>
      </c>
      <c r="C94" s="724" t="s">
        <v>210</v>
      </c>
      <c r="D94" s="700">
        <f>Depreciation!C36</f>
        <v>0</v>
      </c>
      <c r="E94" s="700">
        <f>Depreciation!D36</f>
        <v>113591.1287439874</v>
      </c>
      <c r="F94" s="700">
        <f>Depreciation!E36</f>
        <v>365450.17709631915</v>
      </c>
      <c r="G94" s="700">
        <f>Depreciation!F36</f>
        <v>3832046.9407999567</v>
      </c>
      <c r="H94" s="700">
        <f>Depreciation!G36</f>
        <v>1163424.4692797924</v>
      </c>
      <c r="I94" s="700">
        <f>Depreciation!H36</f>
        <v>424013.62052046321</v>
      </c>
      <c r="J94" s="700">
        <f>Depreciation!I36</f>
        <v>1232150.571026617</v>
      </c>
      <c r="K94" s="700">
        <f>Depreciation!J36</f>
        <v>768.66831563174355</v>
      </c>
      <c r="L94" s="700">
        <f>Depreciation!K36</f>
        <v>11492.439241571483</v>
      </c>
      <c r="M94" s="700">
        <f>Depreciation!L36</f>
        <v>143458.004434159</v>
      </c>
      <c r="N94" s="266">
        <f t="shared" si="15"/>
        <v>7286396.0194584969</v>
      </c>
    </row>
    <row r="95" spans="1:15" x14ac:dyDescent="0.2">
      <c r="A95" s="723">
        <f t="shared" si="16"/>
        <v>42</v>
      </c>
      <c r="C95" s="724" t="s">
        <v>223</v>
      </c>
      <c r="D95" s="700">
        <f>Depreciation!C37</f>
        <v>0</v>
      </c>
      <c r="E95" s="700">
        <f>Depreciation!D37</f>
        <v>136512.79300033741</v>
      </c>
      <c r="F95" s="700">
        <f>Depreciation!E37</f>
        <v>424525.98233087384</v>
      </c>
      <c r="G95" s="700">
        <f>Depreciation!F37</f>
        <v>4103911.7919028136</v>
      </c>
      <c r="H95" s="700">
        <f>Depreciation!G37</f>
        <v>1163812.4592458885</v>
      </c>
      <c r="I95" s="700">
        <f>Depreciation!H37</f>
        <v>425262.2869767691</v>
      </c>
      <c r="J95" s="700">
        <f>Depreciation!I37</f>
        <v>1232773.8139206718</v>
      </c>
      <c r="K95" s="700">
        <f>Depreciation!J37</f>
        <v>671.77149830905057</v>
      </c>
      <c r="L95" s="700">
        <f>Depreciation!K37</f>
        <v>11632.177061667062</v>
      </c>
      <c r="M95" s="700">
        <f>Depreciation!L37</f>
        <v>143333.93579739041</v>
      </c>
      <c r="N95" s="266">
        <f t="shared" si="15"/>
        <v>7642437.0117347213</v>
      </c>
    </row>
    <row r="96" spans="1:15" x14ac:dyDescent="0.2">
      <c r="A96" s="723">
        <f t="shared" si="16"/>
        <v>43</v>
      </c>
      <c r="C96" s="726" t="s">
        <v>211</v>
      </c>
      <c r="D96" s="700">
        <f>Depreciation!C38</f>
        <v>0</v>
      </c>
      <c r="E96" s="700">
        <f>Depreciation!D38</f>
        <v>138219.71245846665</v>
      </c>
      <c r="F96" s="700">
        <f>Depreciation!E38</f>
        <v>423568.09686693078</v>
      </c>
      <c r="G96" s="700">
        <f>Depreciation!F38</f>
        <v>4100375.7202812671</v>
      </c>
      <c r="H96" s="700">
        <f>Depreciation!G38</f>
        <v>1164484.6514453224</v>
      </c>
      <c r="I96" s="700">
        <f>Depreciation!H38</f>
        <v>427796.78218858084</v>
      </c>
      <c r="J96" s="700">
        <f>Depreciation!I38</f>
        <v>1233470.4816055214</v>
      </c>
      <c r="K96" s="700">
        <f>Depreciation!J38</f>
        <v>676.05305209139033</v>
      </c>
      <c r="L96" s="700">
        <f>Depreciation!K38</f>
        <v>11588.478441259291</v>
      </c>
      <c r="M96" s="700">
        <f>Depreciation!L38</f>
        <v>142761.02705350792</v>
      </c>
      <c r="N96" s="266">
        <f t="shared" si="15"/>
        <v>7642941.0033929469</v>
      </c>
    </row>
    <row r="97" spans="1:14" x14ac:dyDescent="0.2">
      <c r="A97" s="723">
        <f t="shared" si="16"/>
        <v>44</v>
      </c>
      <c r="C97" s="724" t="s">
        <v>212</v>
      </c>
      <c r="D97" s="700">
        <f>Depreciation!C39</f>
        <v>0</v>
      </c>
      <c r="E97" s="700">
        <f>Depreciation!D39</f>
        <v>138185.5196890932</v>
      </c>
      <c r="F97" s="700">
        <f>Depreciation!E39</f>
        <v>418768.50075496285</v>
      </c>
      <c r="G97" s="700">
        <f>Depreciation!F39</f>
        <v>4093875.1104106605</v>
      </c>
      <c r="H97" s="700">
        <f>Depreciation!G39</f>
        <v>1312521.3364255682</v>
      </c>
      <c r="I97" s="700">
        <f>Depreciation!H39</f>
        <v>433658.54169315123</v>
      </c>
      <c r="J97" s="700">
        <f>Depreciation!I39</f>
        <v>1351571.2614935846</v>
      </c>
      <c r="K97" s="700">
        <f>Depreciation!J39</f>
        <v>676.00635689469561</v>
      </c>
      <c r="L97" s="700">
        <f>Depreciation!K39</f>
        <v>11585.28472737901</v>
      </c>
      <c r="M97" s="700">
        <f>Depreciation!L39</f>
        <v>160471.3900189063</v>
      </c>
      <c r="N97" s="266">
        <f t="shared" si="15"/>
        <v>7921312.9515702007</v>
      </c>
    </row>
    <row r="98" spans="1:14" x14ac:dyDescent="0.2">
      <c r="A98" s="723">
        <f t="shared" si="16"/>
        <v>45</v>
      </c>
      <c r="C98" s="724" t="s">
        <v>213</v>
      </c>
      <c r="D98" s="700">
        <f>Depreciation!C40</f>
        <v>0</v>
      </c>
      <c r="E98" s="700">
        <f>Depreciation!D40</f>
        <v>138260.38347926212</v>
      </c>
      <c r="F98" s="700">
        <f>Depreciation!E40</f>
        <v>415625.26487863105</v>
      </c>
      <c r="G98" s="700">
        <f>Depreciation!F40</f>
        <v>4086880.6127978093</v>
      </c>
      <c r="H98" s="700">
        <f>Depreciation!G40</f>
        <v>1310067.2978409245</v>
      </c>
      <c r="I98" s="700">
        <f>Depreciation!H40</f>
        <v>432800.95980273752</v>
      </c>
      <c r="J98" s="700">
        <f>Depreciation!I40</f>
        <v>1350268.7750856958</v>
      </c>
      <c r="K98" s="700">
        <f>Depreciation!J40</f>
        <v>696.96975920447721</v>
      </c>
      <c r="L98" s="700">
        <f>Depreciation!K40</f>
        <v>11749.380952123762</v>
      </c>
      <c r="M98" s="700">
        <f>Depreciation!L40</f>
        <v>160497.76224608804</v>
      </c>
      <c r="N98" s="266">
        <f t="shared" si="15"/>
        <v>7906847.4068424767</v>
      </c>
    </row>
    <row r="99" spans="1:14" x14ac:dyDescent="0.2">
      <c r="A99" s="723">
        <f t="shared" si="16"/>
        <v>46</v>
      </c>
      <c r="C99" s="726" t="s">
        <v>214</v>
      </c>
      <c r="D99" s="700">
        <f>Depreciation!C41</f>
        <v>0</v>
      </c>
      <c r="E99" s="700">
        <f>Depreciation!D41</f>
        <v>138078.37878575546</v>
      </c>
      <c r="F99" s="700">
        <f>Depreciation!E41</f>
        <v>400346.98985050013</v>
      </c>
      <c r="G99" s="700">
        <f>Depreciation!F41</f>
        <v>4074431.3526323107</v>
      </c>
      <c r="H99" s="700">
        <f>Depreciation!G41</f>
        <v>1309606.1436721582</v>
      </c>
      <c r="I99" s="700">
        <f>Depreciation!H41</f>
        <v>434596.68294513348</v>
      </c>
      <c r="J99" s="700">
        <f>Depreciation!I41</f>
        <v>1351171.0810980711</v>
      </c>
      <c r="K99" s="700">
        <f>Depreciation!J41</f>
        <v>787.36207330993022</v>
      </c>
      <c r="L99" s="700">
        <f>Depreciation!K41</f>
        <v>11931.601717875174</v>
      </c>
      <c r="M99" s="700">
        <f>Depreciation!L41</f>
        <v>160408.46688009903</v>
      </c>
      <c r="N99" s="266">
        <f t="shared" si="15"/>
        <v>7881358.0596552128</v>
      </c>
    </row>
    <row r="100" spans="1:14" x14ac:dyDescent="0.2">
      <c r="A100" s="723">
        <f t="shared" si="16"/>
        <v>47</v>
      </c>
      <c r="C100" s="724" t="s">
        <v>215</v>
      </c>
      <c r="D100" s="700">
        <f>Depreciation!C42</f>
        <v>0</v>
      </c>
      <c r="E100" s="700">
        <f>Depreciation!D42</f>
        <v>138078.38528634896</v>
      </c>
      <c r="F100" s="700">
        <f>Depreciation!E42</f>
        <v>385893.48944018479</v>
      </c>
      <c r="G100" s="700">
        <f>Depreciation!F42</f>
        <v>4096154.4069868685</v>
      </c>
      <c r="H100" s="700">
        <f>Depreciation!G42</f>
        <v>1310281.8634488424</v>
      </c>
      <c r="I100" s="700">
        <f>Depreciation!H42</f>
        <v>441087.36165150598</v>
      </c>
      <c r="J100" s="700">
        <f>Depreciation!I42</f>
        <v>1367668.5271322613</v>
      </c>
      <c r="K100" s="700">
        <f>Depreciation!J42</f>
        <v>780.1286566110216</v>
      </c>
      <c r="L100" s="700">
        <f>Depreciation!K42</f>
        <v>11884.433379330088</v>
      </c>
      <c r="M100" s="700">
        <f>Depreciation!L42</f>
        <v>160567.07912782385</v>
      </c>
      <c r="N100" s="266">
        <f t="shared" si="15"/>
        <v>7912395.6751097767</v>
      </c>
    </row>
    <row r="101" spans="1:14" x14ac:dyDescent="0.2">
      <c r="A101" s="723">
        <f t="shared" si="16"/>
        <v>48</v>
      </c>
      <c r="C101" s="724" t="s">
        <v>216</v>
      </c>
      <c r="D101" s="700">
        <f>Depreciation!C43</f>
        <v>0</v>
      </c>
      <c r="E101" s="700">
        <f>Depreciation!D43</f>
        <v>143020.66790766374</v>
      </c>
      <c r="F101" s="700">
        <f>Depreciation!E43</f>
        <v>395700.11855089857</v>
      </c>
      <c r="G101" s="700">
        <f>Depreciation!F43</f>
        <v>4327184.1580817299</v>
      </c>
      <c r="H101" s="700">
        <f>Depreciation!G43</f>
        <v>1321706.1763872618</v>
      </c>
      <c r="I101" s="700">
        <f>Depreciation!H43</f>
        <v>445054.42031838553</v>
      </c>
      <c r="J101" s="700">
        <f>Depreciation!I43</f>
        <v>1342907.1475732808</v>
      </c>
      <c r="K101" s="700">
        <f>Depreciation!J43</f>
        <v>780.12330100552299</v>
      </c>
      <c r="L101" s="700">
        <f>Depreciation!K43</f>
        <v>11879.142417818337</v>
      </c>
      <c r="M101" s="700">
        <f>Depreciation!L43</f>
        <v>160882.47688245002</v>
      </c>
      <c r="N101" s="266">
        <f t="shared" si="15"/>
        <v>8149114.4314204948</v>
      </c>
    </row>
    <row r="102" spans="1:14" x14ac:dyDescent="0.2">
      <c r="A102" s="723">
        <f t="shared" si="16"/>
        <v>49</v>
      </c>
      <c r="C102" s="726" t="s">
        <v>219</v>
      </c>
      <c r="D102" s="700">
        <f>Depreciation!C44</f>
        <v>0</v>
      </c>
      <c r="E102" s="700">
        <f>Depreciation!D44</f>
        <v>142767.90901196341</v>
      </c>
      <c r="F102" s="700">
        <f>Depreciation!E44</f>
        <v>388050.42710223928</v>
      </c>
      <c r="G102" s="700">
        <f>Depreciation!F44</f>
        <v>4324553.5075277528</v>
      </c>
      <c r="H102" s="700">
        <f>Depreciation!G44</f>
        <v>1325648.4059040311</v>
      </c>
      <c r="I102" s="700">
        <f>Depreciation!H44</f>
        <v>451347.78024628549</v>
      </c>
      <c r="J102" s="700">
        <f>Depreciation!I44</f>
        <v>1343326.9996394459</v>
      </c>
      <c r="K102" s="700">
        <f>Depreciation!J44</f>
        <v>780.87429624732488</v>
      </c>
      <c r="L102" s="700">
        <f>Depreciation!K44</f>
        <v>11873.908880155694</v>
      </c>
      <c r="M102" s="700">
        <f>Depreciation!L44</f>
        <v>161189.1898301763</v>
      </c>
      <c r="N102" s="266">
        <f t="shared" si="15"/>
        <v>8149539.0024382975</v>
      </c>
    </row>
    <row r="103" spans="1:14" x14ac:dyDescent="0.2">
      <c r="A103" s="723">
        <f t="shared" si="16"/>
        <v>50</v>
      </c>
      <c r="C103" s="726" t="s">
        <v>218</v>
      </c>
      <c r="D103" s="700">
        <f>Depreciation!C45</f>
        <v>0</v>
      </c>
      <c r="E103" s="700">
        <f>Depreciation!D45</f>
        <v>142747.20364613392</v>
      </c>
      <c r="F103" s="700">
        <f>Depreciation!E45</f>
        <v>378904.10572366853</v>
      </c>
      <c r="G103" s="700">
        <f>Depreciation!F45</f>
        <v>4351009.0917947609</v>
      </c>
      <c r="H103" s="700">
        <f>Depreciation!G45</f>
        <v>1327721.3531748685</v>
      </c>
      <c r="I103" s="700">
        <f>Depreciation!H45</f>
        <v>452590.51039797929</v>
      </c>
      <c r="J103" s="700">
        <f>Depreciation!I45</f>
        <v>1344806.0437694078</v>
      </c>
      <c r="K103" s="700">
        <f>Depreciation!J45</f>
        <v>781.57153065504201</v>
      </c>
      <c r="L103" s="700">
        <f>Depreciation!K45</f>
        <v>11923.981047876963</v>
      </c>
      <c r="M103" s="700">
        <f>Depreciation!L45</f>
        <v>161652.8402901763</v>
      </c>
      <c r="N103" s="266">
        <f t="shared" si="15"/>
        <v>8172136.7013755282</v>
      </c>
    </row>
    <row r="104" spans="1:14" x14ac:dyDescent="0.2">
      <c r="A104" s="723">
        <f t="shared" si="16"/>
        <v>51</v>
      </c>
      <c r="C104" s="724" t="s">
        <v>208</v>
      </c>
      <c r="D104" s="133">
        <f>Depreciation!C46</f>
        <v>0</v>
      </c>
      <c r="E104" s="133">
        <f>Depreciation!D46</f>
        <v>142772.22497892837</v>
      </c>
      <c r="F104" s="133">
        <f>Depreciation!E46</f>
        <v>396402.44130624208</v>
      </c>
      <c r="G104" s="133">
        <f>Depreciation!F46</f>
        <v>4337720.6802403806</v>
      </c>
      <c r="H104" s="133">
        <f>Depreciation!G46</f>
        <v>1331053.4894534072</v>
      </c>
      <c r="I104" s="133">
        <f>Depreciation!H46</f>
        <v>454732.46724831901</v>
      </c>
      <c r="J104" s="133">
        <f>Depreciation!I46</f>
        <v>1346686.99678579</v>
      </c>
      <c r="K104" s="133">
        <f>Depreciation!J46</f>
        <v>792.20166935353166</v>
      </c>
      <c r="L104" s="133">
        <f>Depreciation!K46</f>
        <v>12148.284223914196</v>
      </c>
      <c r="M104" s="133">
        <f>Depreciation!L46</f>
        <v>161517.99191057609</v>
      </c>
      <c r="N104" s="430">
        <f t="shared" si="15"/>
        <v>8183826.7778169103</v>
      </c>
    </row>
    <row r="105" spans="1:14" x14ac:dyDescent="0.2">
      <c r="A105" s="723">
        <f t="shared" si="16"/>
        <v>52</v>
      </c>
      <c r="C105" s="727" t="s">
        <v>4</v>
      </c>
      <c r="D105" s="266">
        <f>SUM(D93:D104)</f>
        <v>0</v>
      </c>
      <c r="E105" s="266">
        <f t="shared" ref="E105:M105" si="17">SUM(E93:E104)</f>
        <v>1625793.4970372061</v>
      </c>
      <c r="F105" s="266">
        <f t="shared" si="17"/>
        <v>4759349.2925324049</v>
      </c>
      <c r="G105" s="266">
        <f t="shared" si="17"/>
        <v>49563193.740983322</v>
      </c>
      <c r="H105" s="266">
        <f t="shared" si="17"/>
        <v>15201000.576874819</v>
      </c>
      <c r="I105" s="266">
        <f t="shared" si="17"/>
        <v>5243380.3354420159</v>
      </c>
      <c r="J105" s="266">
        <f t="shared" si="17"/>
        <v>15727321.675213952</v>
      </c>
      <c r="K105" s="266">
        <f t="shared" si="17"/>
        <v>8960.277224587775</v>
      </c>
      <c r="L105" s="266">
        <f t="shared" si="17"/>
        <v>140681.8604128467</v>
      </c>
      <c r="M105" s="266">
        <f t="shared" si="17"/>
        <v>1860198.2936136478</v>
      </c>
      <c r="N105" s="266">
        <f>SUM(N93:N104)</f>
        <v>94129879.549334794</v>
      </c>
    </row>
    <row r="107" spans="1:14" x14ac:dyDescent="0.2">
      <c r="C107" s="1" t="s">
        <v>1948</v>
      </c>
      <c r="D107" s="683"/>
      <c r="E107" s="683"/>
      <c r="F107" s="683"/>
      <c r="G107" s="683"/>
      <c r="H107" s="683"/>
      <c r="I107" s="683"/>
      <c r="J107" s="683"/>
      <c r="K107" s="683"/>
      <c r="L107" s="683"/>
    </row>
    <row r="108" spans="1:14" x14ac:dyDescent="0.2">
      <c r="C108" s="683"/>
      <c r="D108" s="683"/>
      <c r="E108" s="683"/>
      <c r="F108" s="683"/>
      <c r="G108" s="683"/>
      <c r="H108" s="683"/>
      <c r="I108" s="683"/>
      <c r="J108" s="683"/>
      <c r="K108" s="683"/>
      <c r="L108" s="683"/>
    </row>
    <row r="109" spans="1:14" x14ac:dyDescent="0.2">
      <c r="C109" s="99" t="s">
        <v>417</v>
      </c>
      <c r="D109" s="99" t="s">
        <v>400</v>
      </c>
      <c r="E109" s="99" t="s">
        <v>401</v>
      </c>
      <c r="F109" s="99" t="s">
        <v>402</v>
      </c>
      <c r="G109" s="99" t="s">
        <v>403</v>
      </c>
      <c r="H109" s="99" t="s">
        <v>404</v>
      </c>
      <c r="I109" s="99" t="s">
        <v>405</v>
      </c>
      <c r="J109" s="99" t="s">
        <v>654</v>
      </c>
      <c r="K109" s="99" t="s">
        <v>1128</v>
      </c>
      <c r="L109" s="99" t="s">
        <v>1145</v>
      </c>
      <c r="M109" s="99" t="s">
        <v>1148</v>
      </c>
      <c r="N109" s="99" t="s">
        <v>1166</v>
      </c>
    </row>
    <row r="110" spans="1:14" x14ac:dyDescent="0.2">
      <c r="C110" s="286"/>
      <c r="D110" s="264"/>
      <c r="E110" s="264"/>
      <c r="F110" s="264"/>
      <c r="G110" s="264"/>
      <c r="H110" s="264"/>
      <c r="I110" s="264"/>
      <c r="J110" s="264"/>
      <c r="K110" s="264"/>
      <c r="L110" s="264"/>
      <c r="N110" s="286" t="s">
        <v>1501</v>
      </c>
    </row>
    <row r="111" spans="1:14" x14ac:dyDescent="0.2">
      <c r="C111" s="723" t="s">
        <v>473</v>
      </c>
      <c r="D111" s="264"/>
      <c r="E111" s="264"/>
      <c r="F111" s="264"/>
      <c r="G111" s="264"/>
      <c r="H111" s="264"/>
      <c r="I111" s="264"/>
      <c r="J111" s="264"/>
      <c r="K111" s="264"/>
      <c r="L111" s="264"/>
      <c r="M111" s="264"/>
    </row>
    <row r="112" spans="1:14" x14ac:dyDescent="0.2">
      <c r="C112" s="723" t="s">
        <v>221</v>
      </c>
      <c r="D112" s="99"/>
      <c r="E112" s="99"/>
      <c r="F112" s="264"/>
      <c r="G112" s="264"/>
      <c r="H112" s="264"/>
      <c r="I112" s="264"/>
      <c r="J112" s="264"/>
      <c r="K112" s="264"/>
      <c r="L112" s="264"/>
      <c r="M112" s="264"/>
    </row>
    <row r="113" spans="1:14" x14ac:dyDescent="0.2">
      <c r="C113" s="3" t="s">
        <v>220</v>
      </c>
      <c r="D113" s="99">
        <v>350.1</v>
      </c>
      <c r="E113" s="99">
        <v>350.2</v>
      </c>
      <c r="F113" s="99">
        <v>352</v>
      </c>
      <c r="G113" s="99">
        <v>353</v>
      </c>
      <c r="H113" s="99">
        <v>354</v>
      </c>
      <c r="I113" s="99">
        <v>355</v>
      </c>
      <c r="J113" s="99">
        <v>356</v>
      </c>
      <c r="K113" s="99">
        <v>357</v>
      </c>
      <c r="L113" s="99">
        <v>358</v>
      </c>
      <c r="M113" s="99">
        <v>359</v>
      </c>
      <c r="N113" s="3" t="s">
        <v>225</v>
      </c>
    </row>
    <row r="114" spans="1:14" x14ac:dyDescent="0.2">
      <c r="A114" s="723">
        <f>A105+1</f>
        <v>53</v>
      </c>
      <c r="C114" s="726" t="s">
        <v>209</v>
      </c>
      <c r="D114" s="700">
        <f t="shared" ref="D114:M114" si="18">D72-D93</f>
        <v>0</v>
      </c>
      <c r="E114" s="700">
        <f t="shared" si="18"/>
        <v>54251.469950734579</v>
      </c>
      <c r="F114" s="700">
        <f t="shared" si="18"/>
        <v>448848.15113896597</v>
      </c>
      <c r="G114" s="700">
        <f t="shared" si="18"/>
        <v>-1764411.8404321731</v>
      </c>
      <c r="H114" s="700">
        <f t="shared" si="18"/>
        <v>69613.688248412684</v>
      </c>
      <c r="I114" s="700">
        <f t="shared" si="18"/>
        <v>321411.05928974925</v>
      </c>
      <c r="J114" s="700">
        <f t="shared" si="18"/>
        <v>97419.612636777805</v>
      </c>
      <c r="K114" s="700">
        <f t="shared" si="18"/>
        <v>64213.227444826101</v>
      </c>
      <c r="L114" s="700">
        <f t="shared" si="18"/>
        <v>581329.08319865202</v>
      </c>
      <c r="M114" s="700">
        <f t="shared" si="18"/>
        <v>4249.9963450236537</v>
      </c>
      <c r="N114" s="266">
        <f t="shared" ref="N114:N125" si="19">SUM(D114:M114)</f>
        <v>-123075.55217903093</v>
      </c>
    </row>
    <row r="115" spans="1:14" x14ac:dyDescent="0.2">
      <c r="A115" s="723">
        <f t="shared" ref="A115:A126" si="20">A114+1</f>
        <v>54</v>
      </c>
      <c r="C115" s="724" t="s">
        <v>210</v>
      </c>
      <c r="D115" s="700">
        <f t="shared" ref="D115:M115" si="21">D73-D94</f>
        <v>0</v>
      </c>
      <c r="E115" s="700">
        <f t="shared" si="21"/>
        <v>54260.581256013495</v>
      </c>
      <c r="F115" s="700">
        <f t="shared" si="21"/>
        <v>299951.20820060675</v>
      </c>
      <c r="G115" s="700">
        <f t="shared" si="21"/>
        <v>8859952.2653077785</v>
      </c>
      <c r="H115" s="700">
        <f t="shared" si="21"/>
        <v>-298245.62368037947</v>
      </c>
      <c r="I115" s="700">
        <f t="shared" si="21"/>
        <v>542211.12754187919</v>
      </c>
      <c r="J115" s="700">
        <f t="shared" si="21"/>
        <v>359017.94978809985</v>
      </c>
      <c r="K115" s="700">
        <f t="shared" si="21"/>
        <v>64243.614517655747</v>
      </c>
      <c r="L115" s="700">
        <f t="shared" si="21"/>
        <v>593456.19244447525</v>
      </c>
      <c r="M115" s="700">
        <f t="shared" si="21"/>
        <v>3929.5987453963899</v>
      </c>
      <c r="N115" s="266">
        <f t="shared" si="19"/>
        <v>10478776.914121525</v>
      </c>
    </row>
    <row r="116" spans="1:14" x14ac:dyDescent="0.2">
      <c r="A116" s="723">
        <f t="shared" si="20"/>
        <v>55</v>
      </c>
      <c r="C116" s="724" t="s">
        <v>223</v>
      </c>
      <c r="D116" s="700">
        <f t="shared" ref="D116:M116" si="22">D74-D95</f>
        <v>0</v>
      </c>
      <c r="E116" s="700">
        <f t="shared" si="22"/>
        <v>51839.506999629812</v>
      </c>
      <c r="F116" s="700">
        <f t="shared" si="22"/>
        <v>317780.69550165511</v>
      </c>
      <c r="G116" s="700">
        <f t="shared" si="22"/>
        <v>36785565.187500447</v>
      </c>
      <c r="H116" s="700">
        <f t="shared" si="22"/>
        <v>-21823526.53074345</v>
      </c>
      <c r="I116" s="700">
        <f t="shared" si="22"/>
        <v>-1044561.0679529752</v>
      </c>
      <c r="J116" s="700">
        <f t="shared" si="22"/>
        <v>-9079840.0646112505</v>
      </c>
      <c r="K116" s="700">
        <f t="shared" si="22"/>
        <v>61414.446380433095</v>
      </c>
      <c r="L116" s="700">
        <f t="shared" si="22"/>
        <v>204293.31204789379</v>
      </c>
      <c r="M116" s="700">
        <f t="shared" si="22"/>
        <v>-6029658.534410621</v>
      </c>
      <c r="N116" s="266">
        <f t="shared" si="19"/>
        <v>-556693.04928824119</v>
      </c>
    </row>
    <row r="117" spans="1:14" x14ac:dyDescent="0.2">
      <c r="A117" s="723">
        <f t="shared" si="20"/>
        <v>56</v>
      </c>
      <c r="C117" s="726" t="s">
        <v>211</v>
      </c>
      <c r="D117" s="700">
        <f t="shared" ref="D117:M117" si="23">D75-D96</f>
        <v>0</v>
      </c>
      <c r="E117" s="700">
        <f t="shared" si="23"/>
        <v>55356.627541533206</v>
      </c>
      <c r="F117" s="700">
        <f t="shared" si="23"/>
        <v>347037.22032073612</v>
      </c>
      <c r="G117" s="700">
        <f t="shared" si="23"/>
        <v>3682595.7145427824</v>
      </c>
      <c r="H117" s="700">
        <f t="shared" si="23"/>
        <v>-541748.36594610731</v>
      </c>
      <c r="I117" s="700">
        <f t="shared" si="23"/>
        <v>1014660.0251405076</v>
      </c>
      <c r="J117" s="700">
        <f t="shared" si="23"/>
        <v>-896410.28034876939</v>
      </c>
      <c r="K117" s="700">
        <f t="shared" si="23"/>
        <v>61793.659498122171</v>
      </c>
      <c r="L117" s="700">
        <f t="shared" si="23"/>
        <v>288780.0010843515</v>
      </c>
      <c r="M117" s="700">
        <f t="shared" si="23"/>
        <v>-364852.09976700594</v>
      </c>
      <c r="N117" s="266">
        <f t="shared" si="19"/>
        <v>3647212.5020661503</v>
      </c>
    </row>
    <row r="118" spans="1:14" x14ac:dyDescent="0.2">
      <c r="A118" s="723">
        <f t="shared" si="20"/>
        <v>57</v>
      </c>
      <c r="C118" s="724" t="s">
        <v>212</v>
      </c>
      <c r="D118" s="700">
        <f t="shared" ref="D118:M118" si="24">D76-D97</f>
        <v>0</v>
      </c>
      <c r="E118" s="700">
        <f t="shared" si="24"/>
        <v>55621.790310905461</v>
      </c>
      <c r="F118" s="700">
        <f t="shared" si="24"/>
        <v>259496.79244575353</v>
      </c>
      <c r="G118" s="700">
        <f t="shared" si="24"/>
        <v>-1916504.9827316701</v>
      </c>
      <c r="H118" s="700">
        <f t="shared" si="24"/>
        <v>145010.70450130547</v>
      </c>
      <c r="I118" s="700">
        <f t="shared" si="24"/>
        <v>-910933.95118793868</v>
      </c>
      <c r="J118" s="700">
        <f t="shared" si="24"/>
        <v>-1624164.4121043892</v>
      </c>
      <c r="K118" s="700">
        <f t="shared" si="24"/>
        <v>61685.256856711858</v>
      </c>
      <c r="L118" s="700">
        <f t="shared" si="24"/>
        <v>543376.92306573759</v>
      </c>
      <c r="M118" s="700">
        <f t="shared" si="24"/>
        <v>-735975.91126766976</v>
      </c>
      <c r="N118" s="266">
        <f t="shared" si="19"/>
        <v>-4122387.790111254</v>
      </c>
    </row>
    <row r="119" spans="1:14" x14ac:dyDescent="0.2">
      <c r="A119" s="723">
        <f t="shared" si="20"/>
        <v>58</v>
      </c>
      <c r="C119" s="724" t="s">
        <v>213</v>
      </c>
      <c r="D119" s="700">
        <f t="shared" ref="D119:M119" si="25">D77-D98</f>
        <v>0</v>
      </c>
      <c r="E119" s="700">
        <f t="shared" si="25"/>
        <v>2243723.2165207393</v>
      </c>
      <c r="F119" s="700">
        <f t="shared" si="25"/>
        <v>243930.81890939135</v>
      </c>
      <c r="G119" s="700">
        <f t="shared" si="25"/>
        <v>-1958606.9250829346</v>
      </c>
      <c r="H119" s="700">
        <f t="shared" si="25"/>
        <v>10139.524203924928</v>
      </c>
      <c r="I119" s="700">
        <f t="shared" si="25"/>
        <v>-1390154.4522966649</v>
      </c>
      <c r="J119" s="700">
        <f t="shared" si="25"/>
        <v>-1028914.9007962428</v>
      </c>
      <c r="K119" s="700">
        <f t="shared" si="25"/>
        <v>61428.688866342367</v>
      </c>
      <c r="L119" s="700">
        <f t="shared" si="25"/>
        <v>563295.58755270741</v>
      </c>
      <c r="M119" s="700">
        <f t="shared" si="25"/>
        <v>-315562.11716814234</v>
      </c>
      <c r="N119" s="266">
        <f t="shared" si="19"/>
        <v>-1570720.5592908794</v>
      </c>
    </row>
    <row r="120" spans="1:14" x14ac:dyDescent="0.2">
      <c r="A120" s="723">
        <f t="shared" si="20"/>
        <v>59</v>
      </c>
      <c r="C120" s="726" t="s">
        <v>214</v>
      </c>
      <c r="D120" s="700">
        <f t="shared" ref="D120:M120" si="26">D78-D99</f>
        <v>0</v>
      </c>
      <c r="E120" s="700">
        <f t="shared" si="26"/>
        <v>-2129592.8487857543</v>
      </c>
      <c r="F120" s="700">
        <f t="shared" si="26"/>
        <v>460424.96247171471</v>
      </c>
      <c r="G120" s="700">
        <f t="shared" si="26"/>
        <v>2129833.5238019559</v>
      </c>
      <c r="H120" s="700">
        <f t="shared" si="26"/>
        <v>659106.4233903985</v>
      </c>
      <c r="I120" s="700">
        <f t="shared" si="26"/>
        <v>791554.50434255484</v>
      </c>
      <c r="J120" s="700">
        <f t="shared" si="26"/>
        <v>151446.08575458196</v>
      </c>
      <c r="K120" s="700">
        <f t="shared" si="26"/>
        <v>459305.47963969759</v>
      </c>
      <c r="L120" s="700">
        <f t="shared" si="26"/>
        <v>93756.331905572835</v>
      </c>
      <c r="M120" s="700">
        <f t="shared" si="26"/>
        <v>94773.135441924329</v>
      </c>
      <c r="N120" s="266">
        <f t="shared" si="19"/>
        <v>2710607.5979626463</v>
      </c>
    </row>
    <row r="121" spans="1:14" x14ac:dyDescent="0.2">
      <c r="A121" s="723">
        <f t="shared" si="20"/>
        <v>60</v>
      </c>
      <c r="C121" s="724" t="s">
        <v>215</v>
      </c>
      <c r="D121" s="700">
        <f t="shared" ref="D121:M121" si="27">D79-D100</f>
        <v>0</v>
      </c>
      <c r="E121" s="700">
        <f t="shared" si="27"/>
        <v>55511.87471365268</v>
      </c>
      <c r="F121" s="700">
        <f t="shared" si="27"/>
        <v>458602.3547471792</v>
      </c>
      <c r="G121" s="700">
        <f t="shared" si="27"/>
        <v>-6486498.3885006662</v>
      </c>
      <c r="H121" s="700">
        <f t="shared" si="27"/>
        <v>-2125355.1604444822</v>
      </c>
      <c r="I121" s="700">
        <f t="shared" si="27"/>
        <v>-791234.18957346282</v>
      </c>
      <c r="J121" s="700">
        <f t="shared" si="27"/>
        <v>-2246138.1040806063</v>
      </c>
      <c r="K121" s="700">
        <f t="shared" si="27"/>
        <v>-560822.07374118664</v>
      </c>
      <c r="L121" s="700">
        <f t="shared" si="27"/>
        <v>538138.65087454731</v>
      </c>
      <c r="M121" s="700">
        <f t="shared" si="27"/>
        <v>-1601069.3709950596</v>
      </c>
      <c r="N121" s="266">
        <f t="shared" si="19"/>
        <v>-12758864.407000083</v>
      </c>
    </row>
    <row r="122" spans="1:14" x14ac:dyDescent="0.2">
      <c r="A122" s="723">
        <f t="shared" si="20"/>
        <v>61</v>
      </c>
      <c r="C122" s="724" t="s">
        <v>216</v>
      </c>
      <c r="D122" s="700">
        <f t="shared" ref="D122:M122" si="28">D80-D101</f>
        <v>0</v>
      </c>
      <c r="E122" s="700">
        <f t="shared" si="28"/>
        <v>55440.872092333506</v>
      </c>
      <c r="F122" s="700">
        <f t="shared" si="28"/>
        <v>233430.29195691453</v>
      </c>
      <c r="G122" s="700">
        <f t="shared" si="28"/>
        <v>980254.04472367</v>
      </c>
      <c r="H122" s="700">
        <f t="shared" si="28"/>
        <v>-114515.58658499666</v>
      </c>
      <c r="I122" s="700">
        <f t="shared" si="28"/>
        <v>195378.00603700621</v>
      </c>
      <c r="J122" s="700">
        <f t="shared" si="28"/>
        <v>-903379.73354988149</v>
      </c>
      <c r="K122" s="700">
        <f t="shared" si="28"/>
        <v>59036.03487676329</v>
      </c>
      <c r="L122" s="700">
        <f t="shared" si="28"/>
        <v>710646.02147941291</v>
      </c>
      <c r="M122" s="700">
        <f t="shared" si="28"/>
        <v>-1221390.2584431299</v>
      </c>
      <c r="N122" s="266">
        <f t="shared" si="19"/>
        <v>-5100.3074119077064</v>
      </c>
    </row>
    <row r="123" spans="1:14" x14ac:dyDescent="0.2">
      <c r="A123" s="723">
        <f t="shared" si="20"/>
        <v>62</v>
      </c>
      <c r="C123" s="726" t="s">
        <v>219</v>
      </c>
      <c r="D123" s="700">
        <f t="shared" ref="D123:M123" si="29">D81-D102</f>
        <v>0</v>
      </c>
      <c r="E123" s="700">
        <f t="shared" si="29"/>
        <v>55265.830988036818</v>
      </c>
      <c r="F123" s="700">
        <f t="shared" si="29"/>
        <v>352023.20984884963</v>
      </c>
      <c r="G123" s="700">
        <f t="shared" si="29"/>
        <v>-100896808.02998589</v>
      </c>
      <c r="H123" s="700">
        <f t="shared" si="29"/>
        <v>-2703795.0470390683</v>
      </c>
      <c r="I123" s="700">
        <f t="shared" si="29"/>
        <v>-1549752.5622185746</v>
      </c>
      <c r="J123" s="700">
        <f t="shared" si="29"/>
        <v>-3634334.54587912</v>
      </c>
      <c r="K123" s="700">
        <f t="shared" si="29"/>
        <v>60078.414699141569</v>
      </c>
      <c r="L123" s="700">
        <f t="shared" si="29"/>
        <v>550776.13695752982</v>
      </c>
      <c r="M123" s="700">
        <f t="shared" si="29"/>
        <v>224169.07557421015</v>
      </c>
      <c r="N123" s="266">
        <f t="shared" si="19"/>
        <v>-107542377.5170549</v>
      </c>
    </row>
    <row r="124" spans="1:14" x14ac:dyDescent="0.2">
      <c r="A124" s="723">
        <f t="shared" si="20"/>
        <v>63</v>
      </c>
      <c r="C124" s="726" t="s">
        <v>218</v>
      </c>
      <c r="D124" s="700">
        <f t="shared" ref="D124:M124" si="30">D82-D103</f>
        <v>0</v>
      </c>
      <c r="E124" s="700">
        <f t="shared" si="30"/>
        <v>55012.896353867574</v>
      </c>
      <c r="F124" s="700">
        <f t="shared" si="30"/>
        <v>-925344.8447250172</v>
      </c>
      <c r="G124" s="700">
        <f t="shared" si="30"/>
        <v>78199301.411010057</v>
      </c>
      <c r="H124" s="700">
        <f t="shared" si="30"/>
        <v>-822411.09250367014</v>
      </c>
      <c r="I124" s="700">
        <f t="shared" si="30"/>
        <v>-2764879.277044096</v>
      </c>
      <c r="J124" s="700">
        <f t="shared" si="30"/>
        <v>-1326950.157211948</v>
      </c>
      <c r="K124" s="700">
        <f t="shared" si="30"/>
        <v>66707.726550731793</v>
      </c>
      <c r="L124" s="700">
        <f t="shared" si="30"/>
        <v>-1131883.3636440865</v>
      </c>
      <c r="M124" s="700">
        <f t="shared" si="30"/>
        <v>-557623.11153805314</v>
      </c>
      <c r="N124" s="266">
        <f t="shared" si="19"/>
        <v>70791930.187247783</v>
      </c>
    </row>
    <row r="125" spans="1:14" x14ac:dyDescent="0.2">
      <c r="A125" s="723">
        <f t="shared" si="20"/>
        <v>64</v>
      </c>
      <c r="C125" s="724" t="s">
        <v>208</v>
      </c>
      <c r="D125" s="133">
        <f t="shared" ref="D125:M125" si="31">D83-D104</f>
        <v>0</v>
      </c>
      <c r="E125" s="133">
        <f t="shared" si="31"/>
        <v>28131.585021068429</v>
      </c>
      <c r="F125" s="133">
        <f t="shared" si="31"/>
        <v>3256277.8995045931</v>
      </c>
      <c r="G125" s="133">
        <f t="shared" si="31"/>
        <v>2937789.8711575391</v>
      </c>
      <c r="H125" s="133">
        <f t="shared" si="31"/>
        <v>-5691772.201515289</v>
      </c>
      <c r="I125" s="133">
        <f t="shared" si="31"/>
        <v>-1028633.0086967631</v>
      </c>
      <c r="J125" s="133">
        <f t="shared" si="31"/>
        <v>-7395924.296427995</v>
      </c>
      <c r="K125" s="133">
        <f t="shared" si="31"/>
        <v>65568.529011428822</v>
      </c>
      <c r="L125" s="133">
        <f t="shared" si="31"/>
        <v>163076.83825272316</v>
      </c>
      <c r="M125" s="133">
        <f t="shared" si="31"/>
        <v>-4406895.0333646601</v>
      </c>
      <c r="N125" s="430">
        <f t="shared" si="19"/>
        <v>-12072379.817057356</v>
      </c>
    </row>
    <row r="126" spans="1:14" x14ac:dyDescent="0.2">
      <c r="A126" s="723">
        <f t="shared" si="20"/>
        <v>65</v>
      </c>
      <c r="C126" s="727" t="s">
        <v>4</v>
      </c>
      <c r="D126" s="266">
        <f>SUM(D114:D125)</f>
        <v>0</v>
      </c>
      <c r="E126" s="266">
        <f t="shared" ref="E126:M126" si="32">SUM(E114:E125)</f>
        <v>634823.40296276053</v>
      </c>
      <c r="F126" s="266">
        <f t="shared" si="32"/>
        <v>5752458.7603213433</v>
      </c>
      <c r="G126" s="266">
        <f t="shared" si="32"/>
        <v>20552461.851310883</v>
      </c>
      <c r="H126" s="266">
        <f t="shared" si="32"/>
        <v>-33237499.268113405</v>
      </c>
      <c r="I126" s="266">
        <f t="shared" si="32"/>
        <v>-6614933.7866187785</v>
      </c>
      <c r="J126" s="266">
        <f t="shared" si="32"/>
        <v>-27528172.846830744</v>
      </c>
      <c r="K126" s="266">
        <f t="shared" si="32"/>
        <v>524653.00460066774</v>
      </c>
      <c r="L126" s="266">
        <f t="shared" si="32"/>
        <v>3699041.7152195163</v>
      </c>
      <c r="M126" s="266">
        <f t="shared" si="32"/>
        <v>-14905904.630847789</v>
      </c>
      <c r="N126" s="266">
        <f>SUM(N114:N125)</f>
        <v>-51123071.797995552</v>
      </c>
    </row>
    <row r="128" spans="1:14" x14ac:dyDescent="0.2">
      <c r="C128" s="1" t="s">
        <v>1943</v>
      </c>
    </row>
    <row r="130" spans="1:14" x14ac:dyDescent="0.2">
      <c r="C130" s="687" t="s">
        <v>1949</v>
      </c>
    </row>
    <row r="131" spans="1:14" x14ac:dyDescent="0.2">
      <c r="C131" s="16"/>
    </row>
    <row r="132" spans="1:14" x14ac:dyDescent="0.2">
      <c r="C132" s="16"/>
      <c r="D132" s="99">
        <v>350.1</v>
      </c>
      <c r="E132" s="99">
        <v>350.2</v>
      </c>
      <c r="F132" s="99">
        <v>352</v>
      </c>
      <c r="G132" s="99">
        <v>353</v>
      </c>
      <c r="H132" s="99">
        <v>354</v>
      </c>
      <c r="I132" s="99">
        <v>355</v>
      </c>
      <c r="J132" s="99">
        <v>356</v>
      </c>
      <c r="K132" s="99">
        <v>357</v>
      </c>
      <c r="L132" s="99">
        <v>358</v>
      </c>
      <c r="M132" s="99">
        <v>359</v>
      </c>
      <c r="N132" s="3" t="s">
        <v>225</v>
      </c>
    </row>
    <row r="133" spans="1:14" x14ac:dyDescent="0.2">
      <c r="A133" s="723">
        <f>A126+1</f>
        <v>66</v>
      </c>
      <c r="C133" s="16"/>
      <c r="D133" s="7">
        <f t="shared" ref="D133:M133" si="33">D24-D12</f>
        <v>0</v>
      </c>
      <c r="E133" s="7">
        <f t="shared" si="33"/>
        <v>1643874.4968163986</v>
      </c>
      <c r="F133" s="7">
        <f t="shared" si="33"/>
        <v>-3086275.309852317</v>
      </c>
      <c r="G133" s="7">
        <f t="shared" si="33"/>
        <v>23415236.906440109</v>
      </c>
      <c r="H133" s="7">
        <f t="shared" si="33"/>
        <v>-9350650.1520276666</v>
      </c>
      <c r="I133" s="7">
        <f t="shared" si="33"/>
        <v>1204431.3406464085</v>
      </c>
      <c r="J133" s="7">
        <f t="shared" si="33"/>
        <v>-13176756.78179431</v>
      </c>
      <c r="K133" s="7">
        <f t="shared" si="33"/>
        <v>24345.261308990244</v>
      </c>
      <c r="L133" s="7">
        <f t="shared" si="33"/>
        <v>105103.62941581639</v>
      </c>
      <c r="M133" s="7">
        <f t="shared" si="33"/>
        <v>-10894744.763684956</v>
      </c>
      <c r="N133" s="7">
        <f>SUM(D133:M133)</f>
        <v>-10115435.372731529</v>
      </c>
    </row>
    <row r="134" spans="1:14" x14ac:dyDescent="0.2">
      <c r="C134" s="16"/>
    </row>
    <row r="135" spans="1:14" x14ac:dyDescent="0.2">
      <c r="C135" s="687" t="s">
        <v>1950</v>
      </c>
    </row>
    <row r="136" spans="1:14" x14ac:dyDescent="0.2">
      <c r="C136" s="16"/>
    </row>
    <row r="137" spans="1:14" x14ac:dyDescent="0.2">
      <c r="C137" s="16"/>
      <c r="D137" s="99">
        <v>350.1</v>
      </c>
      <c r="E137" s="99">
        <v>350.2</v>
      </c>
      <c r="F137" s="99">
        <v>352</v>
      </c>
      <c r="G137" s="99">
        <v>353</v>
      </c>
      <c r="H137" s="99">
        <v>354</v>
      </c>
      <c r="I137" s="99">
        <v>355</v>
      </c>
      <c r="J137" s="99">
        <v>356</v>
      </c>
      <c r="K137" s="99">
        <v>357</v>
      </c>
      <c r="L137" s="99">
        <v>358</v>
      </c>
      <c r="M137" s="99">
        <v>359</v>
      </c>
      <c r="N137" s="3" t="s">
        <v>225</v>
      </c>
    </row>
    <row r="138" spans="1:14" x14ac:dyDescent="0.2">
      <c r="A138" s="723">
        <f>A133+1</f>
        <v>67</v>
      </c>
      <c r="C138" s="16"/>
      <c r="D138" s="7">
        <f t="shared" ref="D138:M138" si="34">D105</f>
        <v>0</v>
      </c>
      <c r="E138" s="7">
        <f t="shared" si="34"/>
        <v>1625793.4970372061</v>
      </c>
      <c r="F138" s="7">
        <f t="shared" si="34"/>
        <v>4759349.2925324049</v>
      </c>
      <c r="G138" s="7">
        <f t="shared" si="34"/>
        <v>49563193.740983322</v>
      </c>
      <c r="H138" s="7">
        <f t="shared" si="34"/>
        <v>15201000.576874819</v>
      </c>
      <c r="I138" s="7">
        <f t="shared" si="34"/>
        <v>5243380.3354420159</v>
      </c>
      <c r="J138" s="7">
        <f t="shared" si="34"/>
        <v>15727321.675213952</v>
      </c>
      <c r="K138" s="7">
        <f t="shared" si="34"/>
        <v>8960.277224587775</v>
      </c>
      <c r="L138" s="7">
        <f t="shared" si="34"/>
        <v>140681.8604128467</v>
      </c>
      <c r="M138" s="7">
        <f t="shared" si="34"/>
        <v>1860198.2936136478</v>
      </c>
      <c r="N138" s="7">
        <f>SUM(D138:M138)</f>
        <v>94129879.549334794</v>
      </c>
    </row>
    <row r="139" spans="1:14" x14ac:dyDescent="0.2">
      <c r="C139" s="16"/>
    </row>
    <row r="140" spans="1:14" x14ac:dyDescent="0.2">
      <c r="C140" s="687" t="s">
        <v>1951</v>
      </c>
    </row>
    <row r="142" spans="1:14" x14ac:dyDescent="0.2">
      <c r="D142" s="99">
        <v>350.1</v>
      </c>
      <c r="E142" s="99">
        <v>350.2</v>
      </c>
      <c r="F142" s="99">
        <v>352</v>
      </c>
      <c r="G142" s="99">
        <v>353</v>
      </c>
      <c r="H142" s="99">
        <v>354</v>
      </c>
      <c r="I142" s="99">
        <v>355</v>
      </c>
      <c r="J142" s="99">
        <v>356</v>
      </c>
      <c r="K142" s="99">
        <v>357</v>
      </c>
      <c r="L142" s="99">
        <v>358</v>
      </c>
      <c r="M142" s="99">
        <v>359</v>
      </c>
      <c r="N142" s="3" t="s">
        <v>225</v>
      </c>
    </row>
    <row r="143" spans="1:14" x14ac:dyDescent="0.2">
      <c r="A143" s="723">
        <f>A138+1</f>
        <v>68</v>
      </c>
      <c r="D143" s="7">
        <f>D133-D138</f>
        <v>0</v>
      </c>
      <c r="E143" s="7">
        <f>E133-E138</f>
        <v>18080.999779192498</v>
      </c>
      <c r="F143" s="7">
        <f t="shared" ref="F143:M143" si="35">F133-F138</f>
        <v>-7845624.6023847219</v>
      </c>
      <c r="G143" s="7">
        <f t="shared" si="35"/>
        <v>-26147956.834543213</v>
      </c>
      <c r="H143" s="7">
        <f t="shared" si="35"/>
        <v>-24551650.728902485</v>
      </c>
      <c r="I143" s="7">
        <f t="shared" si="35"/>
        <v>-4038948.9947956074</v>
      </c>
      <c r="J143" s="7">
        <f t="shared" si="35"/>
        <v>-28904078.457008261</v>
      </c>
      <c r="K143" s="7">
        <f t="shared" si="35"/>
        <v>15384.984084402469</v>
      </c>
      <c r="L143" s="7">
        <f t="shared" si="35"/>
        <v>-35578.230997030303</v>
      </c>
      <c r="M143" s="7">
        <f t="shared" si="35"/>
        <v>-12754943.057298604</v>
      </c>
      <c r="N143" s="7">
        <f>SUM(D143:M143)</f>
        <v>-104245314.92206632</v>
      </c>
    </row>
    <row r="145" spans="1:14" x14ac:dyDescent="0.2">
      <c r="C145" s="1" t="s">
        <v>1952</v>
      </c>
      <c r="D145" s="683"/>
      <c r="E145" s="683"/>
      <c r="F145" s="683"/>
      <c r="G145" s="683"/>
      <c r="H145" s="683"/>
      <c r="I145" s="683"/>
      <c r="J145" s="683"/>
      <c r="K145" s="683"/>
      <c r="L145" s="683"/>
    </row>
    <row r="146" spans="1:14" x14ac:dyDescent="0.2">
      <c r="C146" s="683"/>
      <c r="D146" s="683"/>
      <c r="E146" s="683"/>
      <c r="F146" s="683"/>
      <c r="G146" s="683"/>
      <c r="H146" s="683"/>
      <c r="I146" s="683"/>
      <c r="J146" s="683"/>
      <c r="K146" s="683"/>
      <c r="L146" s="683"/>
    </row>
    <row r="147" spans="1:14" x14ac:dyDescent="0.2">
      <c r="C147" s="99" t="s">
        <v>417</v>
      </c>
      <c r="D147" s="99" t="s">
        <v>400</v>
      </c>
      <c r="E147" s="99" t="s">
        <v>401</v>
      </c>
      <c r="F147" s="99" t="s">
        <v>402</v>
      </c>
      <c r="G147" s="99" t="s">
        <v>403</v>
      </c>
      <c r="H147" s="99" t="s">
        <v>404</v>
      </c>
      <c r="I147" s="99" t="s">
        <v>405</v>
      </c>
      <c r="J147" s="99" t="s">
        <v>654</v>
      </c>
      <c r="K147" s="99" t="s">
        <v>1128</v>
      </c>
      <c r="L147" s="99" t="s">
        <v>1145</v>
      </c>
      <c r="M147" s="99" t="s">
        <v>1148</v>
      </c>
      <c r="N147" s="99" t="s">
        <v>1166</v>
      </c>
    </row>
    <row r="148" spans="1:14" x14ac:dyDescent="0.2">
      <c r="C148" s="286"/>
      <c r="D148" s="264"/>
      <c r="E148" s="264"/>
      <c r="F148" s="264"/>
      <c r="G148" s="264"/>
      <c r="H148" s="264"/>
      <c r="I148" s="264"/>
      <c r="J148" s="264"/>
      <c r="K148" s="264"/>
      <c r="L148" s="264"/>
      <c r="N148" s="286" t="s">
        <v>1501</v>
      </c>
    </row>
    <row r="149" spans="1:14" x14ac:dyDescent="0.2">
      <c r="C149" s="723" t="s">
        <v>473</v>
      </c>
      <c r="D149" s="264"/>
      <c r="E149" s="264"/>
      <c r="F149" s="264"/>
      <c r="G149" s="264"/>
      <c r="H149" s="264"/>
      <c r="I149" s="264"/>
      <c r="J149" s="264"/>
      <c r="K149" s="264"/>
      <c r="L149" s="264"/>
      <c r="M149" s="264"/>
    </row>
    <row r="150" spans="1:14" x14ac:dyDescent="0.2">
      <c r="C150" s="723" t="s">
        <v>221</v>
      </c>
      <c r="D150" s="99"/>
      <c r="E150" s="99"/>
      <c r="F150" s="264"/>
      <c r="G150" s="264"/>
      <c r="H150" s="264"/>
      <c r="I150" s="264"/>
      <c r="J150" s="264"/>
      <c r="K150" s="264"/>
      <c r="L150" s="264"/>
      <c r="M150" s="264"/>
    </row>
    <row r="151" spans="1:14" x14ac:dyDescent="0.2">
      <c r="C151" s="3" t="s">
        <v>220</v>
      </c>
      <c r="D151" s="99">
        <v>350.1</v>
      </c>
      <c r="E151" s="99">
        <v>350.2</v>
      </c>
      <c r="F151" s="99">
        <v>352</v>
      </c>
      <c r="G151" s="99">
        <v>353</v>
      </c>
      <c r="H151" s="99">
        <v>354</v>
      </c>
      <c r="I151" s="99">
        <v>355</v>
      </c>
      <c r="J151" s="99">
        <v>356</v>
      </c>
      <c r="K151" s="99">
        <v>357</v>
      </c>
      <c r="L151" s="99">
        <v>358</v>
      </c>
      <c r="M151" s="99">
        <v>359</v>
      </c>
      <c r="N151" s="3" t="s">
        <v>225</v>
      </c>
    </row>
    <row r="152" spans="1:14" x14ac:dyDescent="0.2">
      <c r="A152" s="723">
        <f>A143+1</f>
        <v>69</v>
      </c>
      <c r="C152" s="726" t="s">
        <v>209</v>
      </c>
      <c r="D152" s="268">
        <v>0</v>
      </c>
      <c r="E152" s="268">
        <f t="shared" ref="E152:M152" si="36">E114*(E$143/E$126)</f>
        <v>1545.1869159550224</v>
      </c>
      <c r="F152" s="268">
        <f t="shared" si="36"/>
        <v>-612171.98489121371</v>
      </c>
      <c r="G152" s="268">
        <f t="shared" si="36"/>
        <v>2244780.4538333085</v>
      </c>
      <c r="H152" s="268">
        <f t="shared" si="36"/>
        <v>51421.767505397031</v>
      </c>
      <c r="I152" s="268">
        <f t="shared" si="36"/>
        <v>196247.29690576083</v>
      </c>
      <c r="J152" s="268">
        <f t="shared" si="36"/>
        <v>102288.81308513574</v>
      </c>
      <c r="K152" s="268">
        <f t="shared" si="36"/>
        <v>1882.9959489104735</v>
      </c>
      <c r="L152" s="268">
        <f t="shared" si="36"/>
        <v>-5591.3563564951828</v>
      </c>
      <c r="M152" s="268">
        <f t="shared" si="36"/>
        <v>3636.7106000610934</v>
      </c>
      <c r="N152" s="266">
        <f t="shared" ref="N152:N163" si="37">SUM(D152:M152)</f>
        <v>1984039.8835468199</v>
      </c>
    </row>
    <row r="153" spans="1:14" x14ac:dyDescent="0.2">
      <c r="A153" s="723">
        <f t="shared" ref="A153:A164" si="38">A152+1</f>
        <v>70</v>
      </c>
      <c r="C153" s="724" t="s">
        <v>210</v>
      </c>
      <c r="D153" s="268">
        <v>0</v>
      </c>
      <c r="E153" s="268">
        <f t="shared" ref="E153:M153" si="39">E115*(E$143/E$126)</f>
        <v>1545.4464235723651</v>
      </c>
      <c r="F153" s="268">
        <f t="shared" si="39"/>
        <v>-409095.42799438379</v>
      </c>
      <c r="G153" s="268">
        <f t="shared" si="39"/>
        <v>-11272111.879609436</v>
      </c>
      <c r="H153" s="268">
        <f t="shared" si="39"/>
        <v>-220306.05626967773</v>
      </c>
      <c r="I153" s="268">
        <f t="shared" si="39"/>
        <v>331063.49348232325</v>
      </c>
      <c r="J153" s="268">
        <f t="shared" si="39"/>
        <v>376962.2868138951</v>
      </c>
      <c r="K153" s="268">
        <f t="shared" si="39"/>
        <v>1883.8870228731807</v>
      </c>
      <c r="L153" s="268">
        <f t="shared" si="39"/>
        <v>-5707.9976726227887</v>
      </c>
      <c r="M153" s="268">
        <f t="shared" si="39"/>
        <v>3362.5472238589159</v>
      </c>
      <c r="N153" s="266">
        <f t="shared" si="37"/>
        <v>-11192403.700579599</v>
      </c>
    </row>
    <row r="154" spans="1:14" x14ac:dyDescent="0.2">
      <c r="A154" s="723">
        <f t="shared" si="38"/>
        <v>71</v>
      </c>
      <c r="C154" s="724" t="s">
        <v>223</v>
      </c>
      <c r="D154" s="268">
        <v>0</v>
      </c>
      <c r="E154" s="268">
        <f t="shared" ref="E154:M154" si="40">E116*(E$143/E$126)</f>
        <v>1476.4895406175476</v>
      </c>
      <c r="F154" s="268">
        <f t="shared" si="40"/>
        <v>-433412.58871561888</v>
      </c>
      <c r="G154" s="268">
        <f t="shared" si="40"/>
        <v>-46800591.462753989</v>
      </c>
      <c r="H154" s="268">
        <f t="shared" si="40"/>
        <v>-16120454.692864832</v>
      </c>
      <c r="I154" s="268">
        <f t="shared" si="40"/>
        <v>-637788.52691552031</v>
      </c>
      <c r="J154" s="268">
        <f t="shared" si="40"/>
        <v>-9533666.1486715842</v>
      </c>
      <c r="K154" s="268">
        <f t="shared" si="40"/>
        <v>1800.92417622676</v>
      </c>
      <c r="L154" s="268">
        <f t="shared" si="40"/>
        <v>-1964.9398970773766</v>
      </c>
      <c r="M154" s="268">
        <f t="shared" si="40"/>
        <v>-5159562.8152752919</v>
      </c>
      <c r="N154" s="266">
        <f t="shared" si="37"/>
        <v>-78684163.761377066</v>
      </c>
    </row>
    <row r="155" spans="1:14" x14ac:dyDescent="0.2">
      <c r="A155" s="723">
        <f t="shared" si="38"/>
        <v>72</v>
      </c>
      <c r="C155" s="726" t="s">
        <v>211</v>
      </c>
      <c r="D155" s="268">
        <v>0</v>
      </c>
      <c r="E155" s="268">
        <f t="shared" ref="E155:M155" si="41">E117*(E$143/E$126)</f>
        <v>1576.6639441520674</v>
      </c>
      <c r="F155" s="268">
        <f t="shared" si="41"/>
        <v>-473314.78018965892</v>
      </c>
      <c r="G155" s="268">
        <f t="shared" si="41"/>
        <v>-4685198.030268902</v>
      </c>
      <c r="H155" s="268">
        <f t="shared" si="41"/>
        <v>-400175.01185544045</v>
      </c>
      <c r="I155" s="268">
        <f t="shared" si="41"/>
        <v>619531.5358848531</v>
      </c>
      <c r="J155" s="268">
        <f t="shared" si="41"/>
        <v>-941214.41394002829</v>
      </c>
      <c r="K155" s="268">
        <f t="shared" si="41"/>
        <v>1812.0442646072386</v>
      </c>
      <c r="L155" s="268">
        <f t="shared" si="41"/>
        <v>-2777.5522356584183</v>
      </c>
      <c r="M155" s="268">
        <f t="shared" si="41"/>
        <v>-312202.97406393028</v>
      </c>
      <c r="N155" s="266">
        <f t="shared" si="37"/>
        <v>-6191962.5184600055</v>
      </c>
    </row>
    <row r="156" spans="1:14" x14ac:dyDescent="0.2">
      <c r="A156" s="723">
        <f t="shared" si="38"/>
        <v>73</v>
      </c>
      <c r="C156" s="724" t="s">
        <v>212</v>
      </c>
      <c r="D156" s="268">
        <v>0</v>
      </c>
      <c r="E156" s="268">
        <f t="shared" ref="E156:M156" si="42">E118*(E$143/E$126)</f>
        <v>1584.2162932811229</v>
      </c>
      <c r="F156" s="268">
        <f t="shared" si="42"/>
        <v>-353920.73266051465</v>
      </c>
      <c r="G156" s="268">
        <f t="shared" si="42"/>
        <v>2438281.5997519242</v>
      </c>
      <c r="H156" s="268">
        <f t="shared" si="42"/>
        <v>107115.52455102086</v>
      </c>
      <c r="I156" s="268">
        <f t="shared" si="42"/>
        <v>-556198.42694696807</v>
      </c>
      <c r="J156" s="268">
        <f t="shared" si="42"/>
        <v>-1705342.9537714715</v>
      </c>
      <c r="K156" s="268">
        <f t="shared" si="42"/>
        <v>1808.8654532820765</v>
      </c>
      <c r="L156" s="268">
        <f t="shared" si="42"/>
        <v>-5226.3237821153125</v>
      </c>
      <c r="M156" s="268">
        <f t="shared" si="42"/>
        <v>-629772.63522372767</v>
      </c>
      <c r="N156" s="266">
        <f t="shared" si="37"/>
        <v>-701670.8663352892</v>
      </c>
    </row>
    <row r="157" spans="1:14" x14ac:dyDescent="0.2">
      <c r="A157" s="723">
        <f t="shared" si="38"/>
        <v>74</v>
      </c>
      <c r="C157" s="724" t="s">
        <v>213</v>
      </c>
      <c r="D157" s="268">
        <v>0</v>
      </c>
      <c r="E157" s="268">
        <f t="shared" ref="E157:M157" si="43">E119*(E$143/E$126)</f>
        <v>63905.581919544289</v>
      </c>
      <c r="F157" s="268">
        <f t="shared" si="43"/>
        <v>-332690.7178050704</v>
      </c>
      <c r="G157" s="268">
        <f t="shared" si="43"/>
        <v>2491845.9746290427</v>
      </c>
      <c r="H157" s="268">
        <f t="shared" si="43"/>
        <v>7489.7950295208248</v>
      </c>
      <c r="I157" s="268">
        <f t="shared" si="43"/>
        <v>-848801.07780855626</v>
      </c>
      <c r="J157" s="268">
        <f t="shared" si="43"/>
        <v>-1080341.8441054779</v>
      </c>
      <c r="K157" s="268">
        <f t="shared" si="43"/>
        <v>1801.3418244954537</v>
      </c>
      <c r="L157" s="268">
        <f t="shared" si="43"/>
        <v>-5417.906062291815</v>
      </c>
      <c r="M157" s="268">
        <f t="shared" si="43"/>
        <v>-270025.6666871832</v>
      </c>
      <c r="N157" s="266">
        <f t="shared" si="37"/>
        <v>27765.48093402409</v>
      </c>
    </row>
    <row r="158" spans="1:14" x14ac:dyDescent="0.2">
      <c r="A158" s="723">
        <f t="shared" si="38"/>
        <v>75</v>
      </c>
      <c r="C158" s="726" t="s">
        <v>214</v>
      </c>
      <c r="D158" s="268">
        <v>0</v>
      </c>
      <c r="E158" s="268">
        <f t="shared" ref="E158:M158" si="44">E120*(E$143/E$126)</f>
        <v>-60654.928046066227</v>
      </c>
      <c r="F158" s="268">
        <f t="shared" si="44"/>
        <v>-627961.28814287344</v>
      </c>
      <c r="G158" s="268">
        <f t="shared" si="44"/>
        <v>-2709689.741698001</v>
      </c>
      <c r="H158" s="268">
        <f t="shared" si="44"/>
        <v>486864.26646368159</v>
      </c>
      <c r="I158" s="268">
        <f t="shared" si="44"/>
        <v>483307.67514370958</v>
      </c>
      <c r="J158" s="268">
        <f t="shared" si="44"/>
        <v>159015.62261373259</v>
      </c>
      <c r="K158" s="268">
        <f t="shared" si="44"/>
        <v>13468.725866754707</v>
      </c>
      <c r="L158" s="268">
        <f t="shared" si="44"/>
        <v>-901.76988819731628</v>
      </c>
      <c r="M158" s="268">
        <f t="shared" si="44"/>
        <v>81097.120628406963</v>
      </c>
      <c r="N158" s="266">
        <f t="shared" si="37"/>
        <v>-2175454.3170588533</v>
      </c>
    </row>
    <row r="159" spans="1:14" x14ac:dyDescent="0.2">
      <c r="A159" s="723">
        <f t="shared" si="38"/>
        <v>76</v>
      </c>
      <c r="C159" s="724" t="s">
        <v>215</v>
      </c>
      <c r="D159" s="268">
        <v>0</v>
      </c>
      <c r="E159" s="268">
        <f t="shared" ref="E159:M159" si="45">E121*(E$143/E$126)</f>
        <v>1581.0856842323983</v>
      </c>
      <c r="F159" s="268">
        <f t="shared" si="45"/>
        <v>-625475.48222927947</v>
      </c>
      <c r="G159" s="268">
        <f t="shared" si="45"/>
        <v>8252475.1096439324</v>
      </c>
      <c r="H159" s="268">
        <f t="shared" si="45"/>
        <v>-1569942.9476682551</v>
      </c>
      <c r="I159" s="268">
        <f t="shared" si="45"/>
        <v>-483112.09722012409</v>
      </c>
      <c r="J159" s="268">
        <f t="shared" si="45"/>
        <v>-2358403.9647984123</v>
      </c>
      <c r="K159" s="268">
        <f t="shared" si="45"/>
        <v>-16445.609961305774</v>
      </c>
      <c r="L159" s="268">
        <f t="shared" si="45"/>
        <v>-5175.9408796255448</v>
      </c>
      <c r="M159" s="268">
        <f t="shared" si="45"/>
        <v>-1370030.8142026118</v>
      </c>
      <c r="N159" s="266">
        <f t="shared" si="37"/>
        <v>1825469.3383685509</v>
      </c>
    </row>
    <row r="160" spans="1:14" x14ac:dyDescent="0.2">
      <c r="A160" s="723">
        <f t="shared" si="38"/>
        <v>77</v>
      </c>
      <c r="C160" s="724" t="s">
        <v>216</v>
      </c>
      <c r="D160" s="268">
        <v>0</v>
      </c>
      <c r="E160" s="268">
        <f t="shared" ref="E160:M160" si="46">E122*(E$143/E$126)</f>
        <v>1579.063392088784</v>
      </c>
      <c r="F160" s="268">
        <f t="shared" si="46"/>
        <v>-318369.33002483816</v>
      </c>
      <c r="G160" s="268">
        <f t="shared" si="46"/>
        <v>-1247132.3695310045</v>
      </c>
      <c r="H160" s="268">
        <f t="shared" si="46"/>
        <v>-84589.597495606504</v>
      </c>
      <c r="I160" s="268">
        <f t="shared" si="46"/>
        <v>119293.98336301348</v>
      </c>
      <c r="J160" s="268">
        <f t="shared" si="46"/>
        <v>-948532.21244588098</v>
      </c>
      <c r="K160" s="268">
        <f t="shared" si="46"/>
        <v>1731.1793681169293</v>
      </c>
      <c r="L160" s="268">
        <f t="shared" si="46"/>
        <v>-6835.1563069125004</v>
      </c>
      <c r="M160" s="268">
        <f t="shared" si="46"/>
        <v>-1045140.4046246933</v>
      </c>
      <c r="N160" s="266">
        <f t="shared" si="37"/>
        <v>-3527994.8443057174</v>
      </c>
    </row>
    <row r="161" spans="1:14" x14ac:dyDescent="0.2">
      <c r="A161" s="723">
        <f t="shared" si="38"/>
        <v>78</v>
      </c>
      <c r="C161" s="726" t="s">
        <v>219</v>
      </c>
      <c r="D161" s="268">
        <v>0</v>
      </c>
      <c r="E161" s="268">
        <f t="shared" ref="E161:M161" si="47">E123*(E$143/E$126)</f>
        <v>1574.0778824913634</v>
      </c>
      <c r="F161" s="268">
        <f t="shared" si="47"/>
        <v>-480115.03791229142</v>
      </c>
      <c r="G161" s="268">
        <f t="shared" si="47"/>
        <v>128366392.31825119</v>
      </c>
      <c r="H161" s="268">
        <f t="shared" si="47"/>
        <v>-1997221.0033600286</v>
      </c>
      <c r="I161" s="268">
        <f t="shared" si="47"/>
        <v>-946248.55747106497</v>
      </c>
      <c r="J161" s="268">
        <f t="shared" si="47"/>
        <v>-3815984.8616759684</v>
      </c>
      <c r="K161" s="268">
        <f t="shared" si="47"/>
        <v>1761.7462319994652</v>
      </c>
      <c r="L161" s="268">
        <f t="shared" si="47"/>
        <v>-5297.491117145757</v>
      </c>
      <c r="M161" s="268">
        <f t="shared" si="47"/>
        <v>191820.88339939245</v>
      </c>
      <c r="N161" s="266">
        <f t="shared" si="37"/>
        <v>121316682.07422858</v>
      </c>
    </row>
    <row r="162" spans="1:14" x14ac:dyDescent="0.2">
      <c r="A162" s="723">
        <f t="shared" si="38"/>
        <v>79</v>
      </c>
      <c r="C162" s="726" t="s">
        <v>218</v>
      </c>
      <c r="D162" s="268">
        <v>0</v>
      </c>
      <c r="E162" s="268">
        <f t="shared" ref="E162:M162" si="48">E124*(E$143/E$126)</f>
        <v>1566.873814331273</v>
      </c>
      <c r="F162" s="268">
        <f t="shared" si="48"/>
        <v>1262053.0771191332</v>
      </c>
      <c r="G162" s="268">
        <f t="shared" si="48"/>
        <v>-99489393.172434285</v>
      </c>
      <c r="H162" s="268">
        <f t="shared" si="48"/>
        <v>-607493.05282711529</v>
      </c>
      <c r="I162" s="268">
        <f t="shared" si="48"/>
        <v>-1688181.1272757384</v>
      </c>
      <c r="J162" s="268">
        <f t="shared" si="48"/>
        <v>-1393273.417236961</v>
      </c>
      <c r="K162" s="268">
        <f t="shared" si="48"/>
        <v>1956.1449230064593</v>
      </c>
      <c r="L162" s="268">
        <f t="shared" si="48"/>
        <v>10886.713606860512</v>
      </c>
      <c r="M162" s="268">
        <f t="shared" si="48"/>
        <v>-477156.61754485598</v>
      </c>
      <c r="N162" s="266">
        <f t="shared" si="37"/>
        <v>-102379034.57785562</v>
      </c>
    </row>
    <row r="163" spans="1:14" x14ac:dyDescent="0.2">
      <c r="A163" s="723">
        <f t="shared" si="38"/>
        <v>80</v>
      </c>
      <c r="C163" s="724" t="s">
        <v>208</v>
      </c>
      <c r="D163" s="133">
        <v>0</v>
      </c>
      <c r="E163" s="643">
        <f t="shared" ref="E163:M163" si="49">E125*(E$143/E$126)</f>
        <v>801.2420149924925</v>
      </c>
      <c r="F163" s="643">
        <f t="shared" si="49"/>
        <v>-4441150.3089381121</v>
      </c>
      <c r="G163" s="643">
        <f t="shared" si="49"/>
        <v>-3737615.6343570109</v>
      </c>
      <c r="H163" s="643">
        <f t="shared" si="49"/>
        <v>-4204359.7201111475</v>
      </c>
      <c r="I163" s="643">
        <f t="shared" si="49"/>
        <v>-628063.16593729553</v>
      </c>
      <c r="J163" s="643">
        <f t="shared" si="49"/>
        <v>-7765585.3628752371</v>
      </c>
      <c r="K163" s="643">
        <f t="shared" si="49"/>
        <v>1922.738965435499</v>
      </c>
      <c r="L163" s="643">
        <f t="shared" si="49"/>
        <v>-1568.5104057488084</v>
      </c>
      <c r="M163" s="643">
        <f t="shared" si="49"/>
        <v>-3770968.3915280281</v>
      </c>
      <c r="N163" s="430">
        <f t="shared" si="37"/>
        <v>-24546587.113172151</v>
      </c>
    </row>
    <row r="164" spans="1:14" x14ac:dyDescent="0.2">
      <c r="A164" s="723">
        <f t="shared" si="38"/>
        <v>81</v>
      </c>
      <c r="C164" s="727" t="s">
        <v>4</v>
      </c>
      <c r="D164" s="266">
        <f>SUM(D152:D163)</f>
        <v>0</v>
      </c>
      <c r="E164" s="266">
        <f t="shared" ref="E164:M164" si="50">SUM(E152:E163)</f>
        <v>18080.999779192509</v>
      </c>
      <c r="F164" s="266">
        <f t="shared" si="50"/>
        <v>-7845624.6023847209</v>
      </c>
      <c r="G164" s="266">
        <f t="shared" si="50"/>
        <v>-26147956.834543236</v>
      </c>
      <c r="H164" s="266">
        <f t="shared" si="50"/>
        <v>-24551650.728902485</v>
      </c>
      <c r="I164" s="266">
        <f t="shared" si="50"/>
        <v>-4038948.9947956074</v>
      </c>
      <c r="J164" s="266">
        <f t="shared" si="50"/>
        <v>-28904078.457008265</v>
      </c>
      <c r="K164" s="266">
        <f t="shared" si="50"/>
        <v>15384.984084402469</v>
      </c>
      <c r="L164" s="266">
        <f t="shared" si="50"/>
        <v>-35578.230997030303</v>
      </c>
      <c r="M164" s="266">
        <f t="shared" si="50"/>
        <v>-12754943.057298604</v>
      </c>
      <c r="N164" s="266">
        <f>SUM(N152:N163)</f>
        <v>-104245314.92206633</v>
      </c>
    </row>
    <row r="167" spans="1:14" x14ac:dyDescent="0.2">
      <c r="B167" s="494" t="s">
        <v>269</v>
      </c>
    </row>
    <row r="168" spans="1:14" x14ac:dyDescent="0.2">
      <c r="B168" s="683" t="str">
        <f>"1) Amounts on Line "&amp;A12&amp;" derived from Plant Study for previous year Prior Year."</f>
        <v>1) Amounts on Line 1 derived from Plant Study for previous year Prior Year.</v>
      </c>
    </row>
    <row r="169" spans="1:14" x14ac:dyDescent="0.2">
      <c r="B169" s="687" t="str">
        <f>"Amounts on Line "&amp;A24&amp;" derived from Plant Study for Prior Year."</f>
        <v>Amounts on Line 13 derived from Plant Study for Prior Year.</v>
      </c>
    </row>
    <row r="170" spans="1:14" x14ac:dyDescent="0.2">
      <c r="B170" s="683" t="s">
        <v>1939</v>
      </c>
    </row>
    <row r="171" spans="1:14" x14ac:dyDescent="0.2">
      <c r="B171" s="687" t="str">
        <f>"a) Depreciation Expense (on Lines "&amp;A93&amp;" to "&amp;A104&amp;")"</f>
        <v>a) Depreciation Expense (on Lines 40 to 51)</v>
      </c>
    </row>
    <row r="172" spans="1:14" x14ac:dyDescent="0.2">
      <c r="B172" s="687" t="str">
        <f>"b) Other Transmission Activity (on Lines "&amp;A152&amp;" to "&amp;A163&amp;")"</f>
        <v>b) Other Transmission Activity (on Lines 69 to 80)</v>
      </c>
    </row>
    <row r="173" spans="1:14" x14ac:dyDescent="0.2">
      <c r="B173" s="687" t="s">
        <v>1940</v>
      </c>
    </row>
    <row r="174" spans="1:14" x14ac:dyDescent="0.2">
      <c r="B174" s="683" t="str">
        <f>"2) Amounts on Line "&amp;A34&amp;" derived from Plant Study for previous year Prior Year."</f>
        <v>2) Amounts on Line 15 derived from Plant Study for previous year Prior Year.</v>
      </c>
    </row>
    <row r="175" spans="1:14" x14ac:dyDescent="0.2">
      <c r="B175" s="687" t="str">
        <f>"Amounts on Line "&amp;A35&amp;" derived from Plant Study for Prior Year."</f>
        <v>Amounts on Line 16 derived from Plant Study for Prior Year.</v>
      </c>
    </row>
    <row r="176" spans="1:14" x14ac:dyDescent="0.2">
      <c r="B176" s="683" t="s">
        <v>1946</v>
      </c>
    </row>
    <row r="177" spans="2:2" x14ac:dyDescent="0.2">
      <c r="B177" t="str">
        <f>"4) From Depreciation Worksheet, Lines "&amp;Depreciation!A35&amp;" to "&amp;Depreciation!A46&amp;"."</f>
        <v>4) From Depreciation Worksheet, Lines 24 to 35.</v>
      </c>
    </row>
    <row r="178" spans="2:2" x14ac:dyDescent="0.2">
      <c r="B178" s="683" t="str">
        <f>"5) Amount in matrix on lines "&amp;A72&amp;" to "&amp;A83&amp;" minus amount in matrix on lines "&amp;A93&amp;" to "&amp;A104&amp;"."</f>
        <v>5) Amount in matrix on lines 27 to 38 minus amount in matrix on lines 40 to 51.</v>
      </c>
    </row>
    <row r="179" spans="2:2" x14ac:dyDescent="0.2">
      <c r="B179" s="683" t="str">
        <f>"6) Line "&amp;A24&amp;" - Line "&amp;A12&amp;"."</f>
        <v>6) Line 13 - Line 1.</v>
      </c>
    </row>
    <row r="180" spans="2:2" x14ac:dyDescent="0.2">
      <c r="B180" t="str">
        <f>"7) Line "&amp;A105&amp;"."</f>
        <v>7) Line 52.</v>
      </c>
    </row>
    <row r="181" spans="2:2" x14ac:dyDescent="0.2">
      <c r="B181" s="683" t="str">
        <f>"8) Line "&amp;A133&amp;" - Line "&amp;A138&amp;"."</f>
        <v>8) Line 66 - Line 67.</v>
      </c>
    </row>
    <row r="182" spans="2:2" x14ac:dyDescent="0.2">
      <c r="B182" t="str">
        <f>"9) Amount in matrix on Lines "&amp;A114&amp;" to "&amp;A125&amp;" times ratio of amount on Line "&amp;A143&amp;" to amount on Line "&amp;A126&amp;" for each account."</f>
        <v>9) Amount in matrix on Lines 53 to 64 times ratio of amount on Line 68 to amount on Line 65 for each account.</v>
      </c>
    </row>
  </sheetData>
  <phoneticPr fontId="8" type="noConversion"/>
  <pageMargins left="0.75" right="0.75" top="1" bottom="1" header="0.5" footer="0.5"/>
  <pageSetup scale="65" orientation="landscape" r:id="rId1"/>
  <headerFooter alignWithMargins="0">
    <oddHeader>&amp;CSchedule 8
Accumulated Depreciation&amp;RDkt. No. ER11-3697
2014 Draft Informational Filing</oddHeader>
    <oddFooter>&amp;R&amp;A</oddFooter>
  </headerFooter>
  <rowBreaks count="3" manualBreakCount="3">
    <brk id="37" max="16383" man="1"/>
    <brk id="85" max="16383" man="1"/>
    <brk id="12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zoomScale="90" zoomScaleNormal="90" zoomScaleSheetLayoutView="40" workbookViewId="0">
      <selection activeCell="H23" sqref="H23"/>
    </sheetView>
  </sheetViews>
  <sheetFormatPr defaultRowHeight="12.75" outlineLevelCol="1" x14ac:dyDescent="0.2"/>
  <cols>
    <col min="1" max="1" width="4.7109375" customWidth="1"/>
    <col min="2" max="2" width="9.7109375" style="763" customWidth="1"/>
    <col min="3" max="3" width="44.7109375" style="763" customWidth="1"/>
    <col min="4" max="4" width="17.140625" style="763" customWidth="1"/>
    <col min="5" max="5" width="15.7109375" style="763" customWidth="1" outlineLevel="1"/>
    <col min="6" max="8" width="15.7109375" style="763" customWidth="1"/>
    <col min="9" max="9" width="16.140625" style="763" bestFit="1" customWidth="1"/>
    <col min="10" max="10" width="33.7109375" style="763" customWidth="1"/>
  </cols>
  <sheetData>
    <row r="1" spans="1:12" x14ac:dyDescent="0.2">
      <c r="A1" s="488" t="s">
        <v>1491</v>
      </c>
      <c r="B1" s="264"/>
      <c r="C1" s="264"/>
      <c r="D1" s="264"/>
      <c r="E1" s="264"/>
      <c r="F1" s="489" t="s">
        <v>351</v>
      </c>
      <c r="G1" s="489"/>
      <c r="H1" s="274"/>
      <c r="I1" s="264"/>
      <c r="J1" s="264"/>
      <c r="K1" s="761"/>
      <c r="L1" s="761"/>
    </row>
    <row r="2" spans="1:12" x14ac:dyDescent="0.2">
      <c r="A2" s="264"/>
      <c r="B2" s="291"/>
      <c r="C2" s="698"/>
      <c r="D2" s="698"/>
      <c r="E2" s="264"/>
      <c r="F2" s="264"/>
      <c r="G2" s="264"/>
      <c r="H2" s="264"/>
      <c r="I2" s="264"/>
      <c r="J2" s="264"/>
      <c r="K2" s="761"/>
      <c r="L2" s="761"/>
    </row>
    <row r="3" spans="1:12" x14ac:dyDescent="0.2">
      <c r="A3" s="264"/>
      <c r="B3" s="291" t="s">
        <v>1976</v>
      </c>
      <c r="C3" s="698"/>
      <c r="D3" s="698"/>
      <c r="E3" s="264"/>
      <c r="F3" s="264"/>
      <c r="G3" s="264"/>
      <c r="H3" s="264"/>
      <c r="I3" s="264"/>
      <c r="J3" s="264"/>
      <c r="K3" s="761"/>
      <c r="L3" s="761"/>
    </row>
    <row r="4" spans="1:12" x14ac:dyDescent="0.2">
      <c r="A4" s="264"/>
      <c r="B4" s="291"/>
      <c r="C4" s="698"/>
      <c r="D4" s="698"/>
      <c r="E4" s="264"/>
      <c r="F4" s="264"/>
      <c r="G4" s="264"/>
      <c r="H4" s="264"/>
      <c r="I4" s="264"/>
      <c r="J4" s="264"/>
      <c r="K4" s="761"/>
      <c r="L4" s="761"/>
    </row>
    <row r="5" spans="1:12" x14ac:dyDescent="0.2">
      <c r="A5" s="264"/>
      <c r="B5" s="762" t="s">
        <v>1977</v>
      </c>
      <c r="C5" s="698"/>
      <c r="D5" s="698"/>
      <c r="E5" s="264"/>
      <c r="F5" s="264"/>
      <c r="G5" s="264"/>
      <c r="H5" s="264"/>
      <c r="I5" s="264"/>
      <c r="J5" s="264"/>
      <c r="K5" s="761"/>
      <c r="L5" s="761"/>
    </row>
    <row r="6" spans="1:12" x14ac:dyDescent="0.2">
      <c r="A6" s="264"/>
      <c r="B6" s="291"/>
      <c r="C6" s="99" t="s">
        <v>417</v>
      </c>
      <c r="D6" s="99" t="s">
        <v>400</v>
      </c>
      <c r="E6" s="264"/>
      <c r="I6" s="264"/>
      <c r="J6" s="264"/>
      <c r="K6" s="761"/>
      <c r="L6" s="761"/>
    </row>
    <row r="7" spans="1:12" x14ac:dyDescent="0.2">
      <c r="A7" s="264"/>
      <c r="C7" s="698"/>
      <c r="D7" s="264"/>
      <c r="E7" s="264"/>
      <c r="I7" s="264"/>
      <c r="J7" s="264"/>
      <c r="K7" s="761"/>
      <c r="L7" s="761"/>
    </row>
    <row r="8" spans="1:12" x14ac:dyDescent="0.2">
      <c r="A8" s="264"/>
      <c r="B8" s="291"/>
      <c r="C8" s="274"/>
      <c r="D8" s="131" t="s">
        <v>225</v>
      </c>
      <c r="J8" s="264"/>
      <c r="K8" s="761"/>
      <c r="L8" s="761"/>
    </row>
    <row r="9" spans="1:12" x14ac:dyDescent="0.2">
      <c r="A9" s="55" t="s">
        <v>380</v>
      </c>
      <c r="B9" s="291"/>
      <c r="C9" s="745" t="s">
        <v>117</v>
      </c>
      <c r="D9" s="146" t="s">
        <v>231</v>
      </c>
      <c r="E9" s="431" t="s">
        <v>207</v>
      </c>
      <c r="J9" s="264"/>
      <c r="K9" s="761"/>
      <c r="L9" s="761"/>
    </row>
    <row r="10" spans="1:12" ht="15" x14ac:dyDescent="0.25">
      <c r="A10" s="462">
        <v>1</v>
      </c>
      <c r="B10" s="291"/>
      <c r="C10" s="685" t="s">
        <v>1496</v>
      </c>
      <c r="D10" s="700">
        <f>+D77</f>
        <v>6021230.9643071834</v>
      </c>
      <c r="E10" s="682" t="str">
        <f>"Line "&amp;A77&amp;", Col. 2"</f>
        <v>Line 353, Col. 2</v>
      </c>
      <c r="J10" s="264"/>
      <c r="K10" s="761"/>
      <c r="L10" s="761"/>
    </row>
    <row r="11" spans="1:12" x14ac:dyDescent="0.2">
      <c r="A11" s="830">
        <f>A10+1</f>
        <v>2</v>
      </c>
      <c r="B11" s="291"/>
      <c r="C11" s="685" t="s">
        <v>1494</v>
      </c>
      <c r="D11" s="700">
        <f>+D100</f>
        <v>-673601260.62423754</v>
      </c>
      <c r="E11" s="682" t="str">
        <f>"Line "&amp;A100&amp;", Col. 2"</f>
        <v>Line 452, Col. 2</v>
      </c>
      <c r="J11" s="264"/>
      <c r="K11" s="761"/>
      <c r="L11" s="761"/>
    </row>
    <row r="12" spans="1:12" x14ac:dyDescent="0.2">
      <c r="A12" s="830">
        <f t="shared" ref="A12:A24" si="0">A11+1</f>
        <v>3</v>
      </c>
      <c r="B12" s="291"/>
      <c r="C12" s="685" t="s">
        <v>1495</v>
      </c>
      <c r="D12" s="700">
        <f>+D149</f>
        <v>-15189965.292511435</v>
      </c>
      <c r="E12" s="682" t="str">
        <f>"Line "&amp;A149&amp;", Col. 2"</f>
        <v>Line 803, Col. 2</v>
      </c>
      <c r="I12" s="764"/>
      <c r="J12" s="264"/>
      <c r="K12" s="761"/>
      <c r="L12" s="761"/>
    </row>
    <row r="13" spans="1:12" x14ac:dyDescent="0.2">
      <c r="A13" s="830">
        <f t="shared" si="0"/>
        <v>4</v>
      </c>
      <c r="B13" s="291"/>
      <c r="C13" s="683" t="s">
        <v>2187</v>
      </c>
      <c r="D13" s="700">
        <f>G164</f>
        <v>20684062.220617343</v>
      </c>
      <c r="E13" s="682" t="str">
        <f>"Line "&amp;A164&amp;", Col. 5"</f>
        <v>Line 809, Col. 5</v>
      </c>
      <c r="I13" s="764"/>
      <c r="J13" s="264"/>
      <c r="K13" s="761"/>
      <c r="L13" s="761"/>
    </row>
    <row r="14" spans="1:12" x14ac:dyDescent="0.2">
      <c r="A14" s="830">
        <f t="shared" si="0"/>
        <v>5</v>
      </c>
      <c r="B14" s="291"/>
      <c r="C14" s="685" t="s">
        <v>1980</v>
      </c>
      <c r="D14" s="703">
        <f t="shared" ref="D14" si="1">SUM(D10:D13)</f>
        <v>-662085932.73182452</v>
      </c>
      <c r="E14" s="816" t="str">
        <f>"Sum of Lines "&amp;A10&amp;" to "&amp;A13&amp;""</f>
        <v>Sum of Lines 1 to 4</v>
      </c>
      <c r="J14" s="264"/>
      <c r="K14" s="761"/>
      <c r="L14" s="761"/>
    </row>
    <row r="15" spans="1:12" x14ac:dyDescent="0.2">
      <c r="A15" s="830">
        <f t="shared" si="0"/>
        <v>6</v>
      </c>
      <c r="B15" s="291"/>
      <c r="D15" s="274"/>
      <c r="E15" s="274"/>
      <c r="G15" s="765"/>
      <c r="H15" s="284"/>
      <c r="I15" s="274"/>
      <c r="J15" s="264"/>
      <c r="K15" s="761"/>
      <c r="L15" s="761"/>
    </row>
    <row r="16" spans="1:12" x14ac:dyDescent="0.2">
      <c r="A16" s="830">
        <f t="shared" si="0"/>
        <v>7</v>
      </c>
      <c r="B16" s="762" t="s">
        <v>1979</v>
      </c>
      <c r="E16" s="274"/>
      <c r="G16" s="764"/>
      <c r="H16" s="766"/>
      <c r="I16" s="764"/>
      <c r="J16" s="264"/>
      <c r="K16" s="761"/>
      <c r="L16" s="761"/>
    </row>
    <row r="17" spans="1:12" x14ac:dyDescent="0.2">
      <c r="A17" s="830">
        <f t="shared" si="0"/>
        <v>8</v>
      </c>
      <c r="B17" s="762"/>
      <c r="D17" s="131" t="s">
        <v>448</v>
      </c>
      <c r="E17" s="274"/>
      <c r="G17" s="764"/>
      <c r="H17" s="766"/>
      <c r="I17" s="764"/>
      <c r="J17" s="264"/>
      <c r="K17" s="761"/>
      <c r="L17" s="761"/>
    </row>
    <row r="18" spans="1:12" x14ac:dyDescent="0.2">
      <c r="A18" s="830">
        <f t="shared" si="0"/>
        <v>9</v>
      </c>
      <c r="B18" s="291"/>
      <c r="D18" s="146" t="s">
        <v>231</v>
      </c>
      <c r="E18" s="431" t="s">
        <v>207</v>
      </c>
      <c r="G18" s="767"/>
      <c r="H18" s="764"/>
      <c r="I18" s="764"/>
      <c r="J18" s="264"/>
      <c r="K18" s="761"/>
      <c r="L18" s="761"/>
    </row>
    <row r="19" spans="1:12" x14ac:dyDescent="0.2">
      <c r="A19" s="830">
        <f t="shared" si="0"/>
        <v>10</v>
      </c>
      <c r="B19" s="291"/>
      <c r="C19" s="685" t="s">
        <v>1980</v>
      </c>
      <c r="D19" s="269">
        <v>-443709268.10403901</v>
      </c>
      <c r="E19" s="649" t="str">
        <f>"Previous Year Informational Filing, Line "&amp;A14&amp;", Col. 2"</f>
        <v>Previous Year Informational Filing, Line 5, Col. 2</v>
      </c>
      <c r="G19" s="764"/>
      <c r="H19" s="764"/>
      <c r="I19" s="764"/>
      <c r="K19" s="761"/>
      <c r="L19" s="761"/>
    </row>
    <row r="20" spans="1:12" x14ac:dyDescent="0.2">
      <c r="A20" s="830">
        <f t="shared" si="0"/>
        <v>11</v>
      </c>
      <c r="B20" s="291"/>
      <c r="D20" s="274"/>
      <c r="E20" s="274"/>
      <c r="F20" s="764"/>
      <c r="G20" s="764"/>
      <c r="H20" s="764"/>
      <c r="I20" s="764"/>
      <c r="J20" s="264"/>
      <c r="K20" s="761"/>
      <c r="L20" s="761"/>
    </row>
    <row r="21" spans="1:12" x14ac:dyDescent="0.2">
      <c r="A21" s="830">
        <f t="shared" si="0"/>
        <v>12</v>
      </c>
      <c r="B21" s="762" t="s">
        <v>1981</v>
      </c>
      <c r="D21" s="274"/>
      <c r="E21" s="274"/>
      <c r="F21" s="764"/>
      <c r="G21" s="764"/>
      <c r="H21" s="764"/>
      <c r="I21" s="764"/>
      <c r="J21" s="264"/>
      <c r="K21" s="761"/>
      <c r="L21" s="761"/>
    </row>
    <row r="22" spans="1:12" x14ac:dyDescent="0.2">
      <c r="A22" s="830">
        <f t="shared" si="0"/>
        <v>13</v>
      </c>
      <c r="B22" s="698"/>
      <c r="C22" s="768"/>
      <c r="D22" s="547" t="s">
        <v>268</v>
      </c>
      <c r="E22" s="264"/>
      <c r="F22" s="264"/>
      <c r="G22" s="264"/>
      <c r="H22" s="264"/>
      <c r="I22" s="264"/>
      <c r="J22" s="264"/>
      <c r="K22" s="761"/>
      <c r="L22" s="761"/>
    </row>
    <row r="23" spans="1:12" x14ac:dyDescent="0.2">
      <c r="A23" s="830">
        <f t="shared" si="0"/>
        <v>14</v>
      </c>
      <c r="B23" s="698"/>
      <c r="D23" s="146" t="s">
        <v>231</v>
      </c>
      <c r="E23" s="431" t="s">
        <v>207</v>
      </c>
      <c r="F23" s="264"/>
      <c r="G23" s="767"/>
      <c r="H23" s="264"/>
      <c r="I23" s="264"/>
      <c r="J23" s="264"/>
      <c r="K23" s="761"/>
      <c r="L23" s="761"/>
    </row>
    <row r="24" spans="1:12" x14ac:dyDescent="0.2">
      <c r="A24" s="830">
        <f t="shared" si="0"/>
        <v>15</v>
      </c>
      <c r="B24" s="698"/>
      <c r="C24" s="740" t="s">
        <v>1982</v>
      </c>
      <c r="D24" s="769">
        <f>(D14+D19)/2</f>
        <v>-552897600.4179318</v>
      </c>
      <c r="E24" s="284" t="str">
        <f>"Average of Line "&amp;A14&amp;" and Line "&amp;A19&amp;""</f>
        <v>Average of Line 5 and Line 10</v>
      </c>
      <c r="F24" s="264"/>
      <c r="G24" s="764"/>
      <c r="H24" s="264"/>
      <c r="I24" s="264"/>
      <c r="J24" s="264"/>
      <c r="K24" s="761"/>
      <c r="L24" s="761"/>
    </row>
    <row r="25" spans="1:12" x14ac:dyDescent="0.2">
      <c r="A25" s="830"/>
      <c r="B25" s="698"/>
      <c r="C25" s="768"/>
      <c r="D25" s="589"/>
      <c r="E25" s="264"/>
      <c r="F25" s="264"/>
      <c r="G25" s="264"/>
      <c r="H25" s="264"/>
      <c r="I25" s="264"/>
      <c r="J25" s="264"/>
      <c r="K25" s="761"/>
      <c r="L25" s="761"/>
    </row>
    <row r="26" spans="1:12" x14ac:dyDescent="0.2">
      <c r="A26" s="830"/>
      <c r="B26" s="291" t="s">
        <v>1983</v>
      </c>
      <c r="C26" s="768"/>
      <c r="D26" s="589"/>
      <c r="E26" s="264"/>
      <c r="F26" s="264"/>
      <c r="G26" s="264"/>
      <c r="H26" s="264"/>
      <c r="I26" s="264"/>
      <c r="J26" s="264"/>
      <c r="K26" s="761"/>
      <c r="L26" s="761"/>
    </row>
    <row r="27" spans="1:12" x14ac:dyDescent="0.2">
      <c r="A27" s="830"/>
      <c r="B27" s="291"/>
      <c r="C27" s="99" t="s">
        <v>417</v>
      </c>
      <c r="D27" s="99" t="s">
        <v>400</v>
      </c>
      <c r="E27" s="99" t="s">
        <v>401</v>
      </c>
      <c r="F27" s="99" t="s">
        <v>402</v>
      </c>
      <c r="G27" s="99" t="s">
        <v>403</v>
      </c>
      <c r="H27" s="99" t="s">
        <v>404</v>
      </c>
      <c r="I27" s="99" t="s">
        <v>405</v>
      </c>
      <c r="J27" s="264"/>
      <c r="K27" s="761"/>
      <c r="L27" s="761"/>
    </row>
    <row r="28" spans="1:12" x14ac:dyDescent="0.2">
      <c r="A28" s="683"/>
      <c r="B28" s="547"/>
      <c r="C28" s="547"/>
      <c r="D28" s="547" t="s">
        <v>1984</v>
      </c>
      <c r="E28" s="547" t="s">
        <v>1985</v>
      </c>
      <c r="F28" s="547"/>
      <c r="G28" s="547"/>
      <c r="H28" s="547" t="s">
        <v>1569</v>
      </c>
      <c r="I28" s="264"/>
      <c r="J28" s="264"/>
      <c r="K28" s="761"/>
      <c r="L28" s="761"/>
    </row>
    <row r="29" spans="1:12" x14ac:dyDescent="0.2">
      <c r="A29" s="683"/>
      <c r="B29" s="770" t="s">
        <v>1986</v>
      </c>
      <c r="C29" s="770" t="s">
        <v>1987</v>
      </c>
      <c r="D29" s="770" t="s">
        <v>1988</v>
      </c>
      <c r="E29" s="770" t="s">
        <v>1989</v>
      </c>
      <c r="F29" s="770" t="s">
        <v>1990</v>
      </c>
      <c r="G29" s="770" t="s">
        <v>1991</v>
      </c>
      <c r="H29" s="770" t="s">
        <v>1978</v>
      </c>
      <c r="I29" s="770" t="s">
        <v>118</v>
      </c>
      <c r="J29" s="264"/>
      <c r="K29" s="761"/>
      <c r="L29" s="761"/>
    </row>
    <row r="30" spans="1:12" x14ac:dyDescent="0.2">
      <c r="A30" s="830"/>
      <c r="B30" s="698" t="s">
        <v>1993</v>
      </c>
      <c r="C30" s="698"/>
      <c r="D30" s="698"/>
      <c r="E30" s="264"/>
      <c r="F30" s="264"/>
      <c r="G30" s="264"/>
      <c r="H30" s="264"/>
      <c r="I30" s="264"/>
      <c r="J30" s="264"/>
      <c r="K30" s="761"/>
      <c r="L30" s="761"/>
    </row>
    <row r="31" spans="1:12" x14ac:dyDescent="0.2">
      <c r="A31" s="219">
        <f>100</f>
        <v>100</v>
      </c>
      <c r="B31" s="1028">
        <v>190</v>
      </c>
      <c r="C31" s="1029" t="s">
        <v>2429</v>
      </c>
      <c r="D31" s="1030">
        <v>147354</v>
      </c>
      <c r="E31" s="269"/>
      <c r="F31" s="269"/>
      <c r="G31" s="269">
        <f>D31</f>
        <v>147354</v>
      </c>
      <c r="H31" s="269"/>
      <c r="I31" s="489" t="s">
        <v>2430</v>
      </c>
      <c r="J31" s="489"/>
      <c r="K31" s="761"/>
      <c r="L31" s="761"/>
    </row>
    <row r="32" spans="1:12" x14ac:dyDescent="0.2">
      <c r="A32" s="219">
        <f t="shared" ref="A32:A53" si="2">A31+1</f>
        <v>101</v>
      </c>
      <c r="B32" s="1028">
        <v>190</v>
      </c>
      <c r="C32" s="1029" t="s">
        <v>127</v>
      </c>
      <c r="D32" s="1030">
        <v>1501</v>
      </c>
      <c r="E32" s="269"/>
      <c r="F32" s="269"/>
      <c r="G32" s="269">
        <f>D32</f>
        <v>1501</v>
      </c>
      <c r="H32" s="269"/>
      <c r="I32" s="489" t="s">
        <v>2430</v>
      </c>
      <c r="J32" s="489"/>
      <c r="K32" s="761"/>
      <c r="L32" s="761"/>
    </row>
    <row r="33" spans="1:12" x14ac:dyDescent="0.2">
      <c r="A33" s="219">
        <f t="shared" si="2"/>
        <v>102</v>
      </c>
      <c r="B33" s="1028">
        <v>190</v>
      </c>
      <c r="C33" s="1029" t="s">
        <v>2431</v>
      </c>
      <c r="D33" s="1030">
        <v>2900524</v>
      </c>
      <c r="E33" s="269"/>
      <c r="F33" s="269"/>
      <c r="G33" s="269"/>
      <c r="H33" s="269">
        <f>D33</f>
        <v>2900524</v>
      </c>
      <c r="I33" s="489" t="s">
        <v>2432</v>
      </c>
      <c r="J33" s="489"/>
      <c r="K33" s="761"/>
      <c r="L33" s="761"/>
    </row>
    <row r="34" spans="1:12" x14ac:dyDescent="0.2">
      <c r="A34" s="219">
        <f t="shared" si="2"/>
        <v>103</v>
      </c>
      <c r="B34" s="1028">
        <v>190</v>
      </c>
      <c r="C34" s="1029" t="s">
        <v>2433</v>
      </c>
      <c r="D34" s="1030">
        <v>0</v>
      </c>
      <c r="E34" s="269"/>
      <c r="F34" s="269">
        <v>0</v>
      </c>
      <c r="G34" s="269"/>
      <c r="H34" s="269"/>
      <c r="I34" s="489" t="s">
        <v>2434</v>
      </c>
      <c r="J34" s="489"/>
      <c r="K34" s="761"/>
      <c r="L34" s="761"/>
    </row>
    <row r="35" spans="1:12" x14ac:dyDescent="0.2">
      <c r="A35" s="219">
        <f t="shared" si="2"/>
        <v>104</v>
      </c>
      <c r="B35" s="1028">
        <v>190</v>
      </c>
      <c r="C35" s="1029" t="s">
        <v>2435</v>
      </c>
      <c r="D35" s="1030">
        <v>0</v>
      </c>
      <c r="E35" s="269"/>
      <c r="F35" s="269"/>
      <c r="G35" s="269">
        <v>0</v>
      </c>
      <c r="H35" s="269"/>
      <c r="I35" s="489" t="s">
        <v>2430</v>
      </c>
      <c r="J35" s="489"/>
      <c r="K35" s="761"/>
      <c r="L35" s="761"/>
    </row>
    <row r="36" spans="1:12" ht="12.75" customHeight="1" x14ac:dyDescent="0.2">
      <c r="A36" s="219">
        <f t="shared" si="2"/>
        <v>105</v>
      </c>
      <c r="B36" s="1028">
        <v>190</v>
      </c>
      <c r="C36" s="1029" t="s">
        <v>2436</v>
      </c>
      <c r="D36" s="1030">
        <v>1839019</v>
      </c>
      <c r="E36" s="269"/>
      <c r="F36" s="269"/>
      <c r="G36" s="269">
        <f>D36</f>
        <v>1839019</v>
      </c>
      <c r="H36" s="269"/>
      <c r="I36" s="489" t="s">
        <v>2430</v>
      </c>
      <c r="J36" s="489"/>
      <c r="K36" s="761"/>
      <c r="L36" s="761"/>
    </row>
    <row r="37" spans="1:12" x14ac:dyDescent="0.2">
      <c r="A37" s="219">
        <f t="shared" si="2"/>
        <v>106</v>
      </c>
      <c r="B37" s="1028">
        <v>190</v>
      </c>
      <c r="C37" s="1029" t="s">
        <v>2437</v>
      </c>
      <c r="D37" s="1030">
        <v>2984473</v>
      </c>
      <c r="E37" s="269"/>
      <c r="F37" s="269"/>
      <c r="G37" s="269"/>
      <c r="H37" s="269">
        <f>D37</f>
        <v>2984473</v>
      </c>
      <c r="I37" s="489" t="s">
        <v>2432</v>
      </c>
      <c r="J37" s="489"/>
      <c r="K37" s="761"/>
      <c r="L37" s="761"/>
    </row>
    <row r="38" spans="1:12" x14ac:dyDescent="0.2">
      <c r="A38" s="219">
        <f t="shared" si="2"/>
        <v>107</v>
      </c>
      <c r="B38" s="1028">
        <v>190</v>
      </c>
      <c r="C38" s="1029" t="s">
        <v>2438</v>
      </c>
      <c r="D38" s="1030">
        <v>63030397</v>
      </c>
      <c r="E38" s="725"/>
      <c r="F38" s="269"/>
      <c r="G38" s="269"/>
      <c r="H38" s="269">
        <f>D38</f>
        <v>63030397</v>
      </c>
      <c r="I38" s="489" t="s">
        <v>2432</v>
      </c>
      <c r="J38" s="489"/>
      <c r="K38" s="761"/>
      <c r="L38" s="761"/>
    </row>
    <row r="39" spans="1:12" x14ac:dyDescent="0.2">
      <c r="A39" s="219">
        <f t="shared" si="2"/>
        <v>108</v>
      </c>
      <c r="B39" s="1028">
        <v>190</v>
      </c>
      <c r="C39" s="1029" t="s">
        <v>2439</v>
      </c>
      <c r="D39" s="1030">
        <v>23957684</v>
      </c>
      <c r="E39" s="269"/>
      <c r="F39" s="269"/>
      <c r="G39" s="269"/>
      <c r="H39" s="269">
        <f>D39</f>
        <v>23957684</v>
      </c>
      <c r="I39" s="489" t="s">
        <v>2432</v>
      </c>
      <c r="J39" s="489"/>
      <c r="K39" s="761"/>
      <c r="L39" s="761"/>
    </row>
    <row r="40" spans="1:12" x14ac:dyDescent="0.2">
      <c r="A40" s="219">
        <f>+A39+1</f>
        <v>109</v>
      </c>
      <c r="B40" s="1028">
        <v>190</v>
      </c>
      <c r="C40" s="1029" t="s">
        <v>2440</v>
      </c>
      <c r="D40" s="1030">
        <v>981547</v>
      </c>
      <c r="E40" s="269"/>
      <c r="F40" s="269"/>
      <c r="G40" s="269"/>
      <c r="H40" s="269">
        <f>D40</f>
        <v>981547</v>
      </c>
      <c r="I40" s="489" t="s">
        <v>2432</v>
      </c>
      <c r="J40" s="489"/>
      <c r="K40" s="761"/>
      <c r="L40" s="761"/>
    </row>
    <row r="41" spans="1:12" x14ac:dyDescent="0.2">
      <c r="A41" s="219">
        <f t="shared" si="2"/>
        <v>110</v>
      </c>
      <c r="B41" s="1028">
        <v>190</v>
      </c>
      <c r="C41" s="1029" t="s">
        <v>2441</v>
      </c>
      <c r="D41" s="1030">
        <v>0</v>
      </c>
      <c r="E41" s="269"/>
      <c r="F41" s="269"/>
      <c r="G41" s="269">
        <v>0</v>
      </c>
      <c r="H41" s="269"/>
      <c r="I41" s="489" t="s">
        <v>2430</v>
      </c>
      <c r="J41" s="489"/>
      <c r="K41" s="761"/>
      <c r="L41" s="761"/>
    </row>
    <row r="42" spans="1:12" x14ac:dyDescent="0.2">
      <c r="A42" s="219">
        <f t="shared" si="2"/>
        <v>111</v>
      </c>
      <c r="B42" s="1028">
        <v>190</v>
      </c>
      <c r="C42" s="1029" t="s">
        <v>2442</v>
      </c>
      <c r="D42" s="1030">
        <v>49972</v>
      </c>
      <c r="E42" s="269"/>
      <c r="F42" s="269"/>
      <c r="G42" s="269">
        <f>D42</f>
        <v>49972</v>
      </c>
      <c r="H42" s="269"/>
      <c r="I42" s="489" t="s">
        <v>2430</v>
      </c>
      <c r="J42" s="489"/>
      <c r="K42" s="761"/>
      <c r="L42" s="761"/>
    </row>
    <row r="43" spans="1:12" x14ac:dyDescent="0.2">
      <c r="A43" s="219">
        <f t="shared" si="2"/>
        <v>112</v>
      </c>
      <c r="B43" s="1028">
        <v>190</v>
      </c>
      <c r="C43" s="1029" t="s">
        <v>2443</v>
      </c>
      <c r="D43" s="1030">
        <v>0</v>
      </c>
      <c r="E43" s="269"/>
      <c r="F43" s="269"/>
      <c r="G43" s="269">
        <v>0</v>
      </c>
      <c r="H43" s="269"/>
      <c r="I43" s="489" t="s">
        <v>2430</v>
      </c>
      <c r="J43" s="489"/>
      <c r="K43" s="761"/>
      <c r="L43" s="761"/>
    </row>
    <row r="44" spans="1:12" x14ac:dyDescent="0.2">
      <c r="A44" s="219">
        <f t="shared" si="2"/>
        <v>113</v>
      </c>
      <c r="B44" s="1028">
        <v>190</v>
      </c>
      <c r="C44" s="1029" t="s">
        <v>2444</v>
      </c>
      <c r="D44" s="1030">
        <v>53767163</v>
      </c>
      <c r="E44" s="269"/>
      <c r="F44" s="269"/>
      <c r="G44" s="269"/>
      <c r="H44" s="269">
        <f>D44</f>
        <v>53767163</v>
      </c>
      <c r="I44" s="489" t="s">
        <v>2432</v>
      </c>
      <c r="J44" s="489"/>
      <c r="K44" s="761"/>
      <c r="L44" s="761"/>
    </row>
    <row r="45" spans="1:12" x14ac:dyDescent="0.2">
      <c r="A45" s="219">
        <f t="shared" si="2"/>
        <v>114</v>
      </c>
      <c r="B45" s="1028">
        <v>190</v>
      </c>
      <c r="C45" s="1029" t="s">
        <v>2445</v>
      </c>
      <c r="D45" s="1030">
        <v>0</v>
      </c>
      <c r="E45" s="269"/>
      <c r="F45" s="269"/>
      <c r="G45" s="269">
        <v>0</v>
      </c>
      <c r="H45" s="269"/>
      <c r="I45" s="489" t="s">
        <v>2430</v>
      </c>
      <c r="J45" s="489"/>
      <c r="K45" s="761"/>
      <c r="L45" s="761"/>
    </row>
    <row r="46" spans="1:12" x14ac:dyDescent="0.2">
      <c r="A46" s="219">
        <f t="shared" si="2"/>
        <v>115</v>
      </c>
      <c r="B46" s="1028">
        <v>190</v>
      </c>
      <c r="C46" s="1029" t="s">
        <v>2446</v>
      </c>
      <c r="D46" s="1030">
        <v>0</v>
      </c>
      <c r="E46" s="269"/>
      <c r="F46" s="269"/>
      <c r="G46" s="269">
        <v>0</v>
      </c>
      <c r="H46" s="269"/>
      <c r="I46" s="489" t="s">
        <v>2430</v>
      </c>
      <c r="J46" s="489"/>
      <c r="K46" s="761"/>
      <c r="L46" s="761"/>
    </row>
    <row r="47" spans="1:12" x14ac:dyDescent="0.2">
      <c r="A47" s="219">
        <f t="shared" si="2"/>
        <v>116</v>
      </c>
      <c r="B47" s="1028">
        <v>190</v>
      </c>
      <c r="C47" s="1029" t="s">
        <v>2447</v>
      </c>
      <c r="D47" s="1030">
        <v>535053617</v>
      </c>
      <c r="E47" s="269">
        <f>D47</f>
        <v>535053617</v>
      </c>
      <c r="F47" s="269"/>
      <c r="G47" s="269"/>
      <c r="H47" s="269"/>
      <c r="I47" s="489" t="s">
        <v>2448</v>
      </c>
      <c r="J47" s="489"/>
      <c r="K47" s="761"/>
      <c r="L47" s="761"/>
    </row>
    <row r="48" spans="1:12" x14ac:dyDescent="0.2">
      <c r="A48" s="219">
        <f t="shared" si="2"/>
        <v>117</v>
      </c>
      <c r="B48" s="1028">
        <v>190</v>
      </c>
      <c r="C48" s="1029" t="s">
        <v>2449</v>
      </c>
      <c r="D48" s="1030">
        <v>-219297130</v>
      </c>
      <c r="E48" s="269">
        <f t="shared" ref="E48:E53" si="3">D48</f>
        <v>-219297130</v>
      </c>
      <c r="F48" s="269"/>
      <c r="G48" s="269"/>
      <c r="H48" s="269"/>
      <c r="I48" s="489" t="s">
        <v>2450</v>
      </c>
      <c r="J48" s="489"/>
      <c r="K48" s="761"/>
      <c r="L48" s="761"/>
    </row>
    <row r="49" spans="1:12" x14ac:dyDescent="0.2">
      <c r="A49" s="219">
        <f t="shared" si="2"/>
        <v>118</v>
      </c>
      <c r="B49" s="1028">
        <v>190</v>
      </c>
      <c r="C49" s="1029" t="s">
        <v>2451</v>
      </c>
      <c r="D49" s="1030">
        <v>259094744</v>
      </c>
      <c r="E49" s="269">
        <f t="shared" si="3"/>
        <v>259094744</v>
      </c>
      <c r="F49" s="269"/>
      <c r="G49" s="269"/>
      <c r="H49" s="269"/>
      <c r="I49" s="489" t="s">
        <v>2452</v>
      </c>
      <c r="J49" s="489"/>
      <c r="K49" s="761"/>
      <c r="L49" s="761"/>
    </row>
    <row r="50" spans="1:12" x14ac:dyDescent="0.2">
      <c r="A50" s="219">
        <f t="shared" si="2"/>
        <v>119</v>
      </c>
      <c r="B50" s="1028">
        <v>190</v>
      </c>
      <c r="C50" s="1029" t="s">
        <v>2453</v>
      </c>
      <c r="D50" s="1030">
        <v>39348979</v>
      </c>
      <c r="E50" s="269">
        <f t="shared" si="3"/>
        <v>39348979</v>
      </c>
      <c r="F50" s="269"/>
      <c r="G50" s="269"/>
      <c r="H50" s="269"/>
      <c r="I50" s="489" t="s">
        <v>2454</v>
      </c>
      <c r="J50" s="489"/>
      <c r="K50" s="761"/>
      <c r="L50" s="761"/>
    </row>
    <row r="51" spans="1:12" x14ac:dyDescent="0.2">
      <c r="A51" s="219">
        <f t="shared" si="2"/>
        <v>120</v>
      </c>
      <c r="B51" s="1028">
        <v>190</v>
      </c>
      <c r="C51" s="1029" t="s">
        <v>2455</v>
      </c>
      <c r="D51" s="1030">
        <v>-74375931</v>
      </c>
      <c r="E51" s="269">
        <f t="shared" si="3"/>
        <v>-74375931</v>
      </c>
      <c r="F51" s="269"/>
      <c r="G51" s="269"/>
      <c r="H51" s="269"/>
      <c r="I51" s="489" t="s">
        <v>2456</v>
      </c>
      <c r="J51" s="489"/>
      <c r="K51" s="761"/>
      <c r="L51" s="761"/>
    </row>
    <row r="52" spans="1:12" x14ac:dyDescent="0.2">
      <c r="A52" s="219">
        <f t="shared" si="2"/>
        <v>121</v>
      </c>
      <c r="B52" s="1028">
        <v>190</v>
      </c>
      <c r="C52" s="1029" t="s">
        <v>2457</v>
      </c>
      <c r="D52" s="1030">
        <v>32402326</v>
      </c>
      <c r="E52" s="269">
        <f t="shared" si="3"/>
        <v>32402326</v>
      </c>
      <c r="F52" s="269"/>
      <c r="G52" s="269"/>
      <c r="H52" s="269"/>
      <c r="I52" s="489" t="s">
        <v>2450</v>
      </c>
      <c r="J52" s="489"/>
      <c r="K52" s="761"/>
      <c r="L52" s="761"/>
    </row>
    <row r="53" spans="1:12" x14ac:dyDescent="0.2">
      <c r="A53" s="219">
        <f t="shared" si="2"/>
        <v>122</v>
      </c>
      <c r="B53" s="1028">
        <v>190</v>
      </c>
      <c r="C53" s="1029" t="s">
        <v>2458</v>
      </c>
      <c r="D53" s="1030">
        <f>546109041</f>
        <v>546109041</v>
      </c>
      <c r="E53" s="269">
        <f t="shared" si="3"/>
        <v>546109041</v>
      </c>
      <c r="F53" s="269"/>
      <c r="G53" s="269"/>
      <c r="H53" s="269"/>
      <c r="I53" s="489" t="s">
        <v>2456</v>
      </c>
      <c r="J53" s="489"/>
      <c r="K53" s="761"/>
      <c r="L53" s="761"/>
    </row>
    <row r="54" spans="1:12" x14ac:dyDescent="0.2">
      <c r="A54" s="131"/>
      <c r="B54" s="772"/>
      <c r="C54" s="695"/>
      <c r="D54" s="773"/>
      <c r="E54" s="268"/>
      <c r="F54" s="268"/>
      <c r="G54" s="268"/>
      <c r="H54" s="268"/>
      <c r="I54" s="274"/>
      <c r="J54" s="274"/>
      <c r="K54" s="761"/>
      <c r="L54" s="761"/>
    </row>
    <row r="55" spans="1:12" x14ac:dyDescent="0.2">
      <c r="A55" s="131"/>
      <c r="B55" s="291" t="s">
        <v>1994</v>
      </c>
      <c r="C55" s="768"/>
      <c r="D55" s="589"/>
      <c r="E55" s="264"/>
      <c r="F55" s="264"/>
      <c r="G55" s="264"/>
      <c r="H55" s="264"/>
      <c r="I55" s="264"/>
      <c r="J55" s="274"/>
      <c r="K55" s="761"/>
      <c r="L55" s="761"/>
    </row>
    <row r="56" spans="1:12" x14ac:dyDescent="0.2">
      <c r="A56" s="131"/>
      <c r="B56" s="291"/>
      <c r="C56" s="99" t="s">
        <v>417</v>
      </c>
      <c r="D56" s="99" t="s">
        <v>400</v>
      </c>
      <c r="E56" s="99" t="s">
        <v>401</v>
      </c>
      <c r="F56" s="99" t="s">
        <v>402</v>
      </c>
      <c r="G56" s="99" t="s">
        <v>403</v>
      </c>
      <c r="H56" s="99" t="s">
        <v>404</v>
      </c>
      <c r="I56" s="99" t="s">
        <v>405</v>
      </c>
      <c r="J56" s="274"/>
      <c r="K56" s="761"/>
      <c r="L56" s="761"/>
    </row>
    <row r="57" spans="1:12" x14ac:dyDescent="0.2">
      <c r="A57" s="131"/>
      <c r="B57" s="547"/>
      <c r="C57" s="547"/>
      <c r="D57" s="547" t="s">
        <v>1984</v>
      </c>
      <c r="E57" s="547" t="s">
        <v>1985</v>
      </c>
      <c r="F57" s="547"/>
      <c r="G57" s="547"/>
      <c r="H57" s="547"/>
      <c r="I57" s="264"/>
      <c r="J57" s="274"/>
      <c r="K57" s="761"/>
      <c r="L57" s="761"/>
    </row>
    <row r="58" spans="1:12" x14ac:dyDescent="0.2">
      <c r="A58" s="131"/>
      <c r="B58" s="770" t="s">
        <v>1986</v>
      </c>
      <c r="C58" s="770" t="s">
        <v>1987</v>
      </c>
      <c r="D58" s="770" t="s">
        <v>1988</v>
      </c>
      <c r="E58" s="770" t="s">
        <v>1989</v>
      </c>
      <c r="F58" s="770" t="s">
        <v>1990</v>
      </c>
      <c r="G58" s="770" t="s">
        <v>1991</v>
      </c>
      <c r="H58" s="770" t="s">
        <v>1992</v>
      </c>
      <c r="I58" s="770" t="s">
        <v>118</v>
      </c>
      <c r="J58" s="274"/>
      <c r="K58" s="761"/>
      <c r="L58" s="761"/>
    </row>
    <row r="59" spans="1:12" x14ac:dyDescent="0.2">
      <c r="A59" s="131"/>
      <c r="B59" s="698" t="s">
        <v>1993</v>
      </c>
      <c r="C59" s="698"/>
      <c r="D59" s="698"/>
      <c r="E59" s="264"/>
      <c r="F59" s="264"/>
      <c r="G59" s="264"/>
      <c r="H59" s="264"/>
      <c r="I59" s="264"/>
      <c r="J59" s="274"/>
      <c r="K59" s="761"/>
      <c r="L59" s="761"/>
    </row>
    <row r="60" spans="1:12" x14ac:dyDescent="0.2">
      <c r="A60" s="219">
        <f>A53+1</f>
        <v>123</v>
      </c>
      <c r="B60" s="774" t="s">
        <v>617</v>
      </c>
      <c r="C60" s="688"/>
      <c r="D60" s="771"/>
      <c r="E60" s="269"/>
      <c r="F60" s="269"/>
      <c r="G60" s="269"/>
      <c r="H60" s="269"/>
      <c r="I60" s="489"/>
      <c r="J60" s="489"/>
      <c r="K60" s="761"/>
      <c r="L60" s="761"/>
    </row>
    <row r="61" spans="1:12" x14ac:dyDescent="0.2">
      <c r="A61" s="830"/>
      <c r="B61" s="775"/>
      <c r="C61" s="698"/>
      <c r="D61" s="776"/>
      <c r="E61" s="266"/>
      <c r="F61" s="266"/>
      <c r="G61" s="266"/>
      <c r="H61" s="266"/>
      <c r="I61" s="431" t="s">
        <v>207</v>
      </c>
      <c r="J61" s="264"/>
      <c r="K61" s="761"/>
      <c r="L61" s="761"/>
    </row>
    <row r="62" spans="1:12" x14ac:dyDescent="0.2">
      <c r="A62" s="131">
        <v>250</v>
      </c>
      <c r="B62" s="698"/>
      <c r="C62" s="698" t="s">
        <v>1995</v>
      </c>
      <c r="D62" s="777">
        <f>SUM(D31:D53)+SUM(D60)</f>
        <v>1267995280</v>
      </c>
      <c r="E62" s="777">
        <f>SUM(E31:E53)+SUM(E60)</f>
        <v>1118335646</v>
      </c>
      <c r="F62" s="777">
        <f>SUM(F31:F53)+SUM(F60)</f>
        <v>0</v>
      </c>
      <c r="G62" s="777">
        <f>SUM(G31:G53)+SUM(G60)</f>
        <v>2037846</v>
      </c>
      <c r="H62" s="777">
        <f>SUM(H31:H53)+SUM(H60)</f>
        <v>147621788</v>
      </c>
      <c r="I62" s="284" t="str">
        <f>"Sum of Above Lines beginning on Line "&amp;A31&amp;""</f>
        <v>Sum of Above Lines beginning on Line 100</v>
      </c>
      <c r="J62" s="264"/>
      <c r="K62" s="761"/>
      <c r="L62" s="761"/>
    </row>
    <row r="63" spans="1:12" x14ac:dyDescent="0.2">
      <c r="A63" s="830"/>
      <c r="B63" s="698"/>
      <c r="C63" s="698"/>
      <c r="D63" s="778"/>
      <c r="E63" s="266"/>
      <c r="F63" s="266"/>
      <c r="G63" s="266"/>
      <c r="H63" s="266"/>
      <c r="I63" s="264"/>
      <c r="J63" s="264"/>
      <c r="K63" s="761"/>
      <c r="L63" s="761"/>
    </row>
    <row r="64" spans="1:12" x14ac:dyDescent="0.2">
      <c r="A64" s="830"/>
      <c r="B64" s="698" t="s">
        <v>1996</v>
      </c>
      <c r="C64" s="698"/>
      <c r="D64" s="778"/>
      <c r="E64" s="266"/>
      <c r="F64" s="266"/>
      <c r="G64" s="266"/>
      <c r="H64" s="266"/>
      <c r="I64" s="264"/>
      <c r="J64" s="264"/>
      <c r="K64" s="761"/>
      <c r="L64" s="761"/>
    </row>
    <row r="65" spans="1:12" x14ac:dyDescent="0.2">
      <c r="A65" s="830"/>
      <c r="C65" s="99" t="s">
        <v>417</v>
      </c>
      <c r="D65" s="99" t="s">
        <v>400</v>
      </c>
      <c r="E65" s="99" t="s">
        <v>401</v>
      </c>
      <c r="F65" s="99" t="s">
        <v>402</v>
      </c>
      <c r="G65" s="99" t="s">
        <v>403</v>
      </c>
      <c r="H65" s="99" t="s">
        <v>404</v>
      </c>
      <c r="I65" s="99" t="s">
        <v>405</v>
      </c>
      <c r="J65" s="264"/>
      <c r="K65" s="761"/>
      <c r="L65" s="761"/>
    </row>
    <row r="66" spans="1:12" x14ac:dyDescent="0.2">
      <c r="A66" s="219">
        <v>300</v>
      </c>
      <c r="B66" s="1028">
        <v>190</v>
      </c>
      <c r="C66" s="1029" t="s">
        <v>2459</v>
      </c>
      <c r="D66" s="1030">
        <v>15672158</v>
      </c>
      <c r="E66" s="269">
        <f>D66</f>
        <v>15672158</v>
      </c>
      <c r="F66" s="269"/>
      <c r="G66" s="269"/>
      <c r="H66" s="269"/>
      <c r="I66" s="489" t="s">
        <v>2460</v>
      </c>
      <c r="J66" s="489"/>
      <c r="K66" s="761"/>
      <c r="L66" s="761"/>
    </row>
    <row r="67" spans="1:12" x14ac:dyDescent="0.2">
      <c r="A67" s="219">
        <f t="shared" ref="A67:A70" si="4">A66+1</f>
        <v>301</v>
      </c>
      <c r="B67" s="1028">
        <v>190</v>
      </c>
      <c r="C67" s="1029" t="s">
        <v>2449</v>
      </c>
      <c r="D67" s="1030">
        <v>0</v>
      </c>
      <c r="E67" s="269">
        <f t="shared" ref="E67:E69" si="5">D67</f>
        <v>0</v>
      </c>
      <c r="F67" s="269"/>
      <c r="G67" s="269"/>
      <c r="H67" s="269"/>
      <c r="I67" s="489" t="s">
        <v>2460</v>
      </c>
      <c r="J67" s="489"/>
      <c r="K67" s="761"/>
      <c r="L67" s="761"/>
    </row>
    <row r="68" spans="1:12" x14ac:dyDescent="0.2">
      <c r="A68" s="219">
        <f t="shared" si="4"/>
        <v>302</v>
      </c>
      <c r="B68" s="1028">
        <v>190</v>
      </c>
      <c r="C68" s="1029" t="s">
        <v>2458</v>
      </c>
      <c r="D68" s="1030">
        <v>-5057862</v>
      </c>
      <c r="E68" s="269">
        <f t="shared" si="5"/>
        <v>-5057862</v>
      </c>
      <c r="F68" s="269"/>
      <c r="G68" s="269"/>
      <c r="H68" s="269"/>
      <c r="I68" s="489" t="s">
        <v>2460</v>
      </c>
      <c r="J68" s="489"/>
      <c r="K68" s="761"/>
      <c r="L68" s="761"/>
    </row>
    <row r="69" spans="1:12" x14ac:dyDescent="0.2">
      <c r="A69" s="219">
        <f t="shared" si="4"/>
        <v>303</v>
      </c>
      <c r="B69" s="1028">
        <v>190</v>
      </c>
      <c r="C69" s="1029" t="s">
        <v>2461</v>
      </c>
      <c r="D69" s="1030">
        <v>595473955</v>
      </c>
      <c r="E69" s="269">
        <f t="shared" si="5"/>
        <v>595473955</v>
      </c>
      <c r="F69" s="269"/>
      <c r="G69" s="269"/>
      <c r="H69" s="269"/>
      <c r="I69" s="489"/>
      <c r="J69" s="489"/>
      <c r="K69" s="761"/>
      <c r="L69" s="761"/>
    </row>
    <row r="70" spans="1:12" x14ac:dyDescent="0.2">
      <c r="A70" s="219">
        <f t="shared" si="4"/>
        <v>304</v>
      </c>
      <c r="B70" s="774" t="s">
        <v>617</v>
      </c>
      <c r="C70" s="688"/>
      <c r="D70" s="771"/>
      <c r="E70" s="269"/>
      <c r="F70" s="269"/>
      <c r="G70" s="269"/>
      <c r="H70" s="269"/>
      <c r="I70" s="489"/>
      <c r="J70" s="489"/>
      <c r="K70" s="761"/>
      <c r="L70" s="761"/>
    </row>
    <row r="71" spans="1:12" x14ac:dyDescent="0.2">
      <c r="A71" s="830"/>
      <c r="B71" s="775"/>
      <c r="C71" s="695"/>
      <c r="D71" s="773"/>
      <c r="E71" s="268"/>
      <c r="F71" s="268"/>
      <c r="G71" s="268"/>
      <c r="H71" s="268"/>
      <c r="I71" s="274"/>
      <c r="J71" s="274"/>
      <c r="K71" s="761"/>
      <c r="L71" s="761"/>
    </row>
    <row r="72" spans="1:12" x14ac:dyDescent="0.2">
      <c r="A72" s="830"/>
      <c r="B72" s="775"/>
      <c r="C72" s="99" t="s">
        <v>417</v>
      </c>
      <c r="D72" s="99" t="s">
        <v>400</v>
      </c>
      <c r="E72" s="99" t="s">
        <v>401</v>
      </c>
      <c r="F72" s="99" t="s">
        <v>402</v>
      </c>
      <c r="G72" s="99" t="s">
        <v>403</v>
      </c>
      <c r="H72" s="99" t="s">
        <v>404</v>
      </c>
      <c r="I72" s="431" t="s">
        <v>207</v>
      </c>
      <c r="J72" s="264"/>
      <c r="K72" s="761"/>
      <c r="L72" s="761"/>
    </row>
    <row r="73" spans="1:12" x14ac:dyDescent="0.2">
      <c r="A73" s="815">
        <v>350</v>
      </c>
      <c r="B73" s="698"/>
      <c r="C73" s="698" t="s">
        <v>1997</v>
      </c>
      <c r="D73" s="777">
        <f>SUM(D66:D69)</f>
        <v>606088251</v>
      </c>
      <c r="E73" s="777">
        <f>SUM(E66:E69)</f>
        <v>606088251</v>
      </c>
      <c r="F73" s="777">
        <f>SUM(F66:F69)</f>
        <v>0</v>
      </c>
      <c r="G73" s="777">
        <f>SUM(G66:G69)</f>
        <v>0</v>
      </c>
      <c r="H73" s="777">
        <f>SUM(H66:H69)</f>
        <v>0</v>
      </c>
      <c r="I73" s="284" t="str">
        <f>"Sum of Above Lines beginning on Line "&amp;A66&amp;""</f>
        <v>Sum of Above Lines beginning on Line 300</v>
      </c>
      <c r="J73" s="264"/>
    </row>
    <row r="74" spans="1:12" x14ac:dyDescent="0.2">
      <c r="A74" s="815"/>
      <c r="B74" s="698"/>
      <c r="C74" s="698"/>
      <c r="D74" s="777"/>
      <c r="E74" s="777"/>
      <c r="F74" s="777"/>
      <c r="G74" s="777"/>
      <c r="H74" s="777"/>
      <c r="I74" s="284"/>
      <c r="J74" s="264"/>
    </row>
    <row r="75" spans="1:12" x14ac:dyDescent="0.2">
      <c r="A75" s="815">
        <f t="shared" ref="A75" si="6">A73+1</f>
        <v>351</v>
      </c>
      <c r="B75" s="698"/>
      <c r="C75" s="698" t="s">
        <v>1998</v>
      </c>
      <c r="D75" s="777">
        <f>+D73+D62</f>
        <v>1874083531</v>
      </c>
      <c r="E75" s="777">
        <f>+E73+E62</f>
        <v>1724423897</v>
      </c>
      <c r="F75" s="777">
        <f>+F73+F62</f>
        <v>0</v>
      </c>
      <c r="G75" s="777">
        <f>+G73+G62</f>
        <v>2037846</v>
      </c>
      <c r="H75" s="777">
        <f>+H73+H62</f>
        <v>147621788</v>
      </c>
      <c r="I75" s="779" t="str">
        <f>"Line "&amp;A62&amp;" + Line "&amp;A73&amp;""</f>
        <v>Line 250 + Line 350</v>
      </c>
      <c r="J75" s="264"/>
    </row>
    <row r="76" spans="1:12" x14ac:dyDescent="0.2">
      <c r="A76" s="815">
        <f>+A75+1</f>
        <v>352</v>
      </c>
      <c r="B76" s="698"/>
      <c r="C76" s="698" t="s">
        <v>2065</v>
      </c>
      <c r="D76" s="777"/>
      <c r="E76" s="777"/>
      <c r="F76" s="777"/>
      <c r="G76" s="820">
        <f>Allocators!$G$28</f>
        <v>0.10702566542980063</v>
      </c>
      <c r="H76" s="820">
        <f>Allocators!$G$15</f>
        <v>3.9310790220978262E-2</v>
      </c>
      <c r="I76" s="818" t="str">
        <f>"Allocators WS Lines "&amp;Allocators!A28&amp;" and "&amp;Allocators!A15&amp;" respectively."</f>
        <v>Allocators WS Lines 22 and 9 respectively.</v>
      </c>
      <c r="J76" s="264"/>
    </row>
    <row r="77" spans="1:12" x14ac:dyDescent="0.2">
      <c r="A77" s="815">
        <f>+A76+1</f>
        <v>353</v>
      </c>
      <c r="B77" s="698"/>
      <c r="C77" s="698" t="s">
        <v>2066</v>
      </c>
      <c r="D77" s="777">
        <f>SUM(F77:H77)</f>
        <v>6021230.9643071834</v>
      </c>
      <c r="E77" s="777"/>
      <c r="F77" s="814">
        <f>+F75</f>
        <v>0</v>
      </c>
      <c r="G77" s="814">
        <f>+G75*G76</f>
        <v>218101.82419345749</v>
      </c>
      <c r="H77" s="814">
        <f>+H75*H76</f>
        <v>5803129.1401137263</v>
      </c>
      <c r="I77" s="779" t="str">
        <f>"Line "&amp;A75&amp;" * Line "&amp;A76&amp;" for Cols 5 and 6.  Col. 4 100% ISO."</f>
        <v>Line 351 * Line 352 for Cols 5 and 6.  Col. 4 100% ISO.</v>
      </c>
      <c r="J77" s="264"/>
    </row>
    <row r="78" spans="1:12" x14ac:dyDescent="0.2">
      <c r="A78" s="815"/>
      <c r="B78" s="698"/>
      <c r="C78" s="819" t="s">
        <v>2068</v>
      </c>
      <c r="D78" s="777"/>
      <c r="E78" s="777"/>
      <c r="F78" s="777"/>
      <c r="G78" s="777"/>
      <c r="H78" s="777"/>
      <c r="I78" s="779"/>
      <c r="J78" s="264"/>
    </row>
    <row r="79" spans="1:12" x14ac:dyDescent="0.2">
      <c r="A79" s="815"/>
      <c r="B79" s="698"/>
      <c r="C79" s="698"/>
      <c r="D79" s="777"/>
      <c r="E79" s="777"/>
      <c r="F79" s="777"/>
      <c r="G79" s="777"/>
      <c r="H79" s="777"/>
      <c r="I79" s="779"/>
      <c r="J79" s="264"/>
    </row>
    <row r="80" spans="1:12" x14ac:dyDescent="0.2">
      <c r="A80" s="815">
        <f>+A77+1</f>
        <v>354</v>
      </c>
      <c r="B80" s="698"/>
      <c r="C80" s="698" t="s">
        <v>1999</v>
      </c>
      <c r="D80" s="780">
        <v>1874083530</v>
      </c>
      <c r="E80" s="781" t="str">
        <f>"Must match amount on Line "&amp;A75&amp;", Col. 2"</f>
        <v>Must match amount on Line 351, Col. 2</v>
      </c>
      <c r="G80" s="777"/>
      <c r="H80" s="777"/>
      <c r="I80" s="779" t="s">
        <v>1497</v>
      </c>
      <c r="J80" s="264"/>
    </row>
    <row r="81" spans="1:10" x14ac:dyDescent="0.2">
      <c r="A81" s="830"/>
      <c r="B81" s="698"/>
      <c r="C81" s="698"/>
      <c r="D81" s="782"/>
      <c r="E81" s="782"/>
      <c r="F81" s="782"/>
      <c r="G81" s="782"/>
      <c r="H81" s="782"/>
      <c r="I81" s="783"/>
      <c r="J81" s="264"/>
    </row>
    <row r="82" spans="1:10" x14ac:dyDescent="0.2">
      <c r="A82" s="683"/>
      <c r="B82" s="291" t="s">
        <v>2000</v>
      </c>
      <c r="C82" s="784"/>
      <c r="D82" s="782"/>
      <c r="E82" s="264"/>
      <c r="F82" s="264"/>
      <c r="G82" s="264"/>
      <c r="H82" s="264"/>
      <c r="I82" s="264"/>
      <c r="J82" s="264"/>
    </row>
    <row r="83" spans="1:10" x14ac:dyDescent="0.2">
      <c r="A83" s="683"/>
      <c r="B83" s="291"/>
      <c r="C83" s="99" t="s">
        <v>417</v>
      </c>
      <c r="D83" s="99" t="s">
        <v>400</v>
      </c>
      <c r="E83" s="99" t="s">
        <v>401</v>
      </c>
      <c r="F83" s="99" t="s">
        <v>402</v>
      </c>
      <c r="G83" s="99" t="s">
        <v>403</v>
      </c>
      <c r="H83" s="99" t="s">
        <v>404</v>
      </c>
      <c r="I83" s="99" t="s">
        <v>405</v>
      </c>
      <c r="J83" s="264"/>
    </row>
    <row r="84" spans="1:10" x14ac:dyDescent="0.2">
      <c r="A84" s="683"/>
      <c r="B84" s="547"/>
      <c r="C84" s="547"/>
      <c r="D84" s="547" t="s">
        <v>1984</v>
      </c>
      <c r="E84" s="547" t="s">
        <v>1985</v>
      </c>
      <c r="F84" s="547"/>
      <c r="G84" s="547"/>
      <c r="H84" s="547" t="s">
        <v>1569</v>
      </c>
      <c r="I84" s="264"/>
      <c r="J84" s="264"/>
    </row>
    <row r="85" spans="1:10" x14ac:dyDescent="0.2">
      <c r="A85" s="683"/>
      <c r="B85" s="770" t="s">
        <v>2001</v>
      </c>
      <c r="C85" s="770" t="s">
        <v>1987</v>
      </c>
      <c r="D85" s="770" t="s">
        <v>1988</v>
      </c>
      <c r="E85" s="770" t="s">
        <v>1989</v>
      </c>
      <c r="F85" s="770" t="s">
        <v>1990</v>
      </c>
      <c r="G85" s="770" t="s">
        <v>1991</v>
      </c>
      <c r="H85" s="770" t="s">
        <v>1978</v>
      </c>
      <c r="I85" s="770" t="s">
        <v>118</v>
      </c>
      <c r="J85" s="264"/>
    </row>
    <row r="86" spans="1:10" x14ac:dyDescent="0.2">
      <c r="A86" s="219">
        <v>400</v>
      </c>
      <c r="B86" s="785">
        <v>282</v>
      </c>
      <c r="C86" s="694" t="s">
        <v>2462</v>
      </c>
      <c r="D86" s="1031">
        <v>-646975674.62423754</v>
      </c>
      <c r="E86" s="269"/>
      <c r="F86" s="269">
        <v>-646975674.62423754</v>
      </c>
      <c r="G86" s="269"/>
      <c r="H86" s="269"/>
      <c r="I86" s="489" t="s">
        <v>2463</v>
      </c>
      <c r="J86" s="489"/>
    </row>
    <row r="87" spans="1:10" x14ac:dyDescent="0.2">
      <c r="A87" s="219">
        <f t="shared" ref="A87:A95" si="7">A86+1</f>
        <v>401</v>
      </c>
      <c r="B87" s="785">
        <v>282</v>
      </c>
      <c r="C87" s="694" t="s">
        <v>2486</v>
      </c>
      <c r="D87" s="1031">
        <v>-406938812.09741378</v>
      </c>
      <c r="E87" s="269">
        <v>-406938812.09741378</v>
      </c>
      <c r="F87" s="269"/>
      <c r="G87" s="269"/>
      <c r="H87" s="269"/>
      <c r="I87" s="489" t="s">
        <v>2456</v>
      </c>
      <c r="J87" s="489"/>
    </row>
    <row r="88" spans="1:10" x14ac:dyDescent="0.2">
      <c r="A88" s="219">
        <f t="shared" si="7"/>
        <v>402</v>
      </c>
      <c r="B88" s="785">
        <v>282</v>
      </c>
      <c r="C88" s="793" t="s">
        <v>2468</v>
      </c>
      <c r="D88" s="1031">
        <v>1092181</v>
      </c>
      <c r="E88" s="269"/>
      <c r="F88" s="269">
        <v>1092181</v>
      </c>
      <c r="G88" s="269"/>
      <c r="H88" s="269"/>
      <c r="I88" s="489" t="s">
        <v>2463</v>
      </c>
      <c r="J88" s="489"/>
    </row>
    <row r="89" spans="1:10" x14ac:dyDescent="0.2">
      <c r="A89" s="219">
        <f t="shared" si="7"/>
        <v>403</v>
      </c>
      <c r="B89" s="785">
        <v>282</v>
      </c>
      <c r="C89" s="694" t="s">
        <v>2464</v>
      </c>
      <c r="D89" s="1031">
        <v>0</v>
      </c>
      <c r="E89" s="269"/>
      <c r="F89" s="269"/>
      <c r="G89" s="269">
        <v>0</v>
      </c>
      <c r="H89" s="269"/>
      <c r="I89" s="489" t="s">
        <v>2430</v>
      </c>
      <c r="J89" s="489"/>
    </row>
    <row r="90" spans="1:10" x14ac:dyDescent="0.2">
      <c r="A90" s="219">
        <f t="shared" si="7"/>
        <v>404</v>
      </c>
      <c r="B90" s="785">
        <v>282</v>
      </c>
      <c r="C90" s="694" t="s">
        <v>2465</v>
      </c>
      <c r="D90" s="1031">
        <v>-27717767</v>
      </c>
      <c r="E90" s="269"/>
      <c r="F90" s="269">
        <v>-27717767</v>
      </c>
      <c r="G90" s="269"/>
      <c r="H90" s="269"/>
      <c r="I90" s="489" t="s">
        <v>2463</v>
      </c>
      <c r="J90" s="489"/>
    </row>
    <row r="91" spans="1:10" x14ac:dyDescent="0.2">
      <c r="A91" s="219">
        <f t="shared" si="7"/>
        <v>405</v>
      </c>
      <c r="B91" s="785">
        <v>282</v>
      </c>
      <c r="C91" s="694" t="s">
        <v>2466</v>
      </c>
      <c r="D91" s="1031">
        <v>0</v>
      </c>
      <c r="E91" s="269"/>
      <c r="F91" s="269">
        <v>0</v>
      </c>
      <c r="G91" s="269"/>
      <c r="H91" s="269"/>
      <c r="I91" s="489" t="s">
        <v>2463</v>
      </c>
      <c r="J91" s="489"/>
    </row>
    <row r="92" spans="1:10" x14ac:dyDescent="0.2">
      <c r="A92" s="219">
        <f t="shared" si="7"/>
        <v>406</v>
      </c>
      <c r="B92" s="785">
        <v>282</v>
      </c>
      <c r="C92" s="694" t="s">
        <v>2467</v>
      </c>
      <c r="D92" s="1031">
        <v>0</v>
      </c>
      <c r="E92" s="269"/>
      <c r="F92" s="269"/>
      <c r="G92" s="269">
        <v>0</v>
      </c>
      <c r="H92" s="269"/>
      <c r="I92" s="489" t="s">
        <v>2430</v>
      </c>
      <c r="J92" s="489"/>
    </row>
    <row r="93" spans="1:10" x14ac:dyDescent="0.2">
      <c r="A93" s="219">
        <f t="shared" si="7"/>
        <v>407</v>
      </c>
      <c r="B93" s="785">
        <v>282</v>
      </c>
      <c r="C93" s="694" t="s">
        <v>2455</v>
      </c>
      <c r="D93" s="1031">
        <v>-5041544537</v>
      </c>
      <c r="E93" s="269">
        <v>-5041544537</v>
      </c>
      <c r="F93" s="269"/>
      <c r="G93" s="269"/>
      <c r="H93" s="269"/>
      <c r="I93" s="489" t="s">
        <v>2456</v>
      </c>
      <c r="J93" s="489"/>
    </row>
    <row r="94" spans="1:10" x14ac:dyDescent="0.2">
      <c r="A94" s="219">
        <f t="shared" si="7"/>
        <v>408</v>
      </c>
      <c r="B94" s="786">
        <v>282</v>
      </c>
      <c r="C94" s="694" t="s">
        <v>2469</v>
      </c>
      <c r="D94" s="780">
        <v>-179541132</v>
      </c>
      <c r="E94" s="269">
        <v>-179541132</v>
      </c>
      <c r="F94" s="269"/>
      <c r="G94" s="269"/>
      <c r="H94" s="269"/>
      <c r="I94" s="489" t="s">
        <v>2470</v>
      </c>
      <c r="J94" s="489"/>
    </row>
    <row r="95" spans="1:10" x14ac:dyDescent="0.2">
      <c r="A95" s="219">
        <f t="shared" si="7"/>
        <v>409</v>
      </c>
      <c r="B95" s="787" t="s">
        <v>617</v>
      </c>
      <c r="C95" s="694"/>
      <c r="D95" s="780"/>
      <c r="E95" s="269"/>
      <c r="F95" s="269"/>
      <c r="G95" s="269"/>
      <c r="H95" s="269"/>
      <c r="I95" s="489"/>
      <c r="J95" s="489"/>
    </row>
    <row r="96" spans="1:10" x14ac:dyDescent="0.2">
      <c r="A96" s="830"/>
      <c r="B96" s="788"/>
      <c r="C96" s="685"/>
      <c r="D96" s="789"/>
      <c r="E96" s="268"/>
      <c r="F96" s="268"/>
      <c r="G96" s="268"/>
      <c r="H96" s="268"/>
      <c r="I96" s="274"/>
      <c r="J96" s="274"/>
    </row>
    <row r="97" spans="1:10" x14ac:dyDescent="0.2">
      <c r="A97" s="830"/>
      <c r="B97" s="788"/>
      <c r="C97" s="99" t="s">
        <v>417</v>
      </c>
      <c r="D97" s="99" t="s">
        <v>400</v>
      </c>
      <c r="E97" s="99" t="s">
        <v>401</v>
      </c>
      <c r="F97" s="99" t="s">
        <v>402</v>
      </c>
      <c r="G97" s="99" t="s">
        <v>403</v>
      </c>
      <c r="H97" s="99" t="s">
        <v>404</v>
      </c>
      <c r="I97" s="431" t="s">
        <v>207</v>
      </c>
      <c r="J97" s="274"/>
    </row>
    <row r="98" spans="1:10" x14ac:dyDescent="0.2">
      <c r="A98" s="131">
        <v>450</v>
      </c>
      <c r="B98" s="684"/>
      <c r="C98" s="683" t="s">
        <v>2062</v>
      </c>
      <c r="D98" s="777">
        <f>SUM(D86:D95)</f>
        <v>-6301625741.7216511</v>
      </c>
      <c r="E98" s="777">
        <f>SUM(E86:E95)</f>
        <v>-5628024481.097414</v>
      </c>
      <c r="F98" s="777">
        <f>SUM(F86:F95)</f>
        <v>-673601260.62423754</v>
      </c>
      <c r="G98" s="777">
        <f>SUM(G86:G95)</f>
        <v>0</v>
      </c>
      <c r="H98" s="777">
        <f>SUM(H86:H95)</f>
        <v>0</v>
      </c>
      <c r="I98" s="284" t="str">
        <f>"Sum of Above Lines beginning on Line "&amp;A86&amp;""</f>
        <v>Sum of Above Lines beginning on Line 400</v>
      </c>
      <c r="J98" s="264"/>
    </row>
    <row r="99" spans="1:10" x14ac:dyDescent="0.2">
      <c r="A99" s="815">
        <f>+A98+1</f>
        <v>451</v>
      </c>
      <c r="B99" s="698"/>
      <c r="C99" s="698" t="s">
        <v>2065</v>
      </c>
      <c r="D99" s="777"/>
      <c r="E99" s="777"/>
      <c r="F99" s="777"/>
      <c r="G99" s="820">
        <f>Allocators!$G$28</f>
        <v>0.10702566542980063</v>
      </c>
      <c r="H99" s="820">
        <f>Allocators!$G$15</f>
        <v>3.9310790220978262E-2</v>
      </c>
      <c r="I99" s="818" t="str">
        <f>"Allocators WS Lines "&amp;Allocators!A28&amp;" and "&amp;Allocators!A15&amp;" respectively."</f>
        <v>Allocators WS Lines 22 and 9 respectively.</v>
      </c>
      <c r="J99" s="264"/>
    </row>
    <row r="100" spans="1:10" x14ac:dyDescent="0.2">
      <c r="A100" s="815">
        <f>+A99+1</f>
        <v>452</v>
      </c>
      <c r="B100" s="698"/>
      <c r="C100" s="698" t="s">
        <v>2067</v>
      </c>
      <c r="D100" s="777">
        <f>SUM(F100:H100)</f>
        <v>-673601260.62423754</v>
      </c>
      <c r="E100" s="777"/>
      <c r="F100" s="814">
        <f>+F98</f>
        <v>-673601260.62423754</v>
      </c>
      <c r="G100" s="814">
        <f>+G98*G99</f>
        <v>0</v>
      </c>
      <c r="H100" s="814">
        <f>+H98*H99</f>
        <v>0</v>
      </c>
      <c r="I100" s="779" t="str">
        <f>"Line "&amp;A98&amp;" * Line "&amp;A99&amp;" for Cols 5 and 6.  Col. 4 100% ISO."</f>
        <v>Line 450 * Line 451 for Cols 5 and 6.  Col. 4 100% ISO.</v>
      </c>
      <c r="J100" s="264"/>
    </row>
    <row r="101" spans="1:10" x14ac:dyDescent="0.2">
      <c r="A101" s="815"/>
      <c r="B101" s="698"/>
      <c r="C101" s="819" t="s">
        <v>2068</v>
      </c>
      <c r="D101" s="777"/>
      <c r="E101" s="777"/>
      <c r="F101" s="777"/>
      <c r="G101" s="777"/>
      <c r="H101" s="777"/>
      <c r="I101" s="779"/>
      <c r="J101" s="264"/>
    </row>
    <row r="102" spans="1:10" x14ac:dyDescent="0.2">
      <c r="A102" s="131"/>
      <c r="B102" s="684"/>
      <c r="C102" s="683"/>
      <c r="D102" s="777"/>
      <c r="E102" s="777"/>
      <c r="F102" s="777"/>
      <c r="G102" s="777"/>
      <c r="H102" s="777"/>
      <c r="I102" s="284"/>
      <c r="J102" s="264"/>
    </row>
    <row r="103" spans="1:10" x14ac:dyDescent="0.2">
      <c r="A103" s="131">
        <f>+A100+1</f>
        <v>453</v>
      </c>
      <c r="B103" s="684"/>
      <c r="C103" s="698" t="s">
        <v>2002</v>
      </c>
      <c r="D103" s="780">
        <v>6301625743</v>
      </c>
      <c r="E103" s="781" t="str">
        <f>"Must match amount on Line "&amp;A98&amp;", Col. 2"</f>
        <v>Must match amount on Line 450, Col. 2</v>
      </c>
      <c r="F103" s="777"/>
      <c r="G103" s="777"/>
      <c r="H103" s="777"/>
      <c r="I103" s="284" t="s">
        <v>2003</v>
      </c>
      <c r="J103" s="264"/>
    </row>
    <row r="104" spans="1:10" x14ac:dyDescent="0.2">
      <c r="A104" s="830"/>
      <c r="B104" s="684"/>
      <c r="C104" s="683"/>
      <c r="D104" s="777"/>
      <c r="E104" s="777"/>
      <c r="F104" s="777"/>
      <c r="G104" s="777"/>
      <c r="H104" s="777"/>
      <c r="I104" s="284"/>
      <c r="J104" s="264"/>
    </row>
    <row r="105" spans="1:10" x14ac:dyDescent="0.2">
      <c r="A105" s="830"/>
      <c r="B105" s="684"/>
      <c r="C105" s="683"/>
      <c r="D105" s="777"/>
      <c r="E105" s="777"/>
      <c r="F105" s="777"/>
      <c r="G105" s="777"/>
      <c r="H105" s="777"/>
      <c r="I105" s="783"/>
      <c r="J105" s="264"/>
    </row>
    <row r="106" spans="1:10" x14ac:dyDescent="0.2">
      <c r="A106" s="683"/>
      <c r="B106" s="291" t="s">
        <v>2004</v>
      </c>
      <c r="C106" s="735"/>
      <c r="D106" s="777"/>
      <c r="E106" s="266"/>
      <c r="F106" s="266"/>
      <c r="G106" s="266"/>
      <c r="H106" s="266"/>
      <c r="I106" s="264"/>
      <c r="J106" s="264"/>
    </row>
    <row r="107" spans="1:10" x14ac:dyDescent="0.2">
      <c r="A107" s="683"/>
      <c r="B107" s="291"/>
      <c r="C107" s="99" t="s">
        <v>417</v>
      </c>
      <c r="D107" s="99" t="s">
        <v>400</v>
      </c>
      <c r="E107" s="99" t="s">
        <v>401</v>
      </c>
      <c r="F107" s="99" t="s">
        <v>402</v>
      </c>
      <c r="G107" s="99" t="s">
        <v>403</v>
      </c>
      <c r="H107" s="99" t="s">
        <v>404</v>
      </c>
      <c r="I107" s="99" t="s">
        <v>405</v>
      </c>
      <c r="J107" s="264"/>
    </row>
    <row r="108" spans="1:10" x14ac:dyDescent="0.2">
      <c r="A108" s="683"/>
      <c r="B108" s="547"/>
      <c r="C108" s="547"/>
      <c r="D108" s="790" t="s">
        <v>1984</v>
      </c>
      <c r="E108" s="790" t="s">
        <v>1985</v>
      </c>
      <c r="F108" s="790"/>
      <c r="G108" s="790"/>
      <c r="H108" s="790" t="s">
        <v>1569</v>
      </c>
      <c r="I108" s="264"/>
      <c r="J108" s="264"/>
    </row>
    <row r="109" spans="1:10" x14ac:dyDescent="0.2">
      <c r="A109" s="683"/>
      <c r="B109" s="770" t="s">
        <v>2005</v>
      </c>
      <c r="C109" s="770" t="s">
        <v>1987</v>
      </c>
      <c r="D109" s="791" t="s">
        <v>1988</v>
      </c>
      <c r="E109" s="791" t="s">
        <v>1989</v>
      </c>
      <c r="F109" s="791" t="s">
        <v>1990</v>
      </c>
      <c r="G109" s="791" t="s">
        <v>1991</v>
      </c>
      <c r="H109" s="791" t="s">
        <v>1978</v>
      </c>
      <c r="I109" s="770" t="s">
        <v>118</v>
      </c>
      <c r="J109" s="264"/>
    </row>
    <row r="110" spans="1:10" x14ac:dyDescent="0.2">
      <c r="A110" s="830"/>
      <c r="B110" s="698" t="s">
        <v>1993</v>
      </c>
      <c r="C110" s="264"/>
      <c r="D110" s="266"/>
      <c r="E110" s="266"/>
      <c r="F110" s="266"/>
      <c r="G110" s="266"/>
      <c r="H110" s="266"/>
      <c r="I110" s="264"/>
      <c r="J110" s="264"/>
    </row>
    <row r="111" spans="1:10" x14ac:dyDescent="0.2">
      <c r="A111" s="219">
        <v>500</v>
      </c>
      <c r="B111" s="792">
        <v>283</v>
      </c>
      <c r="C111" s="793" t="s">
        <v>2471</v>
      </c>
      <c r="D111" s="1032">
        <v>0</v>
      </c>
      <c r="E111" s="269">
        <v>0</v>
      </c>
      <c r="F111" s="269">
        <f>D111</f>
        <v>0</v>
      </c>
      <c r="G111" s="269"/>
      <c r="H111" s="269"/>
      <c r="I111" s="489" t="s">
        <v>2472</v>
      </c>
      <c r="J111" s="489"/>
    </row>
    <row r="112" spans="1:10" x14ac:dyDescent="0.2">
      <c r="A112" s="219">
        <f t="shared" ref="A112:A123" si="8">A111+1</f>
        <v>501</v>
      </c>
      <c r="B112" s="792">
        <v>283</v>
      </c>
      <c r="C112" s="793" t="s">
        <v>2473</v>
      </c>
      <c r="D112" s="1032">
        <v>0</v>
      </c>
      <c r="E112" s="269"/>
      <c r="F112" s="269"/>
      <c r="G112" s="269"/>
      <c r="H112" s="269">
        <f>D112</f>
        <v>0</v>
      </c>
      <c r="I112" s="489" t="s">
        <v>2432</v>
      </c>
      <c r="J112" s="489"/>
    </row>
    <row r="113" spans="1:10" x14ac:dyDescent="0.2">
      <c r="A113" s="219">
        <f t="shared" si="8"/>
        <v>502</v>
      </c>
      <c r="B113" s="792">
        <v>283</v>
      </c>
      <c r="C113" s="793" t="s">
        <v>2474</v>
      </c>
      <c r="D113" s="1032">
        <v>-65538802</v>
      </c>
      <c r="E113" s="269"/>
      <c r="F113" s="269"/>
      <c r="G113" s="269">
        <f>D113</f>
        <v>-65538802</v>
      </c>
      <c r="H113" s="269"/>
      <c r="I113" s="489" t="s">
        <v>2430</v>
      </c>
      <c r="J113" s="489"/>
    </row>
    <row r="114" spans="1:10" x14ac:dyDescent="0.2">
      <c r="A114" s="219">
        <f t="shared" si="8"/>
        <v>503</v>
      </c>
      <c r="B114" s="792">
        <v>283</v>
      </c>
      <c r="C114" s="793" t="s">
        <v>2475</v>
      </c>
      <c r="D114" s="1032">
        <v>1637372</v>
      </c>
      <c r="E114" s="269"/>
      <c r="F114" s="269"/>
      <c r="G114" s="269">
        <f>D114</f>
        <v>1637372</v>
      </c>
      <c r="H114" s="269"/>
      <c r="I114" s="489" t="s">
        <v>2430</v>
      </c>
      <c r="J114" s="489"/>
    </row>
    <row r="115" spans="1:10" x14ac:dyDescent="0.2">
      <c r="A115" s="219">
        <f t="shared" si="8"/>
        <v>504</v>
      </c>
      <c r="B115" s="792">
        <v>283</v>
      </c>
      <c r="C115" s="793" t="s">
        <v>2476</v>
      </c>
      <c r="D115" s="1032">
        <v>-78420269</v>
      </c>
      <c r="E115" s="269"/>
      <c r="F115" s="269"/>
      <c r="G115" s="269">
        <f>D115</f>
        <v>-78420269</v>
      </c>
      <c r="H115" s="269"/>
      <c r="I115" s="489" t="s">
        <v>2430</v>
      </c>
      <c r="J115" s="489"/>
    </row>
    <row r="116" spans="1:10" x14ac:dyDescent="0.2">
      <c r="A116" s="219">
        <f t="shared" si="8"/>
        <v>505</v>
      </c>
      <c r="B116" s="792">
        <v>283</v>
      </c>
      <c r="C116" s="793" t="s">
        <v>2446</v>
      </c>
      <c r="D116" s="1032">
        <v>393450</v>
      </c>
      <c r="E116" s="269" t="s">
        <v>379</v>
      </c>
      <c r="F116" s="269"/>
      <c r="G116" s="269">
        <f>D116</f>
        <v>393450</v>
      </c>
      <c r="H116" s="269"/>
      <c r="I116" s="489" t="s">
        <v>2430</v>
      </c>
      <c r="J116" s="489"/>
    </row>
    <row r="117" spans="1:10" x14ac:dyDescent="0.2">
      <c r="A117" s="219">
        <f t="shared" si="8"/>
        <v>506</v>
      </c>
      <c r="B117" s="792">
        <v>283</v>
      </c>
      <c r="C117" s="793" t="s">
        <v>2449</v>
      </c>
      <c r="D117" s="1032">
        <v>-80060843</v>
      </c>
      <c r="E117" s="269">
        <f>D117</f>
        <v>-80060843</v>
      </c>
      <c r="F117" s="269"/>
      <c r="G117" s="269"/>
      <c r="H117" s="269"/>
      <c r="I117" s="489" t="s">
        <v>2450</v>
      </c>
      <c r="J117" s="489"/>
    </row>
    <row r="118" spans="1:10" x14ac:dyDescent="0.2">
      <c r="A118" s="219">
        <f t="shared" si="8"/>
        <v>507</v>
      </c>
      <c r="B118" s="792">
        <v>283</v>
      </c>
      <c r="C118" s="793" t="s">
        <v>2477</v>
      </c>
      <c r="D118" s="1032">
        <v>-205974125</v>
      </c>
      <c r="E118" s="269">
        <f t="shared" ref="E118:E123" si="9">D118</f>
        <v>-205974125</v>
      </c>
      <c r="F118" s="269"/>
      <c r="G118" s="269"/>
      <c r="H118" s="269"/>
      <c r="I118" s="489" t="s">
        <v>2478</v>
      </c>
      <c r="J118" s="489"/>
    </row>
    <row r="119" spans="1:10" x14ac:dyDescent="0.2">
      <c r="A119" s="219">
        <f t="shared" si="8"/>
        <v>508</v>
      </c>
      <c r="B119" s="792">
        <v>283</v>
      </c>
      <c r="C119" s="793" t="s">
        <v>2447</v>
      </c>
      <c r="D119" s="1032">
        <v>-552075797</v>
      </c>
      <c r="E119" s="269">
        <f t="shared" si="9"/>
        <v>-552075797</v>
      </c>
      <c r="F119" s="269"/>
      <c r="G119" s="269"/>
      <c r="H119" s="269"/>
      <c r="I119" s="489" t="s">
        <v>2448</v>
      </c>
      <c r="J119" s="489"/>
    </row>
    <row r="120" spans="1:10" x14ac:dyDescent="0.2">
      <c r="A120" s="219">
        <f t="shared" si="8"/>
        <v>509</v>
      </c>
      <c r="B120" s="792">
        <v>283</v>
      </c>
      <c r="C120" s="793" t="s">
        <v>2455</v>
      </c>
      <c r="D120" s="1032">
        <v>-136937441</v>
      </c>
      <c r="E120" s="269">
        <f t="shared" si="9"/>
        <v>-136937441</v>
      </c>
      <c r="F120" s="269"/>
      <c r="G120" s="269"/>
      <c r="H120" s="269"/>
      <c r="I120" s="489" t="s">
        <v>2456</v>
      </c>
      <c r="J120" s="489"/>
    </row>
    <row r="121" spans="1:10" x14ac:dyDescent="0.2">
      <c r="A121" s="219">
        <f t="shared" si="8"/>
        <v>510</v>
      </c>
      <c r="B121" s="792">
        <v>283</v>
      </c>
      <c r="C121" s="793" t="s">
        <v>2479</v>
      </c>
      <c r="D121" s="1032">
        <v>-317037031</v>
      </c>
      <c r="E121" s="269">
        <f t="shared" si="9"/>
        <v>-317037031</v>
      </c>
      <c r="F121" s="269"/>
      <c r="G121" s="269"/>
      <c r="H121" s="269"/>
      <c r="I121" s="489" t="s">
        <v>2470</v>
      </c>
      <c r="J121" s="489"/>
    </row>
    <row r="122" spans="1:10" x14ac:dyDescent="0.2">
      <c r="A122" s="219">
        <f t="shared" si="8"/>
        <v>511</v>
      </c>
      <c r="B122" s="792">
        <v>283</v>
      </c>
      <c r="C122" s="793" t="s">
        <v>2457</v>
      </c>
      <c r="D122" s="1032">
        <v>51838280</v>
      </c>
      <c r="E122" s="269">
        <f t="shared" si="9"/>
        <v>51838280</v>
      </c>
      <c r="F122" s="269"/>
      <c r="G122" s="269"/>
      <c r="H122" s="269"/>
      <c r="I122" s="489" t="s">
        <v>2450</v>
      </c>
      <c r="J122" s="489"/>
    </row>
    <row r="123" spans="1:10" x14ac:dyDescent="0.2">
      <c r="A123" s="219">
        <f t="shared" si="8"/>
        <v>512</v>
      </c>
      <c r="B123" s="792">
        <v>283</v>
      </c>
      <c r="C123" s="793" t="s">
        <v>2458</v>
      </c>
      <c r="D123" s="1032">
        <v>-705837928</v>
      </c>
      <c r="E123" s="269">
        <f t="shared" si="9"/>
        <v>-705837928</v>
      </c>
      <c r="F123" s="269"/>
      <c r="G123" s="269"/>
      <c r="H123" s="269"/>
      <c r="I123" s="489" t="s">
        <v>2456</v>
      </c>
      <c r="J123" s="489"/>
    </row>
    <row r="124" spans="1:10" x14ac:dyDescent="0.2">
      <c r="A124" s="131"/>
      <c r="B124" s="796"/>
      <c r="C124" s="797"/>
      <c r="D124" s="798"/>
      <c r="E124" s="268"/>
      <c r="F124" s="268"/>
      <c r="G124" s="268"/>
      <c r="H124" s="268"/>
      <c r="I124" s="274"/>
      <c r="J124" s="274"/>
    </row>
    <row r="125" spans="1:10" x14ac:dyDescent="0.2">
      <c r="A125" s="131"/>
      <c r="B125" s="291" t="s">
        <v>2006</v>
      </c>
      <c r="C125" s="735"/>
      <c r="D125" s="777"/>
      <c r="E125" s="266"/>
      <c r="F125" s="266"/>
      <c r="G125" s="266"/>
      <c r="H125" s="266"/>
      <c r="I125" s="264"/>
      <c r="J125" s="274"/>
    </row>
    <row r="126" spans="1:10" x14ac:dyDescent="0.2">
      <c r="A126" s="131"/>
      <c r="B126" s="291"/>
      <c r="C126" s="99" t="s">
        <v>417</v>
      </c>
      <c r="D126" s="99" t="s">
        <v>400</v>
      </c>
      <c r="E126" s="99" t="s">
        <v>401</v>
      </c>
      <c r="F126" s="99" t="s">
        <v>402</v>
      </c>
      <c r="G126" s="99" t="s">
        <v>403</v>
      </c>
      <c r="H126" s="99" t="s">
        <v>404</v>
      </c>
      <c r="I126" s="99" t="s">
        <v>405</v>
      </c>
      <c r="J126" s="274"/>
    </row>
    <row r="127" spans="1:10" x14ac:dyDescent="0.2">
      <c r="A127" s="131"/>
      <c r="B127" s="547"/>
      <c r="C127" s="547"/>
      <c r="D127" s="790" t="s">
        <v>1984</v>
      </c>
      <c r="E127" s="790" t="s">
        <v>1985</v>
      </c>
      <c r="F127" s="790"/>
      <c r="G127" s="790"/>
      <c r="H127" s="790" t="s">
        <v>1569</v>
      </c>
      <c r="I127" s="264"/>
      <c r="J127" s="274"/>
    </row>
    <row r="128" spans="1:10" x14ac:dyDescent="0.2">
      <c r="A128" s="131"/>
      <c r="B128" s="770" t="s">
        <v>2005</v>
      </c>
      <c r="C128" s="770" t="s">
        <v>1987</v>
      </c>
      <c r="D128" s="791" t="s">
        <v>1988</v>
      </c>
      <c r="E128" s="791" t="s">
        <v>1989</v>
      </c>
      <c r="F128" s="791" t="s">
        <v>1990</v>
      </c>
      <c r="G128" s="791" t="s">
        <v>1991</v>
      </c>
      <c r="H128" s="791" t="s">
        <v>1978</v>
      </c>
      <c r="I128" s="770" t="s">
        <v>118</v>
      </c>
      <c r="J128" s="274"/>
    </row>
    <row r="129" spans="1:10" x14ac:dyDescent="0.2">
      <c r="A129" s="131"/>
      <c r="B129" s="698" t="s">
        <v>2007</v>
      </c>
      <c r="C129" s="547"/>
      <c r="D129" s="790"/>
      <c r="E129" s="790"/>
      <c r="F129" s="790"/>
      <c r="G129" s="790"/>
      <c r="H129" s="790"/>
      <c r="I129" s="547"/>
      <c r="J129" s="274"/>
    </row>
    <row r="130" spans="1:10" x14ac:dyDescent="0.2">
      <c r="A130" s="219">
        <f>A123+1</f>
        <v>513</v>
      </c>
      <c r="B130" s="799" t="s">
        <v>617</v>
      </c>
      <c r="C130" s="795"/>
      <c r="D130" s="800"/>
      <c r="E130" s="269"/>
      <c r="F130" s="269"/>
      <c r="G130" s="269"/>
      <c r="H130" s="269"/>
      <c r="I130" s="489"/>
      <c r="J130" s="489"/>
    </row>
    <row r="131" spans="1:10" x14ac:dyDescent="0.2">
      <c r="A131" s="131"/>
      <c r="B131" s="801"/>
      <c r="C131" s="802"/>
      <c r="D131" s="686"/>
      <c r="E131" s="268"/>
      <c r="F131" s="268"/>
      <c r="G131" s="268"/>
      <c r="H131" s="268"/>
      <c r="I131" s="274"/>
      <c r="J131" s="274"/>
    </row>
    <row r="132" spans="1:10" x14ac:dyDescent="0.2">
      <c r="A132" s="131">
        <v>650</v>
      </c>
      <c r="B132" s="802"/>
      <c r="C132" s="802" t="s">
        <v>2008</v>
      </c>
      <c r="D132" s="686">
        <f>SUM(D111:D123)+SUM(D130)</f>
        <v>-2088013134</v>
      </c>
      <c r="E132" s="686">
        <f>SUM(E111:E123)+SUM(E130)</f>
        <v>-1946084885</v>
      </c>
      <c r="F132" s="686">
        <f>SUM(F111:F123)+SUM(F130)</f>
        <v>0</v>
      </c>
      <c r="G132" s="686">
        <f>SUM(G111:G123)+SUM(G130)</f>
        <v>-141928249</v>
      </c>
      <c r="H132" s="686">
        <f>SUM(H111:H123)+SUM(H130)</f>
        <v>0</v>
      </c>
      <c r="I132" s="284" t="str">
        <f>"Sum of Above Lines beginning on Line "&amp;A111&amp;""</f>
        <v>Sum of Above Lines beginning on Line 500</v>
      </c>
      <c r="J132" s="264"/>
    </row>
    <row r="133" spans="1:10" x14ac:dyDescent="0.2">
      <c r="A133" s="131"/>
      <c r="B133" s="802"/>
      <c r="C133" s="802"/>
      <c r="D133" s="686"/>
      <c r="E133" s="686"/>
      <c r="F133" s="686"/>
      <c r="G133" s="686"/>
      <c r="H133" s="686"/>
      <c r="I133" s="783"/>
      <c r="J133" s="264"/>
    </row>
    <row r="134" spans="1:10" x14ac:dyDescent="0.2">
      <c r="A134" s="830"/>
      <c r="B134" s="698" t="s">
        <v>2063</v>
      </c>
      <c r="C134" s="802"/>
      <c r="D134" s="686"/>
      <c r="E134" s="266"/>
      <c r="F134" s="266"/>
      <c r="G134" s="266"/>
      <c r="H134" s="266"/>
      <c r="I134" s="264"/>
      <c r="J134" s="264"/>
    </row>
    <row r="135" spans="1:10" x14ac:dyDescent="0.2">
      <c r="A135" s="830"/>
      <c r="C135" s="99" t="s">
        <v>417</v>
      </c>
      <c r="D135" s="99" t="s">
        <v>400</v>
      </c>
      <c r="E135" s="99" t="s">
        <v>401</v>
      </c>
      <c r="F135" s="99" t="s">
        <v>402</v>
      </c>
      <c r="G135" s="99" t="s">
        <v>403</v>
      </c>
      <c r="H135" s="99" t="s">
        <v>404</v>
      </c>
      <c r="I135" s="99" t="s">
        <v>405</v>
      </c>
      <c r="J135" s="264"/>
    </row>
    <row r="136" spans="1:10" x14ac:dyDescent="0.2">
      <c r="A136" s="219">
        <v>700</v>
      </c>
      <c r="B136" s="792">
        <v>283</v>
      </c>
      <c r="C136" s="793" t="s">
        <v>2449</v>
      </c>
      <c r="D136" s="794">
        <v>0</v>
      </c>
      <c r="E136" s="269">
        <f>D136</f>
        <v>0</v>
      </c>
      <c r="F136" s="269"/>
      <c r="G136" s="269"/>
      <c r="H136" s="269"/>
      <c r="I136" s="489" t="s">
        <v>2460</v>
      </c>
      <c r="J136" s="489"/>
    </row>
    <row r="137" spans="1:10" x14ac:dyDescent="0.2">
      <c r="A137" s="219">
        <f t="shared" ref="A137:A142" si="10">A136+1</f>
        <v>701</v>
      </c>
      <c r="B137" s="792">
        <v>283</v>
      </c>
      <c r="C137" s="793" t="s">
        <v>2480</v>
      </c>
      <c r="D137" s="794">
        <f>-518113-8014509</f>
        <v>-8532622</v>
      </c>
      <c r="E137" s="269">
        <f t="shared" ref="E137:E141" si="11">D137</f>
        <v>-8532622</v>
      </c>
      <c r="F137" s="269"/>
      <c r="G137" s="269"/>
      <c r="H137" s="269"/>
      <c r="I137" s="489" t="s">
        <v>2460</v>
      </c>
      <c r="J137" s="489"/>
    </row>
    <row r="138" spans="1:10" x14ac:dyDescent="0.2">
      <c r="A138" s="219">
        <f t="shared" si="10"/>
        <v>702</v>
      </c>
      <c r="B138" s="792">
        <v>283</v>
      </c>
      <c r="C138" s="793" t="s">
        <v>2481</v>
      </c>
      <c r="D138" s="794">
        <f>-11407-1242141</f>
        <v>-1253548</v>
      </c>
      <c r="E138" s="269">
        <f t="shared" si="11"/>
        <v>-1253548</v>
      </c>
      <c r="F138" s="269"/>
      <c r="G138" s="269"/>
      <c r="H138" s="269"/>
      <c r="I138" s="489" t="s">
        <v>2460</v>
      </c>
      <c r="J138" s="489"/>
    </row>
    <row r="139" spans="1:10" x14ac:dyDescent="0.2">
      <c r="A139" s="219">
        <f t="shared" si="10"/>
        <v>703</v>
      </c>
      <c r="B139" s="792">
        <v>283</v>
      </c>
      <c r="C139" s="793" t="s">
        <v>2482</v>
      </c>
      <c r="D139" s="794">
        <v>1317246</v>
      </c>
      <c r="E139" s="269">
        <f t="shared" si="11"/>
        <v>1317246</v>
      </c>
      <c r="F139" s="269"/>
      <c r="G139" s="269"/>
      <c r="H139" s="269"/>
      <c r="I139" s="489" t="s">
        <v>2460</v>
      </c>
      <c r="J139" s="489"/>
    </row>
    <row r="140" spans="1:10" x14ac:dyDescent="0.2">
      <c r="A140" s="219">
        <f t="shared" si="10"/>
        <v>704</v>
      </c>
      <c r="B140" s="792">
        <v>283</v>
      </c>
      <c r="C140" s="793" t="s">
        <v>2461</v>
      </c>
      <c r="D140" s="794">
        <v>-595473955</v>
      </c>
      <c r="E140" s="269">
        <f t="shared" si="11"/>
        <v>-595473955</v>
      </c>
      <c r="F140" s="269"/>
      <c r="G140" s="269"/>
      <c r="H140" s="269"/>
      <c r="I140" s="489" t="s">
        <v>2460</v>
      </c>
      <c r="J140" s="489"/>
    </row>
    <row r="141" spans="1:10" x14ac:dyDescent="0.2">
      <c r="A141" s="219">
        <f t="shared" si="10"/>
        <v>705</v>
      </c>
      <c r="B141" s="792">
        <v>283</v>
      </c>
      <c r="C141" s="793" t="s">
        <v>2483</v>
      </c>
      <c r="D141" s="794">
        <v>80032950</v>
      </c>
      <c r="E141" s="269">
        <f t="shared" si="11"/>
        <v>80032950</v>
      </c>
      <c r="F141" s="269"/>
      <c r="G141" s="269"/>
      <c r="H141" s="269"/>
      <c r="I141" s="489" t="s">
        <v>2460</v>
      </c>
      <c r="J141" s="489"/>
    </row>
    <row r="142" spans="1:10" x14ac:dyDescent="0.2">
      <c r="A142" s="219">
        <f t="shared" si="10"/>
        <v>706</v>
      </c>
      <c r="B142" s="803" t="s">
        <v>617</v>
      </c>
      <c r="C142" s="793"/>
      <c r="D142" s="794"/>
      <c r="E142" s="269"/>
      <c r="F142" s="269"/>
      <c r="G142" s="269"/>
      <c r="H142" s="269"/>
      <c r="I142" s="489"/>
      <c r="J142" s="489"/>
    </row>
    <row r="143" spans="1:10" x14ac:dyDescent="0.2">
      <c r="A143" s="131"/>
      <c r="B143" s="796"/>
      <c r="C143" s="797"/>
      <c r="D143" s="798"/>
      <c r="E143" s="268"/>
      <c r="F143" s="268"/>
      <c r="G143" s="268"/>
      <c r="H143" s="268"/>
      <c r="I143" s="274"/>
      <c r="J143" s="274"/>
    </row>
    <row r="144" spans="1:10" x14ac:dyDescent="0.2">
      <c r="A144" s="131"/>
      <c r="B144" s="802"/>
      <c r="C144" s="99" t="s">
        <v>417</v>
      </c>
      <c r="D144" s="99" t="s">
        <v>400</v>
      </c>
      <c r="E144" s="99" t="s">
        <v>401</v>
      </c>
      <c r="F144" s="99" t="s">
        <v>402</v>
      </c>
      <c r="G144" s="99" t="s">
        <v>403</v>
      </c>
      <c r="H144" s="99" t="s">
        <v>404</v>
      </c>
      <c r="I144" s="431" t="s">
        <v>207</v>
      </c>
      <c r="J144" s="264"/>
    </row>
    <row r="145" spans="1:10" x14ac:dyDescent="0.2">
      <c r="A145" s="131">
        <v>800</v>
      </c>
      <c r="B145" s="264"/>
      <c r="C145" s="685" t="s">
        <v>2009</v>
      </c>
      <c r="D145" s="686">
        <f>SUM(D136:D144)</f>
        <v>-523909929</v>
      </c>
      <c r="E145" s="686">
        <f>SUM(E136:E144)</f>
        <v>-523909929</v>
      </c>
      <c r="F145" s="686">
        <f>SUM(F136:F144)</f>
        <v>0</v>
      </c>
      <c r="G145" s="686">
        <f>SUM(G136:G144)</f>
        <v>0</v>
      </c>
      <c r="H145" s="686">
        <f>SUM(H136:H144)</f>
        <v>0</v>
      </c>
      <c r="I145" s="284" t="str">
        <f>"Sum of Above Lines beginning on Line "&amp;A136&amp;""</f>
        <v>Sum of Above Lines beginning on Line 700</v>
      </c>
      <c r="J145" s="264"/>
    </row>
    <row r="146" spans="1:10" x14ac:dyDescent="0.2">
      <c r="A146" s="131"/>
      <c r="B146" s="264"/>
      <c r="C146" s="685"/>
      <c r="D146" s="686"/>
      <c r="E146" s="686"/>
      <c r="F146" s="686"/>
      <c r="G146" s="686"/>
      <c r="H146" s="686"/>
      <c r="I146" s="284"/>
      <c r="J146" s="264"/>
    </row>
    <row r="147" spans="1:10" x14ac:dyDescent="0.2">
      <c r="A147" s="131">
        <f>A145+1</f>
        <v>801</v>
      </c>
      <c r="B147" s="264"/>
      <c r="C147" s="685" t="s">
        <v>2010</v>
      </c>
      <c r="D147" s="686">
        <f>D132+D145</f>
        <v>-2611923063</v>
      </c>
      <c r="E147" s="686">
        <f>E132+E145</f>
        <v>-2469994814</v>
      </c>
      <c r="F147" s="686">
        <f>F132+F145</f>
        <v>0</v>
      </c>
      <c r="G147" s="686">
        <f>G132+G145</f>
        <v>-141928249</v>
      </c>
      <c r="H147" s="686">
        <f>H132+H145</f>
        <v>0</v>
      </c>
      <c r="I147" s="779" t="str">
        <f>"Line "&amp;A132&amp;" + Line "&amp;A145&amp;""</f>
        <v>Line 650 + Line 800</v>
      </c>
      <c r="J147" s="264"/>
    </row>
    <row r="148" spans="1:10" x14ac:dyDescent="0.2">
      <c r="A148" s="815">
        <f>+A147+1</f>
        <v>802</v>
      </c>
      <c r="B148" s="698"/>
      <c r="C148" s="698" t="s">
        <v>2065</v>
      </c>
      <c r="D148" s="777"/>
      <c r="E148" s="777"/>
      <c r="F148" s="777"/>
      <c r="G148" s="820">
        <f>Allocators!$G$28</f>
        <v>0.10702566542980063</v>
      </c>
      <c r="H148" s="820">
        <f>Allocators!$G$15</f>
        <v>3.9310790220978262E-2</v>
      </c>
      <c r="I148" s="818" t="str">
        <f>"Allocators WS Lines "&amp;Allocators!A28&amp;" and "&amp;Allocators!A15&amp;" respectively."</f>
        <v>Allocators WS Lines 22 and 9 respectively.</v>
      </c>
      <c r="J148" s="264"/>
    </row>
    <row r="149" spans="1:10" x14ac:dyDescent="0.2">
      <c r="A149" s="815">
        <f>+A148+1</f>
        <v>803</v>
      </c>
      <c r="B149" s="698"/>
      <c r="C149" s="698" t="s">
        <v>2069</v>
      </c>
      <c r="D149" s="777">
        <f>SUM(F149:H149)</f>
        <v>-15189965.292511435</v>
      </c>
      <c r="E149" s="777"/>
      <c r="F149" s="814">
        <f>+F147</f>
        <v>0</v>
      </c>
      <c r="G149" s="814">
        <f>+G147*G148</f>
        <v>-15189965.292511435</v>
      </c>
      <c r="H149" s="814">
        <f>+H147*H148</f>
        <v>0</v>
      </c>
      <c r="I149" s="779" t="str">
        <f>"Line "&amp;A147&amp;" * Line "&amp;A148&amp;" for Cols 5 and 6.  Col. 4 100% ISO."</f>
        <v>Line 801 * Line 802 for Cols 5 and 6.  Col. 4 100% ISO.</v>
      </c>
      <c r="J149" s="264"/>
    </row>
    <row r="150" spans="1:10" x14ac:dyDescent="0.2">
      <c r="A150" s="131"/>
      <c r="B150" s="264"/>
      <c r="C150" s="819" t="s">
        <v>2068</v>
      </c>
      <c r="D150" s="686"/>
      <c r="E150" s="686"/>
      <c r="F150" s="686"/>
      <c r="G150" s="686"/>
      <c r="H150" s="686"/>
      <c r="I150" s="779"/>
      <c r="J150" s="266"/>
    </row>
    <row r="151" spans="1:10" x14ac:dyDescent="0.2">
      <c r="A151" s="131"/>
      <c r="B151" s="264"/>
      <c r="C151" s="685"/>
      <c r="D151" s="686"/>
      <c r="E151" s="686"/>
      <c r="F151" s="686"/>
      <c r="G151" s="686"/>
      <c r="H151" s="686"/>
      <c r="I151" s="779"/>
      <c r="J151" s="264"/>
    </row>
    <row r="152" spans="1:10" x14ac:dyDescent="0.2">
      <c r="A152" s="131">
        <f>A149+1</f>
        <v>804</v>
      </c>
      <c r="C152" s="698" t="s">
        <v>2037</v>
      </c>
      <c r="D152" s="780">
        <v>2611923063</v>
      </c>
      <c r="E152" s="781" t="str">
        <f>"Must match amount on Line "&amp;A147&amp;", Col. 2"</f>
        <v>Must match amount on Line 801, Col. 2</v>
      </c>
      <c r="F152" s="777"/>
      <c r="G152" s="777"/>
      <c r="H152" s="777"/>
      <c r="I152" s="284" t="s">
        <v>1493</v>
      </c>
    </row>
    <row r="153" spans="1:10" x14ac:dyDescent="0.2">
      <c r="A153" s="683"/>
      <c r="B153" s="821"/>
      <c r="C153" s="821"/>
      <c r="D153" s="821"/>
      <c r="E153" s="821"/>
      <c r="F153" s="821"/>
      <c r="G153" s="821"/>
      <c r="H153" s="821"/>
      <c r="I153" s="687"/>
      <c r="J153" s="821"/>
    </row>
    <row r="154" spans="1:10" x14ac:dyDescent="0.2">
      <c r="A154" s="683"/>
      <c r="B154" s="291" t="s">
        <v>2111</v>
      </c>
      <c r="C154" s="821"/>
      <c r="D154" s="821"/>
      <c r="E154" s="821"/>
      <c r="F154" s="821"/>
      <c r="G154" s="821"/>
      <c r="H154" s="821"/>
      <c r="I154" s="821"/>
      <c r="J154" s="821"/>
    </row>
    <row r="155" spans="1:10" x14ac:dyDescent="0.2">
      <c r="A155" s="683"/>
      <c r="B155" s="291"/>
      <c r="C155" s="821"/>
      <c r="D155" s="821"/>
      <c r="E155" s="821"/>
      <c r="F155" s="821"/>
      <c r="G155" s="821"/>
      <c r="H155" s="821"/>
      <c r="I155" s="821"/>
      <c r="J155" s="821"/>
    </row>
    <row r="156" spans="1:10" x14ac:dyDescent="0.2">
      <c r="A156" s="131"/>
      <c r="B156" s="291"/>
      <c r="C156" s="99" t="s">
        <v>417</v>
      </c>
      <c r="D156" s="99" t="s">
        <v>400</v>
      </c>
      <c r="E156" s="99" t="s">
        <v>401</v>
      </c>
      <c r="F156" s="99" t="s">
        <v>402</v>
      </c>
      <c r="G156" s="99" t="s">
        <v>403</v>
      </c>
      <c r="H156" s="99" t="s">
        <v>404</v>
      </c>
      <c r="I156" s="99" t="s">
        <v>405</v>
      </c>
      <c r="J156" s="821"/>
    </row>
    <row r="157" spans="1:10" x14ac:dyDescent="0.2">
      <c r="A157" s="131"/>
      <c r="B157" s="547"/>
      <c r="C157" s="547"/>
      <c r="D157" s="790" t="s">
        <v>1984</v>
      </c>
      <c r="E157" s="790" t="s">
        <v>1985</v>
      </c>
      <c r="F157" s="790"/>
      <c r="G157" s="790"/>
      <c r="H157" s="790" t="s">
        <v>1569</v>
      </c>
      <c r="I157" s="264"/>
      <c r="J157" s="821"/>
    </row>
    <row r="158" spans="1:10" x14ac:dyDescent="0.2">
      <c r="A158" s="131"/>
      <c r="B158" s="770" t="s">
        <v>693</v>
      </c>
      <c r="C158" s="855" t="s">
        <v>2187</v>
      </c>
      <c r="D158" s="791" t="s">
        <v>1988</v>
      </c>
      <c r="E158" s="791" t="s">
        <v>1989</v>
      </c>
      <c r="F158" s="791" t="s">
        <v>1990</v>
      </c>
      <c r="G158" s="791" t="s">
        <v>1991</v>
      </c>
      <c r="H158" s="791" t="s">
        <v>1978</v>
      </c>
      <c r="I158" s="770" t="s">
        <v>118</v>
      </c>
      <c r="J158" s="821"/>
    </row>
    <row r="159" spans="1:10" x14ac:dyDescent="0.2">
      <c r="A159" s="683"/>
      <c r="B159" s="821"/>
      <c r="C159" s="821"/>
      <c r="D159" s="821"/>
      <c r="E159" s="821"/>
      <c r="F159" s="821"/>
      <c r="G159" s="821"/>
      <c r="H159" s="821"/>
      <c r="I159" s="821"/>
      <c r="J159" s="821"/>
    </row>
    <row r="160" spans="1:10" x14ac:dyDescent="0.2">
      <c r="A160" s="131">
        <f>A152+1</f>
        <v>805</v>
      </c>
      <c r="B160" s="831">
        <v>236</v>
      </c>
      <c r="C160" s="685" t="s">
        <v>2064</v>
      </c>
      <c r="D160" s="725">
        <v>-192548042</v>
      </c>
      <c r="E160" s="725"/>
      <c r="F160" s="725"/>
      <c r="G160" s="725"/>
      <c r="H160" s="694"/>
      <c r="I160" s="682" t="s">
        <v>2108</v>
      </c>
      <c r="J160" s="685"/>
    </row>
    <row r="161" spans="1:10" x14ac:dyDescent="0.2">
      <c r="A161" s="131">
        <f>A160+1</f>
        <v>806</v>
      </c>
      <c r="B161" s="831"/>
      <c r="C161" s="685" t="s">
        <v>2107</v>
      </c>
      <c r="D161" s="725">
        <f>-31212439+30497845</f>
        <v>-714594</v>
      </c>
      <c r="E161" s="725"/>
      <c r="F161" s="725"/>
      <c r="G161" s="725"/>
      <c r="H161" s="694"/>
      <c r="I161" s="682" t="s">
        <v>246</v>
      </c>
      <c r="J161" s="685"/>
    </row>
    <row r="162" spans="1:10" x14ac:dyDescent="0.2">
      <c r="A162" s="131">
        <f t="shared" ref="A162:A163" si="12">A161+1</f>
        <v>807</v>
      </c>
      <c r="B162" s="831"/>
      <c r="C162" s="685" t="s">
        <v>2110</v>
      </c>
      <c r="D162" s="700">
        <f>D160+D161</f>
        <v>-193262636</v>
      </c>
      <c r="G162" s="700"/>
      <c r="H162" s="685"/>
      <c r="I162" s="779" t="str">
        <f>"Line "&amp;A160&amp;" + Line "&amp;A161&amp;""</f>
        <v>Line 805 + Line 806</v>
      </c>
      <c r="J162" s="685"/>
    </row>
    <row r="163" spans="1:10" x14ac:dyDescent="0.2">
      <c r="A163" s="131">
        <f t="shared" si="12"/>
        <v>808</v>
      </c>
      <c r="B163" s="821"/>
      <c r="C163" s="698" t="s">
        <v>2197</v>
      </c>
      <c r="D163" s="858"/>
      <c r="E163" s="700"/>
      <c r="F163" s="700"/>
      <c r="G163" s="820">
        <f>Allocators!$G$28</f>
        <v>0.10702566542980063</v>
      </c>
      <c r="H163" s="832"/>
      <c r="I163" s="687" t="s">
        <v>328</v>
      </c>
      <c r="J163" s="683"/>
    </row>
    <row r="164" spans="1:10" x14ac:dyDescent="0.2">
      <c r="A164" s="131">
        <f>+A163+1</f>
        <v>809</v>
      </c>
      <c r="B164" s="684"/>
      <c r="C164" s="683" t="s">
        <v>2187</v>
      </c>
      <c r="D164" s="777">
        <f>E164+G164</f>
        <v>193262636</v>
      </c>
      <c r="E164" s="814">
        <f>-(D162+G164)</f>
        <v>172578573.77938265</v>
      </c>
      <c r="F164" s="814"/>
      <c r="G164" s="814">
        <f>-(D162*G163)</f>
        <v>20684062.220617343</v>
      </c>
      <c r="H164" s="814"/>
      <c r="I164" s="779" t="str">
        <f>"- Line "&amp;A162&amp;" * Line "&amp;A163&amp;""</f>
        <v>- Line 807 * Line 808</v>
      </c>
      <c r="J164" s="683"/>
    </row>
    <row r="165" spans="1:10" x14ac:dyDescent="0.2">
      <c r="A165" s="815"/>
      <c r="B165" s="698"/>
      <c r="C165" s="697" t="s">
        <v>2200</v>
      </c>
      <c r="D165" s="777"/>
      <c r="E165" s="777"/>
      <c r="F165" s="777"/>
      <c r="G165" s="817"/>
      <c r="H165" s="817"/>
      <c r="I165" s="818" t="s">
        <v>2199</v>
      </c>
      <c r="J165" s="821"/>
    </row>
    <row r="166" spans="1:10" x14ac:dyDescent="0.2">
      <c r="A166" s="815"/>
      <c r="B166" s="698"/>
      <c r="C166" s="683"/>
      <c r="D166" s="777"/>
      <c r="E166" s="777"/>
      <c r="F166" s="777"/>
      <c r="G166" s="777"/>
      <c r="H166" s="777"/>
      <c r="I166" s="779"/>
      <c r="J166" s="821"/>
    </row>
    <row r="167" spans="1:10" x14ac:dyDescent="0.2">
      <c r="A167" s="131"/>
      <c r="B167" s="684"/>
      <c r="C167" s="819"/>
      <c r="D167" s="777"/>
      <c r="E167" s="777"/>
      <c r="F167" s="777"/>
      <c r="G167" s="777"/>
      <c r="H167" s="777"/>
      <c r="I167" s="821"/>
      <c r="J167" s="821"/>
    </row>
    <row r="168" spans="1:10" x14ac:dyDescent="0.2">
      <c r="A168" s="683"/>
      <c r="B168" s="821"/>
      <c r="C168" s="833" t="s">
        <v>2112</v>
      </c>
      <c r="D168" s="821"/>
      <c r="E168" s="821"/>
      <c r="F168" s="821"/>
      <c r="G168" s="821"/>
      <c r="H168" s="821"/>
      <c r="I168" s="821"/>
      <c r="J168" s="821"/>
    </row>
    <row r="169" spans="1:10" x14ac:dyDescent="0.2">
      <c r="C169" s="833" t="str">
        <f>"Note 2: Adjustment to exclude interest component related portion of Federal Income Taxes Payable on Line "&amp;A160&amp;"."</f>
        <v>Note 2: Adjustment to exclude interest component related portion of Federal Income Taxes Payable on Line 805.</v>
      </c>
    </row>
    <row r="170" spans="1:10" x14ac:dyDescent="0.2">
      <c r="C170" s="264" t="s">
        <v>2198</v>
      </c>
    </row>
    <row r="171" spans="1:10" x14ac:dyDescent="0.2">
      <c r="C171" s="264" t="s">
        <v>2109</v>
      </c>
    </row>
  </sheetData>
  <protectedRanges>
    <protectedRange password="F1C4" sqref="D20:E30 F25:F30 B7:C12 D17:D18 B13 F20 B14:C30 E15:E19 D14:D15" name="AAReport1_23_1_1"/>
    <protectedRange password="F1C4" sqref="D19" name="AAReport1_23_1_1_1"/>
    <protectedRange password="F1C4" sqref="B32:F32 D39 F39 B31:D31 H32 J32 I44:I53" name="AAReport1_23_1_1_3"/>
    <protectedRange password="F1C4" sqref="I92" name="AAReport1_23_1_1_5"/>
    <protectedRange password="F1C4" sqref="I122:I123 I116:I120" name="AAReport1_23_1_1_6"/>
  </protectedRanges>
  <phoneticPr fontId="8" type="noConversion"/>
  <conditionalFormatting sqref="B142:B143 D142:D143 B124 D124">
    <cfRule type="expression" dxfId="14" priority="9" stopIfTrue="1">
      <formula>Formulas</formula>
    </cfRule>
  </conditionalFormatting>
  <conditionalFormatting sqref="C142:C143 C124">
    <cfRule type="expression" dxfId="13" priority="8" stopIfTrue="1">
      <formula>#REF!&lt;&gt;""</formula>
    </cfRule>
  </conditionalFormatting>
  <conditionalFormatting sqref="C88">
    <cfRule type="expression" dxfId="12" priority="5" stopIfTrue="1">
      <formula>#REF!&lt;&gt;""</formula>
    </cfRule>
  </conditionalFormatting>
  <conditionalFormatting sqref="D111:D123 B111:B123">
    <cfRule type="expression" dxfId="11" priority="3" stopIfTrue="1">
      <formula>Formulas</formula>
    </cfRule>
  </conditionalFormatting>
  <conditionalFormatting sqref="C111:C123">
    <cfRule type="expression" dxfId="10" priority="4" stopIfTrue="1">
      <formula>#REF!&lt;&gt;""</formula>
    </cfRule>
  </conditionalFormatting>
  <conditionalFormatting sqref="D136:D141 B136:B141">
    <cfRule type="expression" dxfId="9" priority="1" stopIfTrue="1">
      <formula>Formulas</formula>
    </cfRule>
  </conditionalFormatting>
  <conditionalFormatting sqref="C136:C141">
    <cfRule type="expression" dxfId="8" priority="2" stopIfTrue="1">
      <formula>#REF!&lt;&gt;""</formula>
    </cfRule>
  </conditionalFormatting>
  <pageMargins left="0.75" right="0.75" top="1" bottom="1" header="0.5" footer="0.5"/>
  <pageSetup scale="48" fitToWidth="3" fitToHeight="3" orientation="portrait" r:id="rId1"/>
  <headerFooter alignWithMargins="0">
    <oddHeader>&amp;CSchedule 9
ADIT&amp;RDkt. No. ER11-3697
2014 Draft Informational Filing</oddHeader>
    <oddFooter>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4"/>
  <sheetViews>
    <sheetView zoomScaleNormal="100" workbookViewId="0">
      <selection activeCell="F9" sqref="F9"/>
    </sheetView>
  </sheetViews>
  <sheetFormatPr defaultRowHeight="12.75" x14ac:dyDescent="0.2"/>
  <cols>
    <col min="1" max="1" width="4.7109375" customWidth="1"/>
    <col min="2" max="2" width="12.7109375" customWidth="1"/>
    <col min="3" max="3" width="8.7109375" customWidth="1"/>
    <col min="4" max="11" width="14.7109375" customWidth="1"/>
  </cols>
  <sheetData>
    <row r="1" spans="1:12" x14ac:dyDescent="0.2">
      <c r="A1" s="1" t="s">
        <v>653</v>
      </c>
    </row>
    <row r="2" spans="1:12" x14ac:dyDescent="0.2">
      <c r="A2" s="1"/>
    </row>
    <row r="3" spans="1:12" x14ac:dyDescent="0.2">
      <c r="A3" s="1"/>
      <c r="B3" s="12" t="s">
        <v>1127</v>
      </c>
    </row>
    <row r="4" spans="1:12" x14ac:dyDescent="0.2">
      <c r="B4" s="12" t="s">
        <v>657</v>
      </c>
    </row>
    <row r="5" spans="1:12" x14ac:dyDescent="0.2">
      <c r="B5" s="12"/>
    </row>
    <row r="6" spans="1:12" x14ac:dyDescent="0.2">
      <c r="A6" s="12"/>
      <c r="B6" s="1" t="s">
        <v>1510</v>
      </c>
    </row>
    <row r="7" spans="1:12" x14ac:dyDescent="0.2">
      <c r="A7" s="12"/>
      <c r="B7" s="1"/>
      <c r="D7" s="99" t="s">
        <v>417</v>
      </c>
      <c r="E7" s="99" t="s">
        <v>400</v>
      </c>
      <c r="F7" s="99" t="s">
        <v>401</v>
      </c>
      <c r="G7" s="99" t="s">
        <v>402</v>
      </c>
      <c r="H7" s="99" t="s">
        <v>403</v>
      </c>
      <c r="I7" s="99" t="s">
        <v>404</v>
      </c>
      <c r="J7" s="419"/>
      <c r="K7" s="419"/>
      <c r="L7" s="99"/>
    </row>
    <row r="8" spans="1:12" x14ac:dyDescent="0.2">
      <c r="D8" s="102" t="s">
        <v>1163</v>
      </c>
      <c r="J8" s="14"/>
      <c r="K8" s="14"/>
    </row>
    <row r="9" spans="1:12" x14ac:dyDescent="0.2">
      <c r="B9" s="2" t="s">
        <v>648</v>
      </c>
      <c r="D9" s="64" t="s">
        <v>661</v>
      </c>
      <c r="J9" s="14"/>
      <c r="K9" s="14"/>
    </row>
    <row r="10" spans="1:12" x14ac:dyDescent="0.2">
      <c r="B10" s="2" t="s">
        <v>221</v>
      </c>
      <c r="D10" s="2" t="s">
        <v>21</v>
      </c>
      <c r="F10" s="2" t="s">
        <v>396</v>
      </c>
      <c r="G10" s="2" t="s">
        <v>399</v>
      </c>
      <c r="H10" s="2"/>
      <c r="I10" s="2"/>
      <c r="J10" s="131"/>
      <c r="K10" s="131"/>
    </row>
    <row r="11" spans="1:12" x14ac:dyDescent="0.2">
      <c r="A11" s="53" t="s">
        <v>380</v>
      </c>
      <c r="B11" s="25" t="s">
        <v>220</v>
      </c>
      <c r="C11" s="25" t="s">
        <v>221</v>
      </c>
      <c r="D11" s="3" t="s">
        <v>655</v>
      </c>
      <c r="E11" s="3" t="s">
        <v>262</v>
      </c>
      <c r="F11" s="3" t="s">
        <v>397</v>
      </c>
      <c r="G11" s="3" t="s">
        <v>398</v>
      </c>
      <c r="H11" s="3" t="s">
        <v>658</v>
      </c>
      <c r="I11" s="3" t="s">
        <v>659</v>
      </c>
      <c r="J11" s="146"/>
      <c r="K11" s="146"/>
    </row>
    <row r="12" spans="1:12" x14ac:dyDescent="0.2">
      <c r="A12" s="2">
        <v>1</v>
      </c>
      <c r="B12" s="20" t="s">
        <v>208</v>
      </c>
      <c r="C12" s="171">
        <v>2011</v>
      </c>
      <c r="D12" s="7">
        <f>SUM(E12:I12)+SUM(D32:G32)</f>
        <v>1275671607.4025717</v>
      </c>
      <c r="E12" s="428">
        <v>1058055004.8074402</v>
      </c>
      <c r="F12" s="1045">
        <v>151348688.17012709</v>
      </c>
      <c r="G12" s="1045">
        <v>30841729.271137845</v>
      </c>
      <c r="H12" s="1045">
        <v>-73287.943056206728</v>
      </c>
      <c r="I12" s="1045">
        <v>14677408.592885498</v>
      </c>
      <c r="J12" s="132"/>
    </row>
    <row r="13" spans="1:12" x14ac:dyDescent="0.2">
      <c r="A13" s="2">
        <f>A12+1</f>
        <v>2</v>
      </c>
      <c r="B13" s="20" t="s">
        <v>209</v>
      </c>
      <c r="C13" s="171">
        <v>2012</v>
      </c>
      <c r="D13" s="7">
        <f t="shared" ref="D13:D24" si="0">SUM(E13:I13)+SUM(D33:G33)</f>
        <v>1315464738.7490463</v>
      </c>
      <c r="E13" s="428">
        <v>1076719961.0473175</v>
      </c>
      <c r="F13" s="127">
        <v>164639970.02547273</v>
      </c>
      <c r="G13" s="127">
        <v>35978191.254513845</v>
      </c>
      <c r="H13" s="127">
        <v>-70360.766686206727</v>
      </c>
      <c r="I13" s="127">
        <v>16138685.694305498</v>
      </c>
      <c r="J13" s="132"/>
    </row>
    <row r="14" spans="1:12" x14ac:dyDescent="0.2">
      <c r="A14" s="2">
        <f t="shared" ref="A14:A25" si="1">A13+1</f>
        <v>3</v>
      </c>
      <c r="B14" s="21" t="s">
        <v>210</v>
      </c>
      <c r="C14" s="171">
        <v>2012</v>
      </c>
      <c r="D14" s="7">
        <f t="shared" si="0"/>
        <v>1232466111.8164279</v>
      </c>
      <c r="E14" s="428">
        <v>965460192.33856475</v>
      </c>
      <c r="F14" s="127">
        <v>180924838.41084775</v>
      </c>
      <c r="G14" s="127">
        <v>39507982.23990684</v>
      </c>
      <c r="H14" s="127">
        <v>-70400.379985206906</v>
      </c>
      <c r="I14" s="127">
        <v>21695458.225285497</v>
      </c>
      <c r="J14" s="132"/>
    </row>
    <row r="15" spans="1:12" x14ac:dyDescent="0.2">
      <c r="A15" s="2">
        <f t="shared" si="1"/>
        <v>4</v>
      </c>
      <c r="B15" s="21" t="s">
        <v>223</v>
      </c>
      <c r="C15" s="171">
        <v>2012</v>
      </c>
      <c r="D15" s="7">
        <f t="shared" si="0"/>
        <v>1312498719.9264283</v>
      </c>
      <c r="E15" s="428">
        <v>992863667.23856497</v>
      </c>
      <c r="F15" s="127">
        <v>215904775.07084772</v>
      </c>
      <c r="G15" s="127">
        <v>43998860.579906836</v>
      </c>
      <c r="H15" s="127">
        <v>-70400.379985206906</v>
      </c>
      <c r="I15" s="127">
        <v>29349896.765285503</v>
      </c>
      <c r="J15" s="132"/>
    </row>
    <row r="16" spans="1:12" x14ac:dyDescent="0.2">
      <c r="A16" s="2">
        <f t="shared" si="1"/>
        <v>5</v>
      </c>
      <c r="B16" s="20" t="s">
        <v>211</v>
      </c>
      <c r="C16" s="171">
        <v>2012</v>
      </c>
      <c r="D16" s="7">
        <f t="shared" si="0"/>
        <v>1272221723.4163032</v>
      </c>
      <c r="E16" s="428">
        <v>899860617.34844017</v>
      </c>
      <c r="F16" s="127">
        <v>236683297.17084771</v>
      </c>
      <c r="G16" s="127">
        <v>51335415.249906845</v>
      </c>
      <c r="H16" s="127">
        <v>-70400.379985206906</v>
      </c>
      <c r="I16" s="127">
        <v>41785190.955285512</v>
      </c>
      <c r="J16" s="132"/>
    </row>
    <row r="17" spans="1:11" x14ac:dyDescent="0.2">
      <c r="A17" s="2">
        <f t="shared" si="1"/>
        <v>6</v>
      </c>
      <c r="B17" s="21" t="s">
        <v>212</v>
      </c>
      <c r="C17" s="171">
        <v>2012</v>
      </c>
      <c r="D17" s="7">
        <f t="shared" si="0"/>
        <v>1334644999.8609269</v>
      </c>
      <c r="E17" s="428">
        <v>916142823.12959862</v>
      </c>
      <c r="F17" s="127">
        <v>264331157.40050852</v>
      </c>
      <c r="G17" s="127">
        <v>52771196.56000001</v>
      </c>
      <c r="H17" s="127">
        <v>-70400.379999999888</v>
      </c>
      <c r="I17" s="127">
        <v>55372843.640819997</v>
      </c>
      <c r="J17" s="132"/>
    </row>
    <row r="18" spans="1:11" x14ac:dyDescent="0.2">
      <c r="A18" s="2">
        <f t="shared" si="1"/>
        <v>7</v>
      </c>
      <c r="B18" s="21" t="s">
        <v>213</v>
      </c>
      <c r="C18" s="171">
        <v>2012</v>
      </c>
      <c r="D18" s="7">
        <f t="shared" si="0"/>
        <v>1288969375.414247</v>
      </c>
      <c r="E18" s="428">
        <v>829907656.96427131</v>
      </c>
      <c r="F18" s="127">
        <v>287391159.59366596</v>
      </c>
      <c r="G18" s="127">
        <v>54353206.079999998</v>
      </c>
      <c r="H18" s="127">
        <v>-69345.540000000037</v>
      </c>
      <c r="I18" s="127">
        <v>67914928.786310002</v>
      </c>
      <c r="J18" s="132"/>
    </row>
    <row r="19" spans="1:11" x14ac:dyDescent="0.2">
      <c r="A19" s="2">
        <f t="shared" si="1"/>
        <v>8</v>
      </c>
      <c r="B19" s="20" t="s">
        <v>214</v>
      </c>
      <c r="C19" s="171">
        <v>2012</v>
      </c>
      <c r="D19" s="7">
        <f t="shared" si="0"/>
        <v>1360905397.7792702</v>
      </c>
      <c r="E19" s="428">
        <v>857880127.64938641</v>
      </c>
      <c r="F19" s="127">
        <v>312668476.48560393</v>
      </c>
      <c r="G19" s="127">
        <v>61722481.270000003</v>
      </c>
      <c r="H19" s="127">
        <v>-69345.540000000037</v>
      </c>
      <c r="I19" s="127">
        <v>74505583.944279999</v>
      </c>
      <c r="J19" s="132"/>
    </row>
    <row r="20" spans="1:11" x14ac:dyDescent="0.2">
      <c r="A20" s="2">
        <f t="shared" si="1"/>
        <v>9</v>
      </c>
      <c r="B20" s="21" t="s">
        <v>215</v>
      </c>
      <c r="C20" s="171">
        <v>2012</v>
      </c>
      <c r="D20" s="7">
        <f t="shared" si="0"/>
        <v>1445223025.7691159</v>
      </c>
      <c r="E20" s="428">
        <v>884876680.79744303</v>
      </c>
      <c r="F20" s="127">
        <v>347290668.88478291</v>
      </c>
      <c r="G20" s="127">
        <v>65873467.950000003</v>
      </c>
      <c r="H20" s="127">
        <v>-69345.540000000037</v>
      </c>
      <c r="I20" s="127">
        <v>85219229.196889997</v>
      </c>
      <c r="J20" s="132"/>
    </row>
    <row r="21" spans="1:11" x14ac:dyDescent="0.2">
      <c r="A21" s="2">
        <f t="shared" si="1"/>
        <v>10</v>
      </c>
      <c r="B21" s="21" t="s">
        <v>216</v>
      </c>
      <c r="C21" s="171">
        <v>2012</v>
      </c>
      <c r="D21" s="7">
        <f t="shared" si="0"/>
        <v>1536421939.8600004</v>
      </c>
      <c r="E21" s="428">
        <v>910345885.63000011</v>
      </c>
      <c r="F21" s="127">
        <v>389828435.27000004</v>
      </c>
      <c r="G21" s="127">
        <v>76363195.129999995</v>
      </c>
      <c r="H21" s="127">
        <v>-69915.360000000102</v>
      </c>
      <c r="I21" s="127">
        <v>94554389.459999993</v>
      </c>
      <c r="J21" s="132"/>
    </row>
    <row r="22" spans="1:11" x14ac:dyDescent="0.2">
      <c r="A22" s="2">
        <f t="shared" si="1"/>
        <v>11</v>
      </c>
      <c r="B22" s="20" t="s">
        <v>217</v>
      </c>
      <c r="C22" s="171">
        <v>2012</v>
      </c>
      <c r="D22" s="7">
        <f t="shared" si="0"/>
        <v>1649896424.97</v>
      </c>
      <c r="E22" s="428">
        <v>930757122.14999986</v>
      </c>
      <c r="F22" s="127">
        <v>433241413.49000007</v>
      </c>
      <c r="G22" s="127">
        <v>98194852.150000006</v>
      </c>
      <c r="H22" s="127">
        <v>-69633.120000000112</v>
      </c>
      <c r="I22" s="127">
        <v>116278884.12999998</v>
      </c>
      <c r="J22" s="132"/>
    </row>
    <row r="23" spans="1:11" x14ac:dyDescent="0.2">
      <c r="A23" s="2">
        <f t="shared" si="1"/>
        <v>12</v>
      </c>
      <c r="B23" s="20" t="s">
        <v>218</v>
      </c>
      <c r="C23" s="171">
        <v>2012</v>
      </c>
      <c r="D23" s="7">
        <f t="shared" si="0"/>
        <v>1724567928.7099998</v>
      </c>
      <c r="E23" s="428">
        <v>952263917.36999989</v>
      </c>
      <c r="F23" s="127">
        <v>455693735.21999985</v>
      </c>
      <c r="G23" s="127">
        <v>120943817.34999998</v>
      </c>
      <c r="H23" s="127">
        <v>-69617.340000000084</v>
      </c>
      <c r="I23" s="127">
        <v>129208599.72000001</v>
      </c>
      <c r="J23" s="132"/>
    </row>
    <row r="24" spans="1:11" x14ac:dyDescent="0.2">
      <c r="A24" s="2">
        <f t="shared" si="1"/>
        <v>13</v>
      </c>
      <c r="B24" s="20" t="s">
        <v>208</v>
      </c>
      <c r="C24" s="171">
        <v>2012</v>
      </c>
      <c r="D24" s="107">
        <f t="shared" si="0"/>
        <v>1704248357.1100001</v>
      </c>
      <c r="E24" s="509">
        <v>791056336.65999997</v>
      </c>
      <c r="F24" s="138">
        <v>537340673.84000003</v>
      </c>
      <c r="G24" s="138">
        <v>149797194.14000002</v>
      </c>
      <c r="H24" s="138">
        <v>-69617.340000000084</v>
      </c>
      <c r="I24" s="138">
        <v>150654601.54999998</v>
      </c>
      <c r="J24" s="132"/>
    </row>
    <row r="25" spans="1:11" x14ac:dyDescent="0.2">
      <c r="A25" s="131">
        <f t="shared" si="1"/>
        <v>14</v>
      </c>
      <c r="B25" s="20"/>
      <c r="C25" s="222" t="s">
        <v>656</v>
      </c>
      <c r="D25" s="125">
        <f t="shared" ref="D25:I25" si="2">SUM(D12:D24)/13</f>
        <v>1419476950.0603335</v>
      </c>
      <c r="E25" s="125">
        <f>SUM(E12:E24)/13</f>
        <v>928168461.01007903</v>
      </c>
      <c r="F25" s="125">
        <f t="shared" si="2"/>
        <v>305945176.07943881</v>
      </c>
      <c r="G25" s="125">
        <f t="shared" si="2"/>
        <v>67821660.70964402</v>
      </c>
      <c r="H25" s="125">
        <f t="shared" si="2"/>
        <v>-70159.231515233419</v>
      </c>
      <c r="I25" s="125">
        <f t="shared" si="2"/>
        <v>69027361.589334413</v>
      </c>
      <c r="J25" s="132"/>
      <c r="K25" s="132"/>
    </row>
    <row r="26" spans="1:11" x14ac:dyDescent="0.2">
      <c r="A26" s="2"/>
      <c r="B26" s="20"/>
      <c r="C26" s="222"/>
      <c r="D26" s="125"/>
      <c r="E26" s="125"/>
      <c r="F26" s="125"/>
      <c r="G26" s="125"/>
      <c r="H26" s="125"/>
      <c r="I26" s="132"/>
      <c r="J26" s="13"/>
      <c r="K26" s="132"/>
    </row>
    <row r="27" spans="1:11" x14ac:dyDescent="0.2">
      <c r="A27" s="2"/>
      <c r="B27" s="20"/>
      <c r="C27" s="222"/>
      <c r="D27" s="99" t="s">
        <v>405</v>
      </c>
      <c r="E27" s="99" t="s">
        <v>654</v>
      </c>
      <c r="F27" s="99" t="s">
        <v>1128</v>
      </c>
      <c r="G27" s="99" t="s">
        <v>1145</v>
      </c>
      <c r="H27" s="99" t="s">
        <v>1148</v>
      </c>
      <c r="I27" s="99" t="s">
        <v>1166</v>
      </c>
      <c r="J27" s="13"/>
      <c r="K27" s="132"/>
    </row>
    <row r="28" spans="1:11" x14ac:dyDescent="0.2">
      <c r="A28" s="2"/>
      <c r="B28" s="20"/>
      <c r="C28" s="222"/>
      <c r="E28" s="420" t="s">
        <v>1167</v>
      </c>
      <c r="F28" s="420"/>
      <c r="G28" s="420"/>
      <c r="H28" s="125"/>
      <c r="I28" s="132"/>
      <c r="J28" s="13"/>
      <c r="K28" s="132"/>
    </row>
    <row r="29" spans="1:11" x14ac:dyDescent="0.2">
      <c r="B29" s="2" t="s">
        <v>648</v>
      </c>
      <c r="D29" s="2" t="s">
        <v>1164</v>
      </c>
      <c r="E29" s="2" t="s">
        <v>1168</v>
      </c>
      <c r="F29" s="420"/>
      <c r="G29" s="420"/>
      <c r="H29" s="125"/>
      <c r="I29" s="132"/>
      <c r="J29" s="13"/>
      <c r="K29" s="132"/>
    </row>
    <row r="30" spans="1:11" x14ac:dyDescent="0.2">
      <c r="B30" s="2" t="s">
        <v>221</v>
      </c>
      <c r="D30" s="2" t="s">
        <v>512</v>
      </c>
      <c r="E30" s="2" t="s">
        <v>512</v>
      </c>
      <c r="F30" s="420" t="s">
        <v>1170</v>
      </c>
      <c r="G30" s="420" t="s">
        <v>1171</v>
      </c>
      <c r="H30" s="125"/>
      <c r="I30" s="132"/>
      <c r="J30" s="132"/>
      <c r="K30" s="132"/>
    </row>
    <row r="31" spans="1:11" x14ac:dyDescent="0.2">
      <c r="A31" s="53" t="s">
        <v>380</v>
      </c>
      <c r="B31" s="25" t="s">
        <v>220</v>
      </c>
      <c r="C31" s="25" t="s">
        <v>221</v>
      </c>
      <c r="D31" s="3" t="s">
        <v>1165</v>
      </c>
      <c r="E31" s="3" t="s">
        <v>1165</v>
      </c>
      <c r="F31" s="421" t="s">
        <v>1169</v>
      </c>
      <c r="G31" s="421" t="s">
        <v>1172</v>
      </c>
      <c r="H31" s="422" t="s">
        <v>1173</v>
      </c>
      <c r="I31" s="422" t="s">
        <v>1174</v>
      </c>
      <c r="J31" s="132"/>
      <c r="K31" s="132"/>
    </row>
    <row r="32" spans="1:11" x14ac:dyDescent="0.2">
      <c r="A32" s="2">
        <f>+A25+1</f>
        <v>15</v>
      </c>
      <c r="B32" s="20" t="s">
        <v>208</v>
      </c>
      <c r="C32" s="171">
        <v>2011</v>
      </c>
      <c r="D32" s="1045">
        <v>2893212.161289352</v>
      </c>
      <c r="E32" s="1045">
        <v>10959973.88545125</v>
      </c>
      <c r="F32" s="1045">
        <v>2144420.4</v>
      </c>
      <c r="G32" s="1045">
        <v>4824458.0572965704</v>
      </c>
      <c r="H32" s="423" t="s">
        <v>92</v>
      </c>
      <c r="I32" s="423" t="s">
        <v>92</v>
      </c>
      <c r="J32" s="132"/>
      <c r="K32" s="132"/>
    </row>
    <row r="33" spans="1:11" x14ac:dyDescent="0.2">
      <c r="A33" s="2">
        <f>A32+1</f>
        <v>16</v>
      </c>
      <c r="B33" s="20" t="s">
        <v>209</v>
      </c>
      <c r="C33" s="171">
        <v>2012</v>
      </c>
      <c r="D33" s="127">
        <v>3194615.2702153521</v>
      </c>
      <c r="E33" s="127">
        <v>11369053.440813251</v>
      </c>
      <c r="F33" s="127">
        <v>2351145.2157979999</v>
      </c>
      <c r="G33" s="127">
        <v>5143477.5672965702</v>
      </c>
      <c r="H33" s="423" t="s">
        <v>92</v>
      </c>
      <c r="I33" s="423" t="s">
        <v>92</v>
      </c>
      <c r="J33" s="132"/>
      <c r="K33" s="132"/>
    </row>
    <row r="34" spans="1:11" x14ac:dyDescent="0.2">
      <c r="A34" s="2">
        <f t="shared" ref="A34:A45" si="3">A33+1</f>
        <v>17</v>
      </c>
      <c r="B34" s="21" t="s">
        <v>210</v>
      </c>
      <c r="C34" s="171">
        <v>2012</v>
      </c>
      <c r="D34" s="127">
        <v>3218341.6366033512</v>
      </c>
      <c r="E34" s="127">
        <v>13424478.505080251</v>
      </c>
      <c r="F34" s="127">
        <v>2730633.2728280001</v>
      </c>
      <c r="G34" s="127">
        <v>5574587.5672965702</v>
      </c>
      <c r="H34" s="423" t="s">
        <v>92</v>
      </c>
      <c r="I34" s="423" t="s">
        <v>92</v>
      </c>
      <c r="J34" s="132"/>
      <c r="K34" s="132"/>
    </row>
    <row r="35" spans="1:11" x14ac:dyDescent="0.2">
      <c r="A35" s="2">
        <f t="shared" si="3"/>
        <v>18</v>
      </c>
      <c r="B35" s="21" t="s">
        <v>223</v>
      </c>
      <c r="C35" s="171">
        <v>2012</v>
      </c>
      <c r="D35" s="127">
        <v>4583248.5366033521</v>
      </c>
      <c r="E35" s="127">
        <v>16437355.725080252</v>
      </c>
      <c r="F35" s="127">
        <v>3181256.2728279997</v>
      </c>
      <c r="G35" s="127">
        <v>6250060.1172965709</v>
      </c>
      <c r="H35" s="423" t="s">
        <v>92</v>
      </c>
      <c r="I35" s="423" t="s">
        <v>92</v>
      </c>
      <c r="J35" s="132"/>
      <c r="K35" s="132"/>
    </row>
    <row r="36" spans="1:11" x14ac:dyDescent="0.2">
      <c r="A36" s="2">
        <f t="shared" si="3"/>
        <v>19</v>
      </c>
      <c r="B36" s="20" t="s">
        <v>211</v>
      </c>
      <c r="C36" s="171">
        <v>2012</v>
      </c>
      <c r="D36" s="127">
        <v>4647809.7766033523</v>
      </c>
      <c r="E36" s="127">
        <v>26790706.665080249</v>
      </c>
      <c r="F36" s="127">
        <v>3899233.092828</v>
      </c>
      <c r="G36" s="127">
        <v>7289853.5372965708</v>
      </c>
      <c r="H36" s="423" t="s">
        <v>92</v>
      </c>
      <c r="I36" s="423" t="s">
        <v>92</v>
      </c>
      <c r="J36" s="132"/>
      <c r="K36" s="132"/>
    </row>
    <row r="37" spans="1:11" x14ac:dyDescent="0.2">
      <c r="A37" s="2">
        <f t="shared" si="3"/>
        <v>20</v>
      </c>
      <c r="B37" s="21" t="s">
        <v>212</v>
      </c>
      <c r="C37" s="171">
        <v>2012</v>
      </c>
      <c r="D37" s="127">
        <v>4836888.2300000004</v>
      </c>
      <c r="E37" s="127">
        <v>28814499.620000001</v>
      </c>
      <c r="F37" s="127">
        <v>4495778.5600000005</v>
      </c>
      <c r="G37" s="127">
        <v>7950213.1000000006</v>
      </c>
      <c r="H37" s="423" t="s">
        <v>92</v>
      </c>
      <c r="I37" s="423" t="s">
        <v>92</v>
      </c>
      <c r="J37" s="132"/>
      <c r="K37" s="132"/>
    </row>
    <row r="38" spans="1:11" x14ac:dyDescent="0.2">
      <c r="A38" s="2">
        <f t="shared" si="3"/>
        <v>21</v>
      </c>
      <c r="B38" s="21" t="s">
        <v>213</v>
      </c>
      <c r="C38" s="171">
        <v>2012</v>
      </c>
      <c r="D38" s="127">
        <v>5054397.24</v>
      </c>
      <c r="E38" s="127">
        <v>30462999</v>
      </c>
      <c r="F38" s="127">
        <v>5176963.41</v>
      </c>
      <c r="G38" s="127">
        <v>8777409.879999999</v>
      </c>
      <c r="H38" s="423" t="s">
        <v>92</v>
      </c>
      <c r="I38" s="423" t="s">
        <v>92</v>
      </c>
      <c r="J38" s="132"/>
      <c r="K38" s="132"/>
    </row>
    <row r="39" spans="1:11" x14ac:dyDescent="0.2">
      <c r="A39" s="2">
        <f t="shared" si="3"/>
        <v>22</v>
      </c>
      <c r="B39" s="20" t="s">
        <v>214</v>
      </c>
      <c r="C39" s="171">
        <v>2012</v>
      </c>
      <c r="D39" s="127">
        <v>5307523.84</v>
      </c>
      <c r="E39" s="127">
        <v>33064623.609999999</v>
      </c>
      <c r="F39" s="127">
        <v>6136722.2600000007</v>
      </c>
      <c r="G39" s="127">
        <v>9689204.2599999998</v>
      </c>
      <c r="H39" s="423" t="s">
        <v>92</v>
      </c>
      <c r="I39" s="423" t="s">
        <v>92</v>
      </c>
      <c r="J39" s="132"/>
      <c r="K39" s="132"/>
    </row>
    <row r="40" spans="1:11" x14ac:dyDescent="0.2">
      <c r="A40" s="2">
        <f t="shared" si="3"/>
        <v>23</v>
      </c>
      <c r="B40" s="21" t="s">
        <v>215</v>
      </c>
      <c r="C40" s="171">
        <v>2012</v>
      </c>
      <c r="D40" s="127">
        <v>6404848.9900000002</v>
      </c>
      <c r="E40" s="127">
        <v>37924466.120000005</v>
      </c>
      <c r="F40" s="127">
        <v>7092484.4500000002</v>
      </c>
      <c r="G40" s="127">
        <v>10610524.92</v>
      </c>
      <c r="H40" s="423" t="s">
        <v>92</v>
      </c>
      <c r="I40" s="423" t="s">
        <v>92</v>
      </c>
      <c r="J40" s="132"/>
      <c r="K40" s="132"/>
    </row>
    <row r="41" spans="1:11" x14ac:dyDescent="0.2">
      <c r="A41" s="2">
        <f t="shared" si="3"/>
        <v>24</v>
      </c>
      <c r="B41" s="21" t="s">
        <v>216</v>
      </c>
      <c r="C41" s="171">
        <v>2012</v>
      </c>
      <c r="D41" s="127">
        <v>7929868.5099999998</v>
      </c>
      <c r="E41" s="127">
        <v>39118291.93</v>
      </c>
      <c r="F41" s="127">
        <v>7468143.5099999998</v>
      </c>
      <c r="G41" s="127">
        <v>10883645.779999999</v>
      </c>
      <c r="H41" s="423" t="s">
        <v>92</v>
      </c>
      <c r="I41" s="423" t="s">
        <v>92</v>
      </c>
      <c r="J41" s="132"/>
      <c r="K41" s="132"/>
    </row>
    <row r="42" spans="1:11" x14ac:dyDescent="0.2">
      <c r="A42" s="2">
        <f t="shared" si="3"/>
        <v>25</v>
      </c>
      <c r="B42" s="20" t="s">
        <v>217</v>
      </c>
      <c r="C42" s="171">
        <v>2012</v>
      </c>
      <c r="D42" s="127">
        <v>9907332.0700000003</v>
      </c>
      <c r="E42" s="127">
        <v>41095013.140000001</v>
      </c>
      <c r="F42" s="127">
        <v>8419671.4700000007</v>
      </c>
      <c r="G42" s="127">
        <v>12071769.489999998</v>
      </c>
      <c r="H42" s="423" t="s">
        <v>92</v>
      </c>
      <c r="I42" s="423" t="s">
        <v>92</v>
      </c>
      <c r="J42" s="132"/>
      <c r="K42" s="132"/>
    </row>
    <row r="43" spans="1:11" x14ac:dyDescent="0.2">
      <c r="A43" s="2">
        <f t="shared" si="3"/>
        <v>26</v>
      </c>
      <c r="B43" s="20" t="s">
        <v>218</v>
      </c>
      <c r="C43" s="171">
        <v>2012</v>
      </c>
      <c r="D43" s="127">
        <v>1962269.87</v>
      </c>
      <c r="E43" s="127">
        <v>42543684.229999997</v>
      </c>
      <c r="F43" s="127">
        <v>9239348.25</v>
      </c>
      <c r="G43" s="127">
        <v>12782174.039999999</v>
      </c>
      <c r="H43" s="423" t="s">
        <v>92</v>
      </c>
      <c r="I43" s="423" t="s">
        <v>92</v>
      </c>
      <c r="J43" s="132"/>
      <c r="K43" s="132"/>
    </row>
    <row r="44" spans="1:11" x14ac:dyDescent="0.2">
      <c r="A44" s="2">
        <f t="shared" si="3"/>
        <v>27</v>
      </c>
      <c r="B44" s="20" t="s">
        <v>208</v>
      </c>
      <c r="C44" s="171">
        <v>2012</v>
      </c>
      <c r="D44" s="138">
        <v>3256743.08</v>
      </c>
      <c r="E44" s="138">
        <v>48014271.539999999</v>
      </c>
      <c r="F44" s="138">
        <v>10365518.710000001</v>
      </c>
      <c r="G44" s="138">
        <v>13832634.930000002</v>
      </c>
      <c r="H44" s="423" t="s">
        <v>92</v>
      </c>
      <c r="I44" s="423" t="s">
        <v>92</v>
      </c>
      <c r="J44" s="132"/>
      <c r="K44" s="132"/>
    </row>
    <row r="45" spans="1:11" x14ac:dyDescent="0.2">
      <c r="A45" s="219">
        <f t="shared" si="3"/>
        <v>28</v>
      </c>
      <c r="B45" s="20"/>
      <c r="C45" s="222" t="s">
        <v>656</v>
      </c>
      <c r="D45" s="1051">
        <f>SUM(D32:D44)/13</f>
        <v>4861315.323947289</v>
      </c>
      <c r="E45" s="125">
        <f>SUM(E32:E44)/13</f>
        <v>29232262.877808098</v>
      </c>
      <c r="F45" s="125">
        <f>SUM(F32:F44)/13</f>
        <v>5592409.1441755388</v>
      </c>
      <c r="G45" s="125">
        <f>SUM(G32:G44)/13</f>
        <v>8898462.5574217569</v>
      </c>
      <c r="H45" s="223" t="s">
        <v>92</v>
      </c>
      <c r="I45" s="223" t="s">
        <v>92</v>
      </c>
      <c r="J45" s="132"/>
      <c r="K45" s="132"/>
    </row>
    <row r="47" spans="1:11" x14ac:dyDescent="0.2">
      <c r="B47" s="221" t="s">
        <v>1509</v>
      </c>
    </row>
    <row r="48" spans="1:11" x14ac:dyDescent="0.2">
      <c r="B48" s="12" t="s">
        <v>1506</v>
      </c>
    </row>
    <row r="49" spans="1:11" x14ac:dyDescent="0.2">
      <c r="B49" s="12"/>
    </row>
    <row r="50" spans="1:11" x14ac:dyDescent="0.2">
      <c r="D50" s="99" t="s">
        <v>417</v>
      </c>
      <c r="E50" s="99" t="s">
        <v>400</v>
      </c>
      <c r="F50" s="99" t="s">
        <v>401</v>
      </c>
      <c r="G50" s="99" t="s">
        <v>402</v>
      </c>
      <c r="H50" s="99" t="s">
        <v>403</v>
      </c>
      <c r="I50" s="99" t="s">
        <v>404</v>
      </c>
      <c r="J50" s="99"/>
      <c r="K50" s="99"/>
    </row>
    <row r="51" spans="1:11" x14ac:dyDescent="0.2">
      <c r="B51" s="836" t="s">
        <v>247</v>
      </c>
      <c r="D51" s="102" t="s">
        <v>1163</v>
      </c>
    </row>
    <row r="52" spans="1:11" x14ac:dyDescent="0.2">
      <c r="D52" s="64" t="s">
        <v>661</v>
      </c>
    </row>
    <row r="53" spans="1:11" x14ac:dyDescent="0.2">
      <c r="B53" s="2" t="s">
        <v>228</v>
      </c>
      <c r="D53" s="2" t="s">
        <v>228</v>
      </c>
      <c r="I53" s="2"/>
      <c r="J53" s="14"/>
      <c r="K53" s="14"/>
    </row>
    <row r="54" spans="1:11" x14ac:dyDescent="0.2">
      <c r="B54" s="2" t="s">
        <v>229</v>
      </c>
      <c r="D54" s="2" t="s">
        <v>21</v>
      </c>
      <c r="F54" s="2" t="s">
        <v>396</v>
      </c>
      <c r="G54" s="2" t="s">
        <v>399</v>
      </c>
      <c r="H54" s="2"/>
      <c r="I54" s="2"/>
      <c r="J54" s="131"/>
      <c r="K54" s="131"/>
    </row>
    <row r="55" spans="1:11" x14ac:dyDescent="0.2">
      <c r="A55" s="53" t="s">
        <v>380</v>
      </c>
      <c r="B55" s="25" t="s">
        <v>220</v>
      </c>
      <c r="C55" s="25" t="s">
        <v>221</v>
      </c>
      <c r="D55" s="3" t="s">
        <v>655</v>
      </c>
      <c r="E55" s="3" t="s">
        <v>262</v>
      </c>
      <c r="F55" s="3" t="s">
        <v>397</v>
      </c>
      <c r="G55" s="3" t="s">
        <v>398</v>
      </c>
      <c r="H55" s="3" t="s">
        <v>1826</v>
      </c>
      <c r="I55" s="3" t="s">
        <v>659</v>
      </c>
      <c r="J55" s="146"/>
      <c r="K55" s="146"/>
    </row>
    <row r="56" spans="1:11" x14ac:dyDescent="0.2">
      <c r="A56" s="2">
        <f>A45+1</f>
        <v>29</v>
      </c>
      <c r="B56" s="20" t="s">
        <v>209</v>
      </c>
      <c r="C56" s="171">
        <v>2013</v>
      </c>
      <c r="D56" s="7">
        <f>SUM(E56:I56)+SUM(D84:G84)</f>
        <v>1731940552.4757507</v>
      </c>
      <c r="E56" s="1045">
        <v>775004488.55849946</v>
      </c>
      <c r="F56" s="1045">
        <v>552755368.71875083</v>
      </c>
      <c r="G56" s="1045">
        <v>167228319.14000002</v>
      </c>
      <c r="H56" s="1045">
        <v>-69617.340000000011</v>
      </c>
      <c r="I56" s="1045">
        <v>156073561.52500001</v>
      </c>
      <c r="J56" s="132"/>
      <c r="K56" s="132"/>
    </row>
    <row r="57" spans="1:11" x14ac:dyDescent="0.2">
      <c r="A57" s="2">
        <f t="shared" ref="A57:A75" si="4">A56+1</f>
        <v>30</v>
      </c>
      <c r="B57" s="21" t="s">
        <v>210</v>
      </c>
      <c r="C57" s="171">
        <v>2013</v>
      </c>
      <c r="D57" s="7">
        <f t="shared" ref="D57:D76" si="5">SUM(E57:I57)+SUM(D85:G85)</f>
        <v>1828082379.3245003</v>
      </c>
      <c r="E57" s="127">
        <v>788900127.81174958</v>
      </c>
      <c r="F57" s="127">
        <v>575513855.89400089</v>
      </c>
      <c r="G57" s="127">
        <v>206147619.13999999</v>
      </c>
      <c r="H57" s="127">
        <v>-69617.340000000011</v>
      </c>
      <c r="I57" s="127">
        <v>171420875.34999999</v>
      </c>
      <c r="J57" s="132"/>
      <c r="K57" s="132"/>
    </row>
    <row r="58" spans="1:11" x14ac:dyDescent="0.2">
      <c r="A58" s="2">
        <f t="shared" si="4"/>
        <v>31</v>
      </c>
      <c r="B58" s="21" t="s">
        <v>223</v>
      </c>
      <c r="C58" s="171">
        <v>2013</v>
      </c>
      <c r="D58" s="7">
        <f t="shared" si="5"/>
        <v>1973761791.6868382</v>
      </c>
      <c r="E58" s="127">
        <v>813645599.53208733</v>
      </c>
      <c r="F58" s="127">
        <v>621474923.10875082</v>
      </c>
      <c r="G58" s="127">
        <v>258206644.13999999</v>
      </c>
      <c r="H58" s="127">
        <v>-69617.340000000011</v>
      </c>
      <c r="I58" s="127">
        <v>187752704.27500001</v>
      </c>
      <c r="J58" s="132"/>
      <c r="K58" s="132"/>
    </row>
    <row r="59" spans="1:11" x14ac:dyDescent="0.2">
      <c r="A59" s="2">
        <f t="shared" si="4"/>
        <v>32</v>
      </c>
      <c r="B59" s="20" t="s">
        <v>211</v>
      </c>
      <c r="C59" s="171">
        <v>2013</v>
      </c>
      <c r="D59" s="7">
        <f t="shared" si="5"/>
        <v>2093760807.2801583</v>
      </c>
      <c r="E59" s="127">
        <v>836554149.19359112</v>
      </c>
      <c r="F59" s="127">
        <v>658654903.06556702</v>
      </c>
      <c r="G59" s="127">
        <v>302478046.63999999</v>
      </c>
      <c r="H59" s="127">
        <v>-69617.340000000011</v>
      </c>
      <c r="I59" s="127">
        <v>198040932.65000001</v>
      </c>
      <c r="J59" s="132"/>
      <c r="K59" s="132"/>
    </row>
    <row r="60" spans="1:11" x14ac:dyDescent="0.2">
      <c r="A60" s="2">
        <f t="shared" si="4"/>
        <v>33</v>
      </c>
      <c r="B60" s="21" t="s">
        <v>212</v>
      </c>
      <c r="C60" s="171">
        <v>2013</v>
      </c>
      <c r="D60" s="7">
        <f t="shared" si="5"/>
        <v>1585006462.4218705</v>
      </c>
      <c r="E60" s="127">
        <v>857975413.47827876</v>
      </c>
      <c r="F60" s="127">
        <v>357794023.23759156</v>
      </c>
      <c r="G60" s="127">
        <v>52529751.200000055</v>
      </c>
      <c r="H60" s="127">
        <v>-69617.340000000011</v>
      </c>
      <c r="I60" s="127">
        <v>208329162.10000002</v>
      </c>
      <c r="J60" s="132"/>
      <c r="K60" s="132"/>
    </row>
    <row r="61" spans="1:11" x14ac:dyDescent="0.2">
      <c r="A61" s="2">
        <f t="shared" si="4"/>
        <v>34</v>
      </c>
      <c r="B61" s="21" t="s">
        <v>213</v>
      </c>
      <c r="C61" s="171">
        <v>2013</v>
      </c>
      <c r="D61" s="7">
        <f t="shared" si="5"/>
        <v>1325876515.4540753</v>
      </c>
      <c r="E61" s="127">
        <v>843362937.53021657</v>
      </c>
      <c r="F61" s="127">
        <v>348375104.68071568</v>
      </c>
      <c r="G61" s="127">
        <v>13193704.210000033</v>
      </c>
      <c r="H61" s="127">
        <v>-69617.340000000011</v>
      </c>
      <c r="I61" s="127">
        <v>5258040.92</v>
      </c>
      <c r="J61" s="132"/>
      <c r="K61" s="132"/>
    </row>
    <row r="62" spans="1:11" x14ac:dyDescent="0.2">
      <c r="A62" s="2">
        <f t="shared" si="4"/>
        <v>35</v>
      </c>
      <c r="B62" s="20" t="s">
        <v>214</v>
      </c>
      <c r="C62" s="171">
        <v>2013</v>
      </c>
      <c r="D62" s="7">
        <f t="shared" si="5"/>
        <v>1178462528.8182077</v>
      </c>
      <c r="E62" s="127">
        <v>861108342.75705433</v>
      </c>
      <c r="F62" s="127">
        <v>260570974.85301039</v>
      </c>
      <c r="G62" s="127">
        <v>3.8400000321416883</v>
      </c>
      <c r="H62" s="127">
        <v>-69617.340000000011</v>
      </c>
      <c r="I62" s="127">
        <v>6313055.5949999997</v>
      </c>
      <c r="J62" s="132"/>
      <c r="K62" s="132"/>
    </row>
    <row r="63" spans="1:11" x14ac:dyDescent="0.2">
      <c r="A63" s="2">
        <f t="shared" si="4"/>
        <v>36</v>
      </c>
      <c r="B63" s="21" t="s">
        <v>215</v>
      </c>
      <c r="C63" s="171">
        <v>2013</v>
      </c>
      <c r="D63" s="7">
        <f t="shared" si="5"/>
        <v>1201046172.9687319</v>
      </c>
      <c r="E63" s="127">
        <v>884743239.38189209</v>
      </c>
      <c r="F63" s="127">
        <v>248972221.00145999</v>
      </c>
      <c r="G63" s="127">
        <v>3.8400000321416883</v>
      </c>
      <c r="H63" s="127">
        <v>-69617.340000000011</v>
      </c>
      <c r="I63" s="127">
        <v>7368070.2700000005</v>
      </c>
      <c r="J63" s="132"/>
      <c r="K63" s="132"/>
    </row>
    <row r="64" spans="1:11" x14ac:dyDescent="0.2">
      <c r="A64" s="2">
        <f t="shared" si="4"/>
        <v>37</v>
      </c>
      <c r="B64" s="21" t="s">
        <v>216</v>
      </c>
      <c r="C64" s="171">
        <v>2013</v>
      </c>
      <c r="D64" s="7">
        <f t="shared" si="5"/>
        <v>997287380.16919959</v>
      </c>
      <c r="E64" s="127">
        <v>899556219.81632984</v>
      </c>
      <c r="F64" s="127">
        <v>30174026.817489997</v>
      </c>
      <c r="G64" s="127">
        <v>3.8400000321416883</v>
      </c>
      <c r="H64" s="127">
        <v>-69617.340000000011</v>
      </c>
      <c r="I64" s="127">
        <v>8327174.5200000005</v>
      </c>
      <c r="J64" s="132"/>
      <c r="K64" s="132"/>
    </row>
    <row r="65" spans="1:11" x14ac:dyDescent="0.2">
      <c r="A65" s="2">
        <f t="shared" si="4"/>
        <v>38</v>
      </c>
      <c r="B65" s="20" t="s">
        <v>217</v>
      </c>
      <c r="C65" s="171">
        <v>2013</v>
      </c>
      <c r="D65" s="7">
        <f t="shared" si="5"/>
        <v>1051533388.1354107</v>
      </c>
      <c r="E65" s="127">
        <v>947961931.36126769</v>
      </c>
      <c r="F65" s="127">
        <v>31376078.650839217</v>
      </c>
      <c r="G65" s="127">
        <v>3.8400000321416883</v>
      </c>
      <c r="H65" s="127">
        <v>-69617.340000000011</v>
      </c>
      <c r="I65" s="127">
        <v>9975907.3950000014</v>
      </c>
      <c r="J65" s="132"/>
      <c r="K65" s="132"/>
    </row>
    <row r="66" spans="1:11" x14ac:dyDescent="0.2">
      <c r="A66" s="2">
        <f t="shared" si="4"/>
        <v>39</v>
      </c>
      <c r="B66" s="20" t="s">
        <v>218</v>
      </c>
      <c r="C66" s="171">
        <v>2013</v>
      </c>
      <c r="D66" s="7">
        <f t="shared" si="5"/>
        <v>856840498.7600776</v>
      </c>
      <c r="E66" s="127">
        <v>748393428.39703524</v>
      </c>
      <c r="F66" s="127">
        <v>31995556.539738696</v>
      </c>
      <c r="G66" s="127">
        <v>3.8400000321416883</v>
      </c>
      <c r="H66" s="127">
        <v>-69617.340000000011</v>
      </c>
      <c r="I66" s="127">
        <v>11432819.420000002</v>
      </c>
      <c r="J66" s="132"/>
      <c r="K66" s="132"/>
    </row>
    <row r="67" spans="1:11" x14ac:dyDescent="0.2">
      <c r="A67" s="2">
        <f t="shared" si="4"/>
        <v>40</v>
      </c>
      <c r="B67" s="20" t="s">
        <v>208</v>
      </c>
      <c r="C67" s="171">
        <v>2013</v>
      </c>
      <c r="D67" s="7">
        <f t="shared" si="5"/>
        <v>739017501.57432556</v>
      </c>
      <c r="E67" s="127">
        <v>668948279.11132324</v>
      </c>
      <c r="F67" s="127">
        <v>-3.637978807091713E-8</v>
      </c>
      <c r="G67" s="127">
        <v>3.8400000321416883</v>
      </c>
      <c r="H67" s="127">
        <v>-69617.340000000011</v>
      </c>
      <c r="I67" s="127">
        <v>0</v>
      </c>
      <c r="J67" s="132"/>
      <c r="K67" s="132"/>
    </row>
    <row r="68" spans="1:11" x14ac:dyDescent="0.2">
      <c r="A68" s="2">
        <f t="shared" si="4"/>
        <v>41</v>
      </c>
      <c r="B68" s="20" t="s">
        <v>209</v>
      </c>
      <c r="C68" s="171">
        <v>2014</v>
      </c>
      <c r="D68" s="7">
        <f t="shared" si="5"/>
        <v>772396587.75157952</v>
      </c>
      <c r="E68" s="127">
        <v>691709470.23607314</v>
      </c>
      <c r="F68" s="127">
        <v>-3.637978807091713E-8</v>
      </c>
      <c r="G68" s="127">
        <v>3.8400000321416883</v>
      </c>
      <c r="H68" s="127">
        <v>-69617.340000000011</v>
      </c>
      <c r="I68" s="127">
        <v>0</v>
      </c>
      <c r="J68" s="132"/>
      <c r="K68" s="132"/>
    </row>
    <row r="69" spans="1:11" x14ac:dyDescent="0.2">
      <c r="A69" s="2">
        <f t="shared" si="4"/>
        <v>42</v>
      </c>
      <c r="B69" s="21" t="s">
        <v>210</v>
      </c>
      <c r="C69" s="171">
        <v>2014</v>
      </c>
      <c r="D69" s="7">
        <f t="shared" si="5"/>
        <v>799034745.97381234</v>
      </c>
      <c r="E69" s="127">
        <v>716349049.1198231</v>
      </c>
      <c r="F69" s="127">
        <v>-3.637978807091713E-8</v>
      </c>
      <c r="G69" s="127">
        <v>3.8400000321416883</v>
      </c>
      <c r="H69" s="127">
        <v>-69617.340000000011</v>
      </c>
      <c r="I69" s="127">
        <v>0</v>
      </c>
      <c r="J69" s="132"/>
      <c r="K69" s="132"/>
    </row>
    <row r="70" spans="1:11" x14ac:dyDescent="0.2">
      <c r="A70" s="2">
        <f t="shared" si="4"/>
        <v>43</v>
      </c>
      <c r="B70" s="21" t="s">
        <v>223</v>
      </c>
      <c r="C70" s="171">
        <v>2014</v>
      </c>
      <c r="D70" s="7">
        <f t="shared" si="5"/>
        <v>829184275.67298138</v>
      </c>
      <c r="E70" s="127">
        <v>742720610.42257321</v>
      </c>
      <c r="F70" s="127">
        <v>-3.637978807091713E-8</v>
      </c>
      <c r="G70" s="127">
        <v>3.8400000321416883</v>
      </c>
      <c r="H70" s="127">
        <v>-69617.340000000011</v>
      </c>
      <c r="I70" s="127">
        <v>0</v>
      </c>
      <c r="J70" s="132"/>
      <c r="K70" s="132"/>
    </row>
    <row r="71" spans="1:11" x14ac:dyDescent="0.2">
      <c r="A71" s="2">
        <f t="shared" si="4"/>
        <v>44</v>
      </c>
      <c r="B71" s="20" t="s">
        <v>211</v>
      </c>
      <c r="C71" s="171">
        <v>2014</v>
      </c>
      <c r="D71" s="7">
        <f t="shared" si="5"/>
        <v>844330163.48620319</v>
      </c>
      <c r="E71" s="127">
        <v>755677535.93232322</v>
      </c>
      <c r="F71" s="127">
        <v>-3.637978807091713E-8</v>
      </c>
      <c r="G71" s="127">
        <v>3.8400000321416883</v>
      </c>
      <c r="H71" s="127">
        <v>-69617.340000000011</v>
      </c>
      <c r="I71" s="127">
        <v>0</v>
      </c>
      <c r="J71" s="132"/>
      <c r="K71" s="132"/>
    </row>
    <row r="72" spans="1:11" x14ac:dyDescent="0.2">
      <c r="A72" s="2">
        <f t="shared" si="4"/>
        <v>45</v>
      </c>
      <c r="B72" s="21" t="s">
        <v>212</v>
      </c>
      <c r="C72" s="171">
        <v>2014</v>
      </c>
      <c r="D72" s="7">
        <f t="shared" si="5"/>
        <v>863194544.45410204</v>
      </c>
      <c r="E72" s="127">
        <v>772336304.13707328</v>
      </c>
      <c r="F72" s="127">
        <v>-3.637978807091713E-8</v>
      </c>
      <c r="G72" s="127">
        <v>3.8400000321416883</v>
      </c>
      <c r="H72" s="127">
        <v>-69617.340000000011</v>
      </c>
      <c r="I72" s="127">
        <v>0</v>
      </c>
      <c r="J72" s="132"/>
      <c r="K72" s="132"/>
    </row>
    <row r="73" spans="1:11" x14ac:dyDescent="0.2">
      <c r="A73" s="2">
        <f t="shared" si="4"/>
        <v>46</v>
      </c>
      <c r="B73" s="21" t="s">
        <v>213</v>
      </c>
      <c r="C73" s="171">
        <v>2014</v>
      </c>
      <c r="D73" s="7">
        <f t="shared" si="5"/>
        <v>878306706.98761821</v>
      </c>
      <c r="E73" s="127">
        <v>785227159.40182316</v>
      </c>
      <c r="F73" s="127">
        <v>-3.637978807091713E-8</v>
      </c>
      <c r="G73" s="127">
        <v>3.8400000321416883</v>
      </c>
      <c r="H73" s="127">
        <v>-69617.340000000011</v>
      </c>
      <c r="I73" s="127">
        <v>0</v>
      </c>
      <c r="J73" s="132"/>
      <c r="K73" s="132"/>
    </row>
    <row r="74" spans="1:11" x14ac:dyDescent="0.2">
      <c r="A74" s="2">
        <f t="shared" si="4"/>
        <v>47</v>
      </c>
      <c r="B74" s="20" t="s">
        <v>214</v>
      </c>
      <c r="C74" s="171">
        <v>2014</v>
      </c>
      <c r="D74" s="7">
        <f t="shared" si="5"/>
        <v>892423107.17542851</v>
      </c>
      <c r="E74" s="127">
        <v>796805078.31657314</v>
      </c>
      <c r="F74" s="127">
        <v>-3.637978807091713E-8</v>
      </c>
      <c r="G74" s="127">
        <v>3.8400000321416883</v>
      </c>
      <c r="H74" s="127">
        <v>-69617.340000000011</v>
      </c>
      <c r="I74" s="127">
        <v>0</v>
      </c>
      <c r="J74" s="132"/>
      <c r="K74" s="132"/>
    </row>
    <row r="75" spans="1:11" x14ac:dyDescent="0.2">
      <c r="A75" s="2">
        <f t="shared" si="4"/>
        <v>48</v>
      </c>
      <c r="B75" s="21" t="s">
        <v>215</v>
      </c>
      <c r="C75" s="171">
        <v>2014</v>
      </c>
      <c r="D75" s="7">
        <f t="shared" si="5"/>
        <v>908130841.65094721</v>
      </c>
      <c r="E75" s="127">
        <v>808934676.56732321</v>
      </c>
      <c r="F75" s="127">
        <v>-3.637978807091713E-8</v>
      </c>
      <c r="G75" s="127">
        <v>3.8400000321416883</v>
      </c>
      <c r="H75" s="127">
        <v>-69617.340000000011</v>
      </c>
      <c r="I75" s="127">
        <v>0</v>
      </c>
      <c r="J75" s="132"/>
      <c r="K75" s="132"/>
    </row>
    <row r="76" spans="1:11" x14ac:dyDescent="0.2">
      <c r="A76" s="2">
        <f>A75+1</f>
        <v>49</v>
      </c>
      <c r="B76" s="21" t="s">
        <v>216</v>
      </c>
      <c r="C76" s="171">
        <v>2014</v>
      </c>
      <c r="D76" s="7">
        <f t="shared" si="5"/>
        <v>925635072.9523077</v>
      </c>
      <c r="E76" s="1045">
        <v>823561577.0970732</v>
      </c>
      <c r="F76" s="1045">
        <v>-3.637978807091713E-8</v>
      </c>
      <c r="G76" s="1045">
        <v>3.8400000321416883</v>
      </c>
      <c r="H76" s="1045">
        <v>-69617.340000000011</v>
      </c>
      <c r="I76" s="1045">
        <v>0</v>
      </c>
      <c r="J76" s="132"/>
      <c r="K76" s="132"/>
    </row>
    <row r="77" spans="1:11" x14ac:dyDescent="0.2">
      <c r="B77" s="21"/>
      <c r="C77" s="24"/>
      <c r="D77" s="67"/>
      <c r="E77" s="67"/>
      <c r="F77" s="67"/>
      <c r="G77" s="67"/>
      <c r="H77" s="67"/>
      <c r="I77" s="132"/>
      <c r="J77" s="132"/>
      <c r="K77" s="132"/>
    </row>
    <row r="78" spans="1:11" x14ac:dyDescent="0.2">
      <c r="B78" s="21"/>
      <c r="C78" s="24"/>
      <c r="D78" s="67"/>
      <c r="E78" s="67"/>
      <c r="F78" s="67"/>
      <c r="G78" s="67"/>
      <c r="H78" s="67"/>
      <c r="I78" s="132"/>
      <c r="J78" s="132"/>
      <c r="K78" s="132"/>
    </row>
    <row r="79" spans="1:11" x14ac:dyDescent="0.2">
      <c r="B79" s="836" t="s">
        <v>247</v>
      </c>
      <c r="C79" s="222"/>
      <c r="D79" s="99" t="s">
        <v>405</v>
      </c>
      <c r="E79" s="99" t="s">
        <v>654</v>
      </c>
      <c r="F79" s="99" t="s">
        <v>1128</v>
      </c>
      <c r="G79" s="99" t="s">
        <v>1145</v>
      </c>
      <c r="H79" s="99" t="s">
        <v>1148</v>
      </c>
      <c r="I79" s="99" t="s">
        <v>1166</v>
      </c>
    </row>
    <row r="80" spans="1:11" x14ac:dyDescent="0.2">
      <c r="C80" s="222"/>
      <c r="E80" s="420" t="s">
        <v>1167</v>
      </c>
      <c r="F80" s="420"/>
      <c r="G80" s="420"/>
      <c r="H80" s="125"/>
      <c r="I80" s="132"/>
    </row>
    <row r="81" spans="1:9" x14ac:dyDescent="0.2">
      <c r="B81" s="2" t="s">
        <v>228</v>
      </c>
      <c r="D81" s="2" t="s">
        <v>1164</v>
      </c>
      <c r="E81" s="2" t="s">
        <v>1168</v>
      </c>
      <c r="F81" s="420"/>
      <c r="G81" s="420"/>
      <c r="H81" s="125"/>
      <c r="I81" s="132"/>
    </row>
    <row r="82" spans="1:9" x14ac:dyDescent="0.2">
      <c r="B82" s="2" t="s">
        <v>229</v>
      </c>
      <c r="D82" s="2" t="s">
        <v>512</v>
      </c>
      <c r="E82" s="2" t="s">
        <v>512</v>
      </c>
      <c r="F82" s="420" t="s">
        <v>1170</v>
      </c>
      <c r="G82" s="420" t="s">
        <v>1171</v>
      </c>
      <c r="H82" s="125"/>
      <c r="I82" s="132"/>
    </row>
    <row r="83" spans="1:9" x14ac:dyDescent="0.2">
      <c r="A83" s="53" t="s">
        <v>380</v>
      </c>
      <c r="B83" s="25" t="s">
        <v>220</v>
      </c>
      <c r="C83" s="25" t="s">
        <v>221</v>
      </c>
      <c r="D83" s="3" t="s">
        <v>1165</v>
      </c>
      <c r="E83" s="3" t="s">
        <v>1165</v>
      </c>
      <c r="F83" s="421" t="s">
        <v>1169</v>
      </c>
      <c r="G83" s="421" t="s">
        <v>1172</v>
      </c>
      <c r="H83" s="422" t="s">
        <v>1173</v>
      </c>
      <c r="I83" s="422" t="s">
        <v>1174</v>
      </c>
    </row>
    <row r="84" spans="1:9" x14ac:dyDescent="0.2">
      <c r="A84" s="2">
        <f>A76+1</f>
        <v>50</v>
      </c>
      <c r="B84" s="20" t="s">
        <v>209</v>
      </c>
      <c r="C84" s="171">
        <v>2013</v>
      </c>
      <c r="D84" s="1045">
        <v>3401343.08</v>
      </c>
      <c r="E84" s="1045">
        <v>51413865.515000001</v>
      </c>
      <c r="F84" s="1045">
        <v>11737476.4735</v>
      </c>
      <c r="G84" s="1045">
        <v>14395746.805000003</v>
      </c>
      <c r="H84" s="423" t="s">
        <v>92</v>
      </c>
      <c r="I84" s="423" t="s">
        <v>92</v>
      </c>
    </row>
    <row r="85" spans="1:9" x14ac:dyDescent="0.2">
      <c r="A85" s="2">
        <f t="shared" ref="A85:A104" si="6">A84+1</f>
        <v>51</v>
      </c>
      <c r="B85" s="21" t="s">
        <v>210</v>
      </c>
      <c r="C85" s="171">
        <v>2013</v>
      </c>
      <c r="D85" s="127">
        <v>3582243.08</v>
      </c>
      <c r="E85" s="127">
        <v>54960532.390000001</v>
      </c>
      <c r="F85" s="127">
        <v>12538911.19375</v>
      </c>
      <c r="G85" s="127">
        <v>15087831.805000002</v>
      </c>
      <c r="H85" s="423" t="s">
        <v>92</v>
      </c>
      <c r="I85" s="423" t="s">
        <v>92</v>
      </c>
    </row>
    <row r="86" spans="1:9" x14ac:dyDescent="0.2">
      <c r="A86" s="2">
        <f t="shared" si="6"/>
        <v>52</v>
      </c>
      <c r="B86" s="21" t="s">
        <v>223</v>
      </c>
      <c r="C86" s="171">
        <v>2013</v>
      </c>
      <c r="D86" s="127">
        <v>3666993.08</v>
      </c>
      <c r="E86" s="127">
        <v>59928337.440000005</v>
      </c>
      <c r="F86" s="127">
        <v>13383650.095999999</v>
      </c>
      <c r="G86" s="127">
        <v>15772557.355</v>
      </c>
      <c r="H86" s="423" t="s">
        <v>92</v>
      </c>
      <c r="I86" s="423" t="s">
        <v>92</v>
      </c>
    </row>
    <row r="87" spans="1:9" x14ac:dyDescent="0.2">
      <c r="A87" s="2">
        <f t="shared" si="6"/>
        <v>53</v>
      </c>
      <c r="B87" s="20" t="s">
        <v>211</v>
      </c>
      <c r="C87" s="171">
        <v>2013</v>
      </c>
      <c r="D87" s="127">
        <v>3894368.08</v>
      </c>
      <c r="E87" s="127">
        <v>62910260.590000004</v>
      </c>
      <c r="F87" s="127">
        <v>14764147.895999998</v>
      </c>
      <c r="G87" s="127">
        <v>16533616.505000003</v>
      </c>
      <c r="H87" s="423" t="s">
        <v>92</v>
      </c>
      <c r="I87" s="423" t="s">
        <v>92</v>
      </c>
    </row>
    <row r="88" spans="1:9" x14ac:dyDescent="0.2">
      <c r="A88" s="2">
        <f t="shared" si="6"/>
        <v>54</v>
      </c>
      <c r="B88" s="21" t="s">
        <v>212</v>
      </c>
      <c r="C88" s="171">
        <v>2013</v>
      </c>
      <c r="D88" s="127">
        <v>8215868.0800000001</v>
      </c>
      <c r="E88" s="127">
        <v>66502246.24000001</v>
      </c>
      <c r="F88" s="127">
        <v>16026386.020999998</v>
      </c>
      <c r="G88" s="127">
        <v>17703229.405000001</v>
      </c>
      <c r="H88" s="423" t="s">
        <v>92</v>
      </c>
      <c r="I88" s="423" t="s">
        <v>92</v>
      </c>
    </row>
    <row r="89" spans="1:9" x14ac:dyDescent="0.2">
      <c r="A89" s="2">
        <f t="shared" si="6"/>
        <v>55</v>
      </c>
      <c r="B89" s="21" t="s">
        <v>213</v>
      </c>
      <c r="C89" s="171">
        <v>2013</v>
      </c>
      <c r="D89" s="127">
        <v>9833743.0800000001</v>
      </c>
      <c r="E89" s="127">
        <v>70029279.315000013</v>
      </c>
      <c r="F89" s="127">
        <v>17297777.003142856</v>
      </c>
      <c r="G89" s="127">
        <v>18595546.055000003</v>
      </c>
      <c r="H89" s="423" t="s">
        <v>92</v>
      </c>
      <c r="I89" s="423" t="s">
        <v>92</v>
      </c>
    </row>
    <row r="90" spans="1:9" x14ac:dyDescent="0.2">
      <c r="A90" s="2">
        <f t="shared" si="6"/>
        <v>56</v>
      </c>
      <c r="B90" s="20" t="s">
        <v>214</v>
      </c>
      <c r="C90" s="171">
        <v>2013</v>
      </c>
      <c r="D90" s="127">
        <v>12612618.08</v>
      </c>
      <c r="E90" s="127">
        <v>0</v>
      </c>
      <c r="F90" s="127">
        <v>18458405.053142853</v>
      </c>
      <c r="G90" s="127">
        <v>19468745.980000004</v>
      </c>
      <c r="H90" s="423" t="s">
        <v>92</v>
      </c>
      <c r="I90" s="423" t="s">
        <v>92</v>
      </c>
    </row>
    <row r="91" spans="1:9" x14ac:dyDescent="0.2">
      <c r="A91" s="2">
        <f t="shared" si="6"/>
        <v>57</v>
      </c>
      <c r="B91" s="21" t="s">
        <v>215</v>
      </c>
      <c r="C91" s="171">
        <v>2013</v>
      </c>
      <c r="D91" s="127">
        <v>19675368.080000002</v>
      </c>
      <c r="E91" s="127">
        <v>0</v>
      </c>
      <c r="F91" s="127">
        <v>19505284.33037978</v>
      </c>
      <c r="G91" s="127">
        <v>20851603.405000001</v>
      </c>
      <c r="H91" s="423" t="s">
        <v>92</v>
      </c>
      <c r="I91" s="423" t="s">
        <v>92</v>
      </c>
    </row>
    <row r="92" spans="1:9" x14ac:dyDescent="0.2">
      <c r="A92" s="2">
        <f t="shared" si="6"/>
        <v>58</v>
      </c>
      <c r="B92" s="21" t="s">
        <v>216</v>
      </c>
      <c r="C92" s="171">
        <v>2013</v>
      </c>
      <c r="D92" s="127">
        <v>17337858.129999999</v>
      </c>
      <c r="E92" s="127">
        <v>0</v>
      </c>
      <c r="F92" s="127">
        <v>20404938.930379782</v>
      </c>
      <c r="G92" s="127">
        <v>21556775.455000002</v>
      </c>
      <c r="H92" s="423" t="s">
        <v>92</v>
      </c>
      <c r="I92" s="423" t="s">
        <v>92</v>
      </c>
    </row>
    <row r="93" spans="1:9" x14ac:dyDescent="0.2">
      <c r="A93" s="2">
        <f t="shared" si="6"/>
        <v>59</v>
      </c>
      <c r="B93" s="20" t="s">
        <v>217</v>
      </c>
      <c r="C93" s="171">
        <v>2013</v>
      </c>
      <c r="D93" s="127">
        <v>18617108.129999999</v>
      </c>
      <c r="E93" s="127">
        <v>0</v>
      </c>
      <c r="F93" s="127">
        <v>21291781.818303779</v>
      </c>
      <c r="G93" s="127">
        <v>22380194.280000005</v>
      </c>
      <c r="H93" s="423" t="s">
        <v>92</v>
      </c>
      <c r="I93" s="423" t="s">
        <v>92</v>
      </c>
    </row>
    <row r="94" spans="1:9" x14ac:dyDescent="0.2">
      <c r="A94" s="2">
        <f t="shared" si="6"/>
        <v>60</v>
      </c>
      <c r="B94" s="20" t="s">
        <v>218</v>
      </c>
      <c r="C94" s="171">
        <v>2013</v>
      </c>
      <c r="D94" s="127">
        <v>19692108.129999999</v>
      </c>
      <c r="E94" s="127">
        <v>0</v>
      </c>
      <c r="F94" s="127">
        <v>22237518.443303779</v>
      </c>
      <c r="G94" s="127">
        <v>23158681.330000002</v>
      </c>
      <c r="H94" s="423" t="s">
        <v>92</v>
      </c>
      <c r="I94" s="423" t="s">
        <v>92</v>
      </c>
    </row>
    <row r="95" spans="1:9" x14ac:dyDescent="0.2">
      <c r="A95" s="2">
        <f t="shared" si="6"/>
        <v>61</v>
      </c>
      <c r="B95" s="20" t="s">
        <v>208</v>
      </c>
      <c r="C95" s="171">
        <v>2013</v>
      </c>
      <c r="D95" s="127">
        <v>22734358.129999999</v>
      </c>
      <c r="E95" s="127">
        <v>0</v>
      </c>
      <c r="F95" s="127">
        <v>23342919.053002365</v>
      </c>
      <c r="G95" s="127">
        <v>24061558.780000001</v>
      </c>
      <c r="H95" s="423" t="s">
        <v>92</v>
      </c>
      <c r="I95" s="423" t="s">
        <v>92</v>
      </c>
    </row>
    <row r="96" spans="1:9" x14ac:dyDescent="0.2">
      <c r="A96" s="2">
        <f t="shared" si="6"/>
        <v>62</v>
      </c>
      <c r="B96" s="20" t="s">
        <v>209</v>
      </c>
      <c r="C96" s="171">
        <v>2014</v>
      </c>
      <c r="D96" s="127">
        <v>31871858.129999999</v>
      </c>
      <c r="E96" s="127">
        <v>0</v>
      </c>
      <c r="F96" s="127">
        <v>24281343.180506442</v>
      </c>
      <c r="G96" s="127">
        <v>24603529.705000006</v>
      </c>
      <c r="H96" s="423" t="s">
        <v>92</v>
      </c>
      <c r="I96" s="423" t="s">
        <v>92</v>
      </c>
    </row>
    <row r="97" spans="1:11" x14ac:dyDescent="0.2">
      <c r="A97" s="2">
        <f t="shared" si="6"/>
        <v>63</v>
      </c>
      <c r="B97" s="21" t="s">
        <v>210</v>
      </c>
      <c r="C97" s="171">
        <v>2014</v>
      </c>
      <c r="D97" s="127">
        <v>32194358.129999999</v>
      </c>
      <c r="E97" s="127">
        <v>0</v>
      </c>
      <c r="F97" s="127">
        <v>25251084.093989249</v>
      </c>
      <c r="G97" s="127">
        <v>25309868.130000003</v>
      </c>
      <c r="H97" s="423" t="s">
        <v>92</v>
      </c>
      <c r="I97" s="423" t="s">
        <v>92</v>
      </c>
    </row>
    <row r="98" spans="1:11" x14ac:dyDescent="0.2">
      <c r="A98" s="2">
        <f t="shared" si="6"/>
        <v>64</v>
      </c>
      <c r="B98" s="21" t="s">
        <v>223</v>
      </c>
      <c r="C98" s="171">
        <v>2014</v>
      </c>
      <c r="D98" s="127">
        <v>34451858.130000003</v>
      </c>
      <c r="E98" s="127">
        <v>0</v>
      </c>
      <c r="F98" s="127">
        <v>26255596.565408215</v>
      </c>
      <c r="G98" s="127">
        <v>25825824.055</v>
      </c>
      <c r="H98" s="423" t="s">
        <v>92</v>
      </c>
      <c r="I98" s="423" t="s">
        <v>92</v>
      </c>
    </row>
    <row r="99" spans="1:11" x14ac:dyDescent="0.2">
      <c r="A99" s="2">
        <f t="shared" si="6"/>
        <v>65</v>
      </c>
      <c r="B99" s="20" t="s">
        <v>211</v>
      </c>
      <c r="C99" s="171">
        <v>2014</v>
      </c>
      <c r="D99" s="127">
        <v>35096858.130000003</v>
      </c>
      <c r="E99" s="127">
        <v>0</v>
      </c>
      <c r="F99" s="127">
        <v>27277690.443879928</v>
      </c>
      <c r="G99" s="127">
        <v>26347692.48</v>
      </c>
      <c r="H99" s="423" t="s">
        <v>92</v>
      </c>
      <c r="I99" s="423" t="s">
        <v>92</v>
      </c>
    </row>
    <row r="100" spans="1:11" x14ac:dyDescent="0.2">
      <c r="A100" s="2">
        <f t="shared" si="6"/>
        <v>66</v>
      </c>
      <c r="B100" s="21" t="s">
        <v>212</v>
      </c>
      <c r="C100" s="171">
        <v>2014</v>
      </c>
      <c r="D100" s="127">
        <v>35741858.130000003</v>
      </c>
      <c r="E100" s="127">
        <v>0</v>
      </c>
      <c r="F100" s="127">
        <v>28301878.207028735</v>
      </c>
      <c r="G100" s="127">
        <v>26884117.48</v>
      </c>
      <c r="H100" s="423" t="s">
        <v>92</v>
      </c>
      <c r="I100" s="423" t="s">
        <v>92</v>
      </c>
    </row>
    <row r="101" spans="1:11" x14ac:dyDescent="0.2">
      <c r="A101" s="2">
        <f t="shared" si="6"/>
        <v>67</v>
      </c>
      <c r="B101" s="21" t="s">
        <v>213</v>
      </c>
      <c r="C101" s="171">
        <v>2014</v>
      </c>
      <c r="D101" s="127">
        <v>36386858.130000003</v>
      </c>
      <c r="E101" s="127">
        <v>0</v>
      </c>
      <c r="F101" s="127">
        <v>29341760.475795057</v>
      </c>
      <c r="G101" s="127">
        <v>27420542.48</v>
      </c>
      <c r="H101" s="423" t="s">
        <v>92</v>
      </c>
      <c r="I101" s="423" t="s">
        <v>92</v>
      </c>
    </row>
    <row r="102" spans="1:11" x14ac:dyDescent="0.2">
      <c r="A102" s="2">
        <f t="shared" si="6"/>
        <v>68</v>
      </c>
      <c r="B102" s="20" t="s">
        <v>214</v>
      </c>
      <c r="C102" s="171">
        <v>2014</v>
      </c>
      <c r="D102" s="127">
        <v>37354358.130000003</v>
      </c>
      <c r="E102" s="127">
        <v>0</v>
      </c>
      <c r="F102" s="127">
        <v>30396741.74885539</v>
      </c>
      <c r="G102" s="127">
        <v>27936542.48</v>
      </c>
      <c r="H102" s="423" t="s">
        <v>92</v>
      </c>
      <c r="I102" s="423" t="s">
        <v>92</v>
      </c>
    </row>
    <row r="103" spans="1:11" x14ac:dyDescent="0.2">
      <c r="A103" s="2">
        <f t="shared" si="6"/>
        <v>69</v>
      </c>
      <c r="B103" s="21" t="s">
        <v>215</v>
      </c>
      <c r="C103" s="171">
        <v>2014</v>
      </c>
      <c r="D103" s="127">
        <v>38966858.130000003</v>
      </c>
      <c r="E103" s="127">
        <v>0</v>
      </c>
      <c r="F103" s="127">
        <v>31846377.973623972</v>
      </c>
      <c r="G103" s="127">
        <v>28452542.48</v>
      </c>
      <c r="H103" s="423" t="s">
        <v>92</v>
      </c>
      <c r="I103" s="423" t="s">
        <v>92</v>
      </c>
    </row>
    <row r="104" spans="1:11" x14ac:dyDescent="0.2">
      <c r="A104" s="2">
        <f t="shared" si="6"/>
        <v>70</v>
      </c>
      <c r="B104" s="21" t="s">
        <v>216</v>
      </c>
      <c r="C104" s="171">
        <v>2014</v>
      </c>
      <c r="D104" s="1045">
        <v>40041858.130000003</v>
      </c>
      <c r="E104" s="1045">
        <v>0</v>
      </c>
      <c r="F104" s="1045">
        <v>33132708.745234471</v>
      </c>
      <c r="G104" s="1045">
        <v>28968542.48</v>
      </c>
      <c r="H104" s="423" t="s">
        <v>92</v>
      </c>
      <c r="I104" s="423" t="s">
        <v>92</v>
      </c>
    </row>
    <row r="106" spans="1:11" x14ac:dyDescent="0.2">
      <c r="B106" s="221" t="s">
        <v>1507</v>
      </c>
    </row>
    <row r="107" spans="1:11" x14ac:dyDescent="0.2">
      <c r="B107" s="12" t="s">
        <v>1511</v>
      </c>
    </row>
    <row r="108" spans="1:11" x14ac:dyDescent="0.2">
      <c r="B108" s="12" t="str">
        <f>"Prior Year year-end amount.  Equals amounts from Lines "&amp;A56&amp;"-"&amp;A76&amp;" and "&amp;A84&amp;"-"&amp;A104&amp;" minus amount on Lines "&amp;A24&amp;" and "&amp;A44&amp;"."</f>
        <v>Prior Year year-end amount.  Equals amounts from Lines 29-49 and 50-70 minus amount on Lines 13 and 27.</v>
      </c>
      <c r="J108" s="12"/>
    </row>
    <row r="109" spans="1:11" x14ac:dyDescent="0.2">
      <c r="B109" s="221"/>
    </row>
    <row r="110" spans="1:11" x14ac:dyDescent="0.2">
      <c r="D110" s="99" t="s">
        <v>417</v>
      </c>
      <c r="E110" s="99" t="s">
        <v>400</v>
      </c>
      <c r="F110" s="99" t="s">
        <v>401</v>
      </c>
      <c r="G110" s="99" t="s">
        <v>402</v>
      </c>
      <c r="H110" s="99" t="s">
        <v>403</v>
      </c>
      <c r="I110" s="99" t="s">
        <v>404</v>
      </c>
      <c r="J110" s="99"/>
      <c r="K110" s="99"/>
    </row>
    <row r="111" spans="1:11" x14ac:dyDescent="0.2">
      <c r="B111" s="836" t="s">
        <v>247</v>
      </c>
      <c r="D111" s="102" t="s">
        <v>1508</v>
      </c>
      <c r="E111" s="99"/>
      <c r="F111" s="99"/>
      <c r="G111" s="99"/>
      <c r="H111" s="99"/>
      <c r="I111" s="99"/>
      <c r="J111" s="99"/>
      <c r="K111" s="99"/>
    </row>
    <row r="112" spans="1:11" x14ac:dyDescent="0.2">
      <c r="D112" s="2" t="s">
        <v>2134</v>
      </c>
    </row>
    <row r="113" spans="1:11" x14ac:dyDescent="0.2">
      <c r="B113" s="2" t="s">
        <v>228</v>
      </c>
      <c r="D113" s="2" t="s">
        <v>21</v>
      </c>
      <c r="I113" s="2"/>
    </row>
    <row r="114" spans="1:11" x14ac:dyDescent="0.2">
      <c r="B114" s="2" t="s">
        <v>229</v>
      </c>
      <c r="D114" s="2" t="s">
        <v>346</v>
      </c>
      <c r="F114" s="2" t="s">
        <v>396</v>
      </c>
      <c r="G114" s="2" t="s">
        <v>399</v>
      </c>
      <c r="H114" s="2"/>
      <c r="I114" s="2"/>
      <c r="J114" s="131"/>
      <c r="K114" s="131"/>
    </row>
    <row r="115" spans="1:11" x14ac:dyDescent="0.2">
      <c r="A115" s="53" t="s">
        <v>380</v>
      </c>
      <c r="B115" s="25" t="s">
        <v>220</v>
      </c>
      <c r="C115" s="25" t="s">
        <v>221</v>
      </c>
      <c r="D115" s="3" t="s">
        <v>1</v>
      </c>
      <c r="E115" s="3" t="s">
        <v>262</v>
      </c>
      <c r="F115" s="3" t="s">
        <v>397</v>
      </c>
      <c r="G115" s="3" t="s">
        <v>398</v>
      </c>
      <c r="H115" s="3" t="s">
        <v>658</v>
      </c>
      <c r="I115" s="3" t="s">
        <v>659</v>
      </c>
      <c r="J115" s="146"/>
      <c r="K115" s="146"/>
    </row>
    <row r="116" spans="1:11" x14ac:dyDescent="0.2">
      <c r="A116" s="2">
        <f>A104+1</f>
        <v>71</v>
      </c>
      <c r="B116" s="20" t="s">
        <v>209</v>
      </c>
      <c r="C116" s="171">
        <v>2013</v>
      </c>
      <c r="D116" s="7">
        <f>SUM(E116:I116)+SUM(D144:G144)</f>
        <v>27692195.365750317</v>
      </c>
      <c r="E116" s="7">
        <f t="shared" ref="E116:E136" si="7">E56-$E$24</f>
        <v>-16051848.101500511</v>
      </c>
      <c r="F116" s="7">
        <f t="shared" ref="F116:F136" si="8">F56-$F$24</f>
        <v>15414694.878750801</v>
      </c>
      <c r="G116" s="7">
        <f t="shared" ref="G116:G136" si="9">G56-$G$24</f>
        <v>17431125</v>
      </c>
      <c r="H116" s="7">
        <f t="shared" ref="H116:H136" si="10">H56-$H$24</f>
        <v>0</v>
      </c>
      <c r="I116" s="7">
        <f t="shared" ref="I116:I136" si="11">I56-$I$24</f>
        <v>5418959.9750000238</v>
      </c>
      <c r="J116" s="132"/>
      <c r="K116" s="132"/>
    </row>
    <row r="117" spans="1:11" x14ac:dyDescent="0.2">
      <c r="A117" s="2">
        <f>A116+1</f>
        <v>72</v>
      </c>
      <c r="B117" s="21" t="s">
        <v>210</v>
      </c>
      <c r="C117" s="171">
        <v>2013</v>
      </c>
      <c r="D117" s="7">
        <f>SUM(E117:I117)+SUM(D145:G145)</f>
        <v>123834022.21450044</v>
      </c>
      <c r="E117" s="7">
        <f t="shared" si="7"/>
        <v>-2156208.8482503891</v>
      </c>
      <c r="F117" s="7">
        <f t="shared" si="8"/>
        <v>38173182.054000854</v>
      </c>
      <c r="G117" s="7">
        <f t="shared" si="9"/>
        <v>56350424.99999997</v>
      </c>
      <c r="H117" s="7">
        <f t="shared" si="10"/>
        <v>0</v>
      </c>
      <c r="I117" s="7">
        <f t="shared" si="11"/>
        <v>20766273.800000012</v>
      </c>
      <c r="J117" s="132"/>
      <c r="K117" s="132"/>
    </row>
    <row r="118" spans="1:11" x14ac:dyDescent="0.2">
      <c r="A118" s="2">
        <f t="shared" ref="A118:A137" si="12">A117+1</f>
        <v>73</v>
      </c>
      <c r="B118" s="21" t="s">
        <v>223</v>
      </c>
      <c r="C118" s="171">
        <v>2013</v>
      </c>
      <c r="D118" s="7">
        <f t="shared" ref="D118:D136" si="13">SUM(E118:I118)+SUM(D146:G146)</f>
        <v>269513434.57683814</v>
      </c>
      <c r="E118" s="7">
        <f t="shared" si="7"/>
        <v>22589262.872087359</v>
      </c>
      <c r="F118" s="7">
        <f t="shared" si="8"/>
        <v>84134249.268750787</v>
      </c>
      <c r="G118" s="7">
        <f t="shared" si="9"/>
        <v>108409449.99999997</v>
      </c>
      <c r="H118" s="7">
        <f t="shared" si="10"/>
        <v>0</v>
      </c>
      <c r="I118" s="7">
        <f t="shared" si="11"/>
        <v>37098102.725000024</v>
      </c>
      <c r="J118" s="132"/>
      <c r="K118" s="132"/>
    </row>
    <row r="119" spans="1:11" x14ac:dyDescent="0.2">
      <c r="A119" s="2">
        <f t="shared" si="12"/>
        <v>74</v>
      </c>
      <c r="B119" s="20" t="s">
        <v>211</v>
      </c>
      <c r="C119" s="171">
        <v>2013</v>
      </c>
      <c r="D119" s="7">
        <f t="shared" si="13"/>
        <v>389512450.17015815</v>
      </c>
      <c r="E119" s="7">
        <f t="shared" si="7"/>
        <v>45497812.533591151</v>
      </c>
      <c r="F119" s="7">
        <f t="shared" si="8"/>
        <v>121314229.22556698</v>
      </c>
      <c r="G119" s="7">
        <f t="shared" si="9"/>
        <v>152680852.49999997</v>
      </c>
      <c r="H119" s="7">
        <f t="shared" si="10"/>
        <v>0</v>
      </c>
      <c r="I119" s="7">
        <f t="shared" si="11"/>
        <v>47386331.100000024</v>
      </c>
      <c r="J119" s="132"/>
      <c r="K119" s="132"/>
    </row>
    <row r="120" spans="1:11" x14ac:dyDescent="0.2">
      <c r="A120" s="2">
        <f t="shared" si="12"/>
        <v>75</v>
      </c>
      <c r="B120" s="21" t="s">
        <v>212</v>
      </c>
      <c r="C120" s="171">
        <v>2013</v>
      </c>
      <c r="D120" s="7">
        <f t="shared" si="13"/>
        <v>-119241894.6881296</v>
      </c>
      <c r="E120" s="7">
        <f t="shared" si="7"/>
        <v>66919076.81827879</v>
      </c>
      <c r="F120" s="7">
        <f t="shared" si="8"/>
        <v>-179546650.60240847</v>
      </c>
      <c r="G120" s="7">
        <f t="shared" si="9"/>
        <v>-97267442.939999968</v>
      </c>
      <c r="H120" s="7">
        <f t="shared" si="10"/>
        <v>0</v>
      </c>
      <c r="I120" s="7">
        <f t="shared" si="11"/>
        <v>57674560.550000042</v>
      </c>
      <c r="J120" s="132"/>
      <c r="K120" s="132"/>
    </row>
    <row r="121" spans="1:11" x14ac:dyDescent="0.2">
      <c r="A121" s="2">
        <f t="shared" si="12"/>
        <v>76</v>
      </c>
      <c r="B121" s="21" t="s">
        <v>213</v>
      </c>
      <c r="C121" s="171">
        <v>2013</v>
      </c>
      <c r="D121" s="7">
        <f t="shared" si="13"/>
        <v>-378371841.6559248</v>
      </c>
      <c r="E121" s="7">
        <f t="shared" si="7"/>
        <v>52306600.870216608</v>
      </c>
      <c r="F121" s="7">
        <f t="shared" si="8"/>
        <v>-188965569.15928435</v>
      </c>
      <c r="G121" s="7">
        <f t="shared" si="9"/>
        <v>-136603489.92999998</v>
      </c>
      <c r="H121" s="7">
        <f t="shared" si="10"/>
        <v>0</v>
      </c>
      <c r="I121" s="7">
        <f t="shared" si="11"/>
        <v>-145396560.63</v>
      </c>
      <c r="J121" s="132"/>
      <c r="K121" s="132"/>
    </row>
    <row r="122" spans="1:11" x14ac:dyDescent="0.2">
      <c r="A122" s="2">
        <f t="shared" si="12"/>
        <v>77</v>
      </c>
      <c r="B122" s="20" t="s">
        <v>214</v>
      </c>
      <c r="C122" s="171">
        <v>2013</v>
      </c>
      <c r="D122" s="7">
        <f t="shared" si="13"/>
        <v>-525785828.29179233</v>
      </c>
      <c r="E122" s="7">
        <f t="shared" si="7"/>
        <v>70052006.097054362</v>
      </c>
      <c r="F122" s="7">
        <f t="shared" si="8"/>
        <v>-276769698.98698962</v>
      </c>
      <c r="G122" s="7">
        <f t="shared" si="9"/>
        <v>-149797190.29999998</v>
      </c>
      <c r="H122" s="7">
        <f t="shared" si="10"/>
        <v>0</v>
      </c>
      <c r="I122" s="7">
        <f t="shared" si="11"/>
        <v>-144341545.95499998</v>
      </c>
      <c r="J122" s="132"/>
      <c r="K122" s="132"/>
    </row>
    <row r="123" spans="1:11" x14ac:dyDescent="0.2">
      <c r="A123" s="2">
        <f t="shared" si="12"/>
        <v>78</v>
      </c>
      <c r="B123" s="21" t="s">
        <v>215</v>
      </c>
      <c r="C123" s="171">
        <v>2013</v>
      </c>
      <c r="D123" s="7">
        <f t="shared" si="13"/>
        <v>-503202184.14126807</v>
      </c>
      <c r="E123" s="7">
        <f t="shared" si="7"/>
        <v>93686902.721892118</v>
      </c>
      <c r="F123" s="7">
        <f t="shared" si="8"/>
        <v>-288368452.83854008</v>
      </c>
      <c r="G123" s="7">
        <f t="shared" si="9"/>
        <v>-149797190.29999998</v>
      </c>
      <c r="H123" s="7">
        <f t="shared" si="10"/>
        <v>0</v>
      </c>
      <c r="I123" s="7">
        <f t="shared" si="11"/>
        <v>-143286531.27999997</v>
      </c>
      <c r="J123" s="132"/>
      <c r="K123" s="132"/>
    </row>
    <row r="124" spans="1:11" x14ac:dyDescent="0.2">
      <c r="A124" s="2">
        <f t="shared" si="12"/>
        <v>79</v>
      </c>
      <c r="B124" s="21" t="s">
        <v>216</v>
      </c>
      <c r="C124" s="171">
        <v>2013</v>
      </c>
      <c r="D124" s="7">
        <f t="shared" si="13"/>
        <v>-706960976.94080031</v>
      </c>
      <c r="E124" s="7">
        <f t="shared" si="7"/>
        <v>108499883.15632987</v>
      </c>
      <c r="F124" s="7">
        <f t="shared" si="8"/>
        <v>-507166647.02251005</v>
      </c>
      <c r="G124" s="7">
        <f t="shared" si="9"/>
        <v>-149797190.29999998</v>
      </c>
      <c r="H124" s="7">
        <f t="shared" si="10"/>
        <v>0</v>
      </c>
      <c r="I124" s="7">
        <f t="shared" si="11"/>
        <v>-142327427.02999997</v>
      </c>
      <c r="J124" s="132"/>
      <c r="K124" s="132"/>
    </row>
    <row r="125" spans="1:11" x14ac:dyDescent="0.2">
      <c r="A125" s="2">
        <f t="shared" si="12"/>
        <v>80</v>
      </c>
      <c r="B125" s="20" t="s">
        <v>217</v>
      </c>
      <c r="C125" s="171">
        <v>2013</v>
      </c>
      <c r="D125" s="7">
        <f t="shared" si="13"/>
        <v>-652714968.97458923</v>
      </c>
      <c r="E125" s="7">
        <f t="shared" si="7"/>
        <v>156905594.70126772</v>
      </c>
      <c r="F125" s="7">
        <f t="shared" si="8"/>
        <v>-505964595.18916082</v>
      </c>
      <c r="G125" s="7">
        <f t="shared" si="9"/>
        <v>-149797190.29999998</v>
      </c>
      <c r="H125" s="7">
        <f t="shared" si="10"/>
        <v>0</v>
      </c>
      <c r="I125" s="7">
        <f t="shared" si="11"/>
        <v>-140678694.15499997</v>
      </c>
      <c r="J125" s="132"/>
      <c r="K125" s="132"/>
    </row>
    <row r="126" spans="1:11" x14ac:dyDescent="0.2">
      <c r="A126" s="2">
        <f t="shared" si="12"/>
        <v>81</v>
      </c>
      <c r="B126" s="20" t="s">
        <v>218</v>
      </c>
      <c r="C126" s="171">
        <v>2013</v>
      </c>
      <c r="D126" s="7">
        <f t="shared" si="13"/>
        <v>-847407858.34992218</v>
      </c>
      <c r="E126" s="7">
        <f t="shared" si="7"/>
        <v>-42662908.262964725</v>
      </c>
      <c r="F126" s="7">
        <f t="shared" si="8"/>
        <v>-505345117.30026132</v>
      </c>
      <c r="G126" s="7">
        <f t="shared" si="9"/>
        <v>-149797190.29999998</v>
      </c>
      <c r="H126" s="7">
        <f t="shared" si="10"/>
        <v>0</v>
      </c>
      <c r="I126" s="7">
        <f t="shared" si="11"/>
        <v>-139221782.13</v>
      </c>
      <c r="J126" s="132"/>
      <c r="K126" s="132"/>
    </row>
    <row r="127" spans="1:11" x14ac:dyDescent="0.2">
      <c r="A127" s="2">
        <f t="shared" si="12"/>
        <v>82</v>
      </c>
      <c r="B127" s="20" t="s">
        <v>208</v>
      </c>
      <c r="C127" s="171">
        <v>2013</v>
      </c>
      <c r="D127" s="7">
        <f t="shared" si="13"/>
        <v>-965230855.53567433</v>
      </c>
      <c r="E127" s="7">
        <f t="shared" si="7"/>
        <v>-122108057.54867673</v>
      </c>
      <c r="F127" s="7">
        <f t="shared" si="8"/>
        <v>-537340673.84000003</v>
      </c>
      <c r="G127" s="7">
        <f t="shared" si="9"/>
        <v>-149797190.29999998</v>
      </c>
      <c r="H127" s="7">
        <f t="shared" si="10"/>
        <v>0</v>
      </c>
      <c r="I127" s="7">
        <f t="shared" si="11"/>
        <v>-150654601.54999998</v>
      </c>
      <c r="J127" s="132"/>
      <c r="K127" s="132"/>
    </row>
    <row r="128" spans="1:11" x14ac:dyDescent="0.2">
      <c r="A128" s="2">
        <f t="shared" si="12"/>
        <v>83</v>
      </c>
      <c r="B128" s="20" t="s">
        <v>209</v>
      </c>
      <c r="C128" s="171">
        <v>2014</v>
      </c>
      <c r="D128" s="7">
        <f t="shared" si="13"/>
        <v>-931851769.35842037</v>
      </c>
      <c r="E128" s="7">
        <f t="shared" si="7"/>
        <v>-99346866.42392683</v>
      </c>
      <c r="F128" s="7">
        <f t="shared" si="8"/>
        <v>-537340673.84000003</v>
      </c>
      <c r="G128" s="7">
        <f t="shared" si="9"/>
        <v>-149797190.29999998</v>
      </c>
      <c r="H128" s="7">
        <f t="shared" si="10"/>
        <v>0</v>
      </c>
      <c r="I128" s="7">
        <f t="shared" si="11"/>
        <v>-150654601.54999998</v>
      </c>
      <c r="J128" s="132"/>
      <c r="K128" s="132"/>
    </row>
    <row r="129" spans="1:11" x14ac:dyDescent="0.2">
      <c r="A129" s="2">
        <f t="shared" si="12"/>
        <v>84</v>
      </c>
      <c r="B129" s="21" t="s">
        <v>210</v>
      </c>
      <c r="C129" s="171">
        <v>2014</v>
      </c>
      <c r="D129" s="7">
        <f t="shared" si="13"/>
        <v>-905213611.13618755</v>
      </c>
      <c r="E129" s="7">
        <f t="shared" si="7"/>
        <v>-74707287.540176868</v>
      </c>
      <c r="F129" s="7">
        <f t="shared" si="8"/>
        <v>-537340673.84000003</v>
      </c>
      <c r="G129" s="7">
        <f t="shared" si="9"/>
        <v>-149797190.29999998</v>
      </c>
      <c r="H129" s="7">
        <f t="shared" si="10"/>
        <v>0</v>
      </c>
      <c r="I129" s="7">
        <f t="shared" si="11"/>
        <v>-150654601.54999998</v>
      </c>
      <c r="J129" s="132"/>
      <c r="K129" s="132"/>
    </row>
    <row r="130" spans="1:11" x14ac:dyDescent="0.2">
      <c r="A130" s="2">
        <f t="shared" si="12"/>
        <v>85</v>
      </c>
      <c r="B130" s="21" t="s">
        <v>223</v>
      </c>
      <c r="C130" s="171">
        <v>2014</v>
      </c>
      <c r="D130" s="7">
        <f t="shared" si="13"/>
        <v>-875064081.43701851</v>
      </c>
      <c r="E130" s="7">
        <f t="shared" si="7"/>
        <v>-48335726.237426758</v>
      </c>
      <c r="F130" s="7">
        <f t="shared" si="8"/>
        <v>-537340673.84000003</v>
      </c>
      <c r="G130" s="7">
        <f t="shared" si="9"/>
        <v>-149797190.29999998</v>
      </c>
      <c r="H130" s="7">
        <f t="shared" si="10"/>
        <v>0</v>
      </c>
      <c r="I130" s="7">
        <f t="shared" si="11"/>
        <v>-150654601.54999998</v>
      </c>
      <c r="J130" s="132"/>
      <c r="K130" s="132"/>
    </row>
    <row r="131" spans="1:11" x14ac:dyDescent="0.2">
      <c r="A131" s="2">
        <f t="shared" si="12"/>
        <v>86</v>
      </c>
      <c r="B131" s="20" t="s">
        <v>211</v>
      </c>
      <c r="C131" s="171">
        <v>2014</v>
      </c>
      <c r="D131" s="7">
        <f t="shared" si="13"/>
        <v>-859918193.6237967</v>
      </c>
      <c r="E131" s="7">
        <f t="shared" si="7"/>
        <v>-35378800.727676749</v>
      </c>
      <c r="F131" s="7">
        <f t="shared" si="8"/>
        <v>-537340673.84000003</v>
      </c>
      <c r="G131" s="7">
        <f t="shared" si="9"/>
        <v>-149797190.29999998</v>
      </c>
      <c r="H131" s="7">
        <f t="shared" si="10"/>
        <v>0</v>
      </c>
      <c r="I131" s="7">
        <f t="shared" si="11"/>
        <v>-150654601.54999998</v>
      </c>
      <c r="J131" s="132"/>
      <c r="K131" s="132"/>
    </row>
    <row r="132" spans="1:11" x14ac:dyDescent="0.2">
      <c r="A132" s="2">
        <f t="shared" si="12"/>
        <v>87</v>
      </c>
      <c r="B132" s="21" t="s">
        <v>212</v>
      </c>
      <c r="C132" s="171">
        <v>2014</v>
      </c>
      <c r="D132" s="7">
        <f t="shared" si="13"/>
        <v>-841053812.65589786</v>
      </c>
      <c r="E132" s="7">
        <f t="shared" si="7"/>
        <v>-18720032.522926688</v>
      </c>
      <c r="F132" s="7">
        <f t="shared" si="8"/>
        <v>-537340673.84000003</v>
      </c>
      <c r="G132" s="7">
        <f t="shared" si="9"/>
        <v>-149797190.29999998</v>
      </c>
      <c r="H132" s="7">
        <f t="shared" si="10"/>
        <v>0</v>
      </c>
      <c r="I132" s="7">
        <f t="shared" si="11"/>
        <v>-150654601.54999998</v>
      </c>
      <c r="J132" s="132"/>
      <c r="K132" s="132"/>
    </row>
    <row r="133" spans="1:11" x14ac:dyDescent="0.2">
      <c r="A133" s="2">
        <f t="shared" si="12"/>
        <v>88</v>
      </c>
      <c r="B133" s="21" t="s">
        <v>213</v>
      </c>
      <c r="C133" s="171">
        <v>2014</v>
      </c>
      <c r="D133" s="7">
        <f t="shared" si="13"/>
        <v>-825941650.12238169</v>
      </c>
      <c r="E133" s="7">
        <f t="shared" si="7"/>
        <v>-5829177.2581768036</v>
      </c>
      <c r="F133" s="7">
        <f t="shared" si="8"/>
        <v>-537340673.84000003</v>
      </c>
      <c r="G133" s="7">
        <f t="shared" si="9"/>
        <v>-149797190.29999998</v>
      </c>
      <c r="H133" s="7">
        <f t="shared" si="10"/>
        <v>0</v>
      </c>
      <c r="I133" s="7">
        <f t="shared" si="11"/>
        <v>-150654601.54999998</v>
      </c>
      <c r="J133" s="132"/>
      <c r="K133" s="132"/>
    </row>
    <row r="134" spans="1:11" x14ac:dyDescent="0.2">
      <c r="A134" s="2">
        <f t="shared" si="12"/>
        <v>89</v>
      </c>
      <c r="B134" s="20" t="s">
        <v>214</v>
      </c>
      <c r="C134" s="171">
        <v>2014</v>
      </c>
      <c r="D134" s="7">
        <f t="shared" si="13"/>
        <v>-811825249.93457139</v>
      </c>
      <c r="E134" s="7">
        <f t="shared" si="7"/>
        <v>5748741.6565731764</v>
      </c>
      <c r="F134" s="7">
        <f t="shared" si="8"/>
        <v>-537340673.84000003</v>
      </c>
      <c r="G134" s="7">
        <f t="shared" si="9"/>
        <v>-149797190.29999998</v>
      </c>
      <c r="H134" s="7">
        <f t="shared" si="10"/>
        <v>0</v>
      </c>
      <c r="I134" s="7">
        <f t="shared" si="11"/>
        <v>-150654601.54999998</v>
      </c>
      <c r="J134" s="132"/>
      <c r="K134" s="132"/>
    </row>
    <row r="135" spans="1:11" x14ac:dyDescent="0.2">
      <c r="A135" s="2">
        <f t="shared" si="12"/>
        <v>90</v>
      </c>
      <c r="B135" s="21" t="s">
        <v>215</v>
      </c>
      <c r="C135" s="171">
        <v>2014</v>
      </c>
      <c r="D135" s="7">
        <f t="shared" si="13"/>
        <v>-796117515.45905268</v>
      </c>
      <c r="E135" s="7">
        <f t="shared" si="7"/>
        <v>17878339.907323241</v>
      </c>
      <c r="F135" s="7">
        <f t="shared" si="8"/>
        <v>-537340673.84000003</v>
      </c>
      <c r="G135" s="7">
        <f t="shared" si="9"/>
        <v>-149797190.29999998</v>
      </c>
      <c r="H135" s="7">
        <f t="shared" si="10"/>
        <v>0</v>
      </c>
      <c r="I135" s="7">
        <f t="shared" si="11"/>
        <v>-150654601.54999998</v>
      </c>
      <c r="J135" s="132"/>
      <c r="K135" s="132"/>
    </row>
    <row r="136" spans="1:11" x14ac:dyDescent="0.2">
      <c r="A136" s="2">
        <f t="shared" si="12"/>
        <v>91</v>
      </c>
      <c r="B136" s="21" t="s">
        <v>216</v>
      </c>
      <c r="C136" s="171">
        <v>2014</v>
      </c>
      <c r="D136" s="107">
        <f t="shared" si="13"/>
        <v>-778613284.15769219</v>
      </c>
      <c r="E136" s="107">
        <f t="shared" si="7"/>
        <v>32505240.437073231</v>
      </c>
      <c r="F136" s="107">
        <f t="shared" si="8"/>
        <v>-537340673.84000003</v>
      </c>
      <c r="G136" s="107">
        <f t="shared" si="9"/>
        <v>-149797190.29999998</v>
      </c>
      <c r="H136" s="107">
        <f t="shared" si="10"/>
        <v>0</v>
      </c>
      <c r="I136" s="107">
        <f t="shared" si="11"/>
        <v>-150654601.54999998</v>
      </c>
      <c r="J136" s="132"/>
      <c r="K136" s="132"/>
    </row>
    <row r="137" spans="1:11" x14ac:dyDescent="0.2">
      <c r="A137" s="2">
        <f t="shared" si="12"/>
        <v>92</v>
      </c>
      <c r="C137" s="222" t="s">
        <v>656</v>
      </c>
      <c r="D137" s="125">
        <f t="shared" ref="D137:I137" si="14">SUM(D124:D136)/13</f>
        <v>-830608755.97584665</v>
      </c>
      <c r="E137" s="125">
        <f t="shared" si="14"/>
        <v>-9657773.5894911475</v>
      </c>
      <c r="F137" s="125">
        <f t="shared" si="14"/>
        <v>-530144853.68553329</v>
      </c>
      <c r="G137" s="125">
        <f t="shared" si="14"/>
        <v>-149797190.29999998</v>
      </c>
      <c r="H137" s="125">
        <f t="shared" si="14"/>
        <v>0</v>
      </c>
      <c r="I137" s="125">
        <f t="shared" si="14"/>
        <v>-148367224.52423075</v>
      </c>
      <c r="J137" s="14"/>
      <c r="K137" s="14"/>
    </row>
    <row r="138" spans="1:11" x14ac:dyDescent="0.2">
      <c r="C138" s="77"/>
    </row>
    <row r="139" spans="1:11" x14ac:dyDescent="0.2">
      <c r="B139" s="836" t="s">
        <v>247</v>
      </c>
      <c r="D139" s="99" t="s">
        <v>405</v>
      </c>
      <c r="E139" s="99" t="s">
        <v>654</v>
      </c>
      <c r="F139" s="99" t="s">
        <v>1128</v>
      </c>
      <c r="G139" s="99" t="s">
        <v>1145</v>
      </c>
      <c r="H139" s="99" t="s">
        <v>1148</v>
      </c>
      <c r="I139" s="99" t="s">
        <v>1166</v>
      </c>
    </row>
    <row r="140" spans="1:11" x14ac:dyDescent="0.2">
      <c r="E140" s="420" t="s">
        <v>1167</v>
      </c>
      <c r="F140" s="420"/>
      <c r="G140" s="420"/>
      <c r="H140" s="125"/>
      <c r="I140" s="132"/>
    </row>
    <row r="141" spans="1:11" x14ac:dyDescent="0.2">
      <c r="B141" s="2" t="s">
        <v>228</v>
      </c>
      <c r="D141" s="2" t="s">
        <v>1164</v>
      </c>
      <c r="E141" s="2" t="s">
        <v>1168</v>
      </c>
      <c r="F141" s="420"/>
      <c r="G141" s="420"/>
      <c r="H141" s="125"/>
      <c r="I141" s="132"/>
    </row>
    <row r="142" spans="1:11" x14ac:dyDescent="0.2">
      <c r="B142" s="2" t="s">
        <v>229</v>
      </c>
      <c r="D142" s="2" t="s">
        <v>512</v>
      </c>
      <c r="E142" s="2" t="s">
        <v>512</v>
      </c>
      <c r="F142" s="420" t="s">
        <v>1170</v>
      </c>
      <c r="G142" s="420" t="s">
        <v>1171</v>
      </c>
      <c r="H142" s="125"/>
      <c r="I142" s="132"/>
    </row>
    <row r="143" spans="1:11" x14ac:dyDescent="0.2">
      <c r="A143" s="53" t="s">
        <v>380</v>
      </c>
      <c r="B143" s="25" t="s">
        <v>220</v>
      </c>
      <c r="C143" s="25" t="s">
        <v>221</v>
      </c>
      <c r="D143" s="3" t="s">
        <v>1165</v>
      </c>
      <c r="E143" s="3" t="s">
        <v>1165</v>
      </c>
      <c r="F143" s="421" t="s">
        <v>1169</v>
      </c>
      <c r="G143" s="421" t="s">
        <v>1172</v>
      </c>
      <c r="H143" s="422" t="s">
        <v>1173</v>
      </c>
      <c r="I143" s="422" t="s">
        <v>1174</v>
      </c>
    </row>
    <row r="144" spans="1:11" x14ac:dyDescent="0.2">
      <c r="A144" s="2">
        <f>A137+1</f>
        <v>93</v>
      </c>
      <c r="B144" s="20" t="s">
        <v>209</v>
      </c>
      <c r="C144" s="171">
        <v>2013</v>
      </c>
      <c r="D144" s="7">
        <f t="shared" ref="D144:D164" si="15">D84-$D$44</f>
        <v>144600</v>
      </c>
      <c r="E144" s="7">
        <f t="shared" ref="E144:E164" si="16">E84-$E$44</f>
        <v>3399593.9750000015</v>
      </c>
      <c r="F144" s="7">
        <f t="shared" ref="F144:F164" si="17">F84-$F$44</f>
        <v>1371957.7634999994</v>
      </c>
      <c r="G144" s="7">
        <f t="shared" ref="G144:G164" si="18">G84-$G$44</f>
        <v>563111.87500000186</v>
      </c>
      <c r="H144" s="424" t="s">
        <v>92</v>
      </c>
      <c r="I144" s="424" t="s">
        <v>92</v>
      </c>
    </row>
    <row r="145" spans="1:9" x14ac:dyDescent="0.2">
      <c r="A145" s="2">
        <f>A144+1</f>
        <v>94</v>
      </c>
      <c r="B145" s="21" t="s">
        <v>210</v>
      </c>
      <c r="C145" s="171">
        <v>2013</v>
      </c>
      <c r="D145" s="7">
        <f t="shared" si="15"/>
        <v>325500</v>
      </c>
      <c r="E145" s="7">
        <f t="shared" si="16"/>
        <v>6946260.8500000015</v>
      </c>
      <c r="F145" s="7">
        <f t="shared" si="17"/>
        <v>2173392.4837499987</v>
      </c>
      <c r="G145" s="7">
        <f t="shared" si="18"/>
        <v>1255196.875</v>
      </c>
      <c r="H145" s="424" t="s">
        <v>92</v>
      </c>
      <c r="I145" s="424" t="s">
        <v>92</v>
      </c>
    </row>
    <row r="146" spans="1:9" x14ac:dyDescent="0.2">
      <c r="A146" s="2">
        <f t="shared" ref="A146:A165" si="19">A145+1</f>
        <v>95</v>
      </c>
      <c r="B146" s="21" t="s">
        <v>223</v>
      </c>
      <c r="C146" s="171">
        <v>2013</v>
      </c>
      <c r="D146" s="7">
        <f t="shared" si="15"/>
        <v>410250</v>
      </c>
      <c r="E146" s="7">
        <f t="shared" si="16"/>
        <v>11914065.900000006</v>
      </c>
      <c r="F146" s="7">
        <f t="shared" si="17"/>
        <v>3018131.3859999981</v>
      </c>
      <c r="G146" s="7">
        <f t="shared" si="18"/>
        <v>1939922.4249999989</v>
      </c>
      <c r="H146" s="424" t="s">
        <v>92</v>
      </c>
      <c r="I146" s="424" t="s">
        <v>92</v>
      </c>
    </row>
    <row r="147" spans="1:9" x14ac:dyDescent="0.2">
      <c r="A147" s="2">
        <f t="shared" si="19"/>
        <v>96</v>
      </c>
      <c r="B147" s="20" t="s">
        <v>211</v>
      </c>
      <c r="C147" s="171">
        <v>2013</v>
      </c>
      <c r="D147" s="7">
        <f t="shared" si="15"/>
        <v>637625</v>
      </c>
      <c r="E147" s="7">
        <f t="shared" si="16"/>
        <v>14895989.050000004</v>
      </c>
      <c r="F147" s="7">
        <f t="shared" si="17"/>
        <v>4398629.185999997</v>
      </c>
      <c r="G147" s="7">
        <f t="shared" si="18"/>
        <v>2700981.5750000011</v>
      </c>
      <c r="H147" s="424" t="s">
        <v>92</v>
      </c>
      <c r="I147" s="424" t="s">
        <v>92</v>
      </c>
    </row>
    <row r="148" spans="1:9" x14ac:dyDescent="0.2">
      <c r="A148" s="2">
        <f t="shared" si="19"/>
        <v>97</v>
      </c>
      <c r="B148" s="21" t="s">
        <v>212</v>
      </c>
      <c r="C148" s="171">
        <v>2013</v>
      </c>
      <c r="D148" s="7">
        <f t="shared" si="15"/>
        <v>4959125</v>
      </c>
      <c r="E148" s="7">
        <f t="shared" si="16"/>
        <v>18487974.70000001</v>
      </c>
      <c r="F148" s="7">
        <f t="shared" si="17"/>
        <v>5660867.310999997</v>
      </c>
      <c r="G148" s="7">
        <f t="shared" si="18"/>
        <v>3870594.4749999996</v>
      </c>
      <c r="H148" s="424" t="s">
        <v>92</v>
      </c>
      <c r="I148" s="424" t="s">
        <v>92</v>
      </c>
    </row>
    <row r="149" spans="1:9" x14ac:dyDescent="0.2">
      <c r="A149" s="2">
        <f t="shared" si="19"/>
        <v>98</v>
      </c>
      <c r="B149" s="21" t="s">
        <v>213</v>
      </c>
      <c r="C149" s="171">
        <v>2013</v>
      </c>
      <c r="D149" s="7">
        <f t="shared" si="15"/>
        <v>6577000</v>
      </c>
      <c r="E149" s="7">
        <f t="shared" si="16"/>
        <v>22015007.775000013</v>
      </c>
      <c r="F149" s="7">
        <f t="shared" si="17"/>
        <v>6932258.2931428552</v>
      </c>
      <c r="G149" s="7">
        <f t="shared" si="18"/>
        <v>4762911.1250000019</v>
      </c>
      <c r="H149" s="424" t="s">
        <v>92</v>
      </c>
      <c r="I149" s="424" t="s">
        <v>92</v>
      </c>
    </row>
    <row r="150" spans="1:9" x14ac:dyDescent="0.2">
      <c r="A150" s="2">
        <f t="shared" si="19"/>
        <v>99</v>
      </c>
      <c r="B150" s="20" t="s">
        <v>214</v>
      </c>
      <c r="C150" s="171">
        <v>2013</v>
      </c>
      <c r="D150" s="7">
        <f t="shared" si="15"/>
        <v>9355875</v>
      </c>
      <c r="E150" s="7">
        <f t="shared" si="16"/>
        <v>-48014271.539999999</v>
      </c>
      <c r="F150" s="7">
        <f t="shared" si="17"/>
        <v>8092886.3431428522</v>
      </c>
      <c r="G150" s="7">
        <f t="shared" si="18"/>
        <v>5636111.0500000026</v>
      </c>
      <c r="H150" s="424" t="s">
        <v>92</v>
      </c>
      <c r="I150" s="424" t="s">
        <v>92</v>
      </c>
    </row>
    <row r="151" spans="1:9" x14ac:dyDescent="0.2">
      <c r="A151" s="2">
        <f t="shared" si="19"/>
        <v>100</v>
      </c>
      <c r="B151" s="21" t="s">
        <v>215</v>
      </c>
      <c r="C151" s="171">
        <v>2013</v>
      </c>
      <c r="D151" s="7">
        <f t="shared" si="15"/>
        <v>16418625.000000002</v>
      </c>
      <c r="E151" s="7">
        <f t="shared" si="16"/>
        <v>-48014271.539999999</v>
      </c>
      <c r="F151" s="7">
        <f t="shared" si="17"/>
        <v>9139765.6203797795</v>
      </c>
      <c r="G151" s="7">
        <f t="shared" si="18"/>
        <v>7018968.4749999996</v>
      </c>
      <c r="H151" s="424" t="s">
        <v>92</v>
      </c>
      <c r="I151" s="424" t="s">
        <v>92</v>
      </c>
    </row>
    <row r="152" spans="1:9" x14ac:dyDescent="0.2">
      <c r="A152" s="2">
        <f t="shared" si="19"/>
        <v>101</v>
      </c>
      <c r="B152" s="21" t="s">
        <v>216</v>
      </c>
      <c r="C152" s="171">
        <v>2013</v>
      </c>
      <c r="D152" s="7">
        <f t="shared" si="15"/>
        <v>14081115.049999999</v>
      </c>
      <c r="E152" s="7">
        <f t="shared" si="16"/>
        <v>-48014271.539999999</v>
      </c>
      <c r="F152" s="7">
        <f t="shared" si="17"/>
        <v>10039420.220379781</v>
      </c>
      <c r="G152" s="7">
        <f t="shared" si="18"/>
        <v>7724140.5250000004</v>
      </c>
      <c r="H152" s="424" t="s">
        <v>92</v>
      </c>
      <c r="I152" s="424" t="s">
        <v>92</v>
      </c>
    </row>
    <row r="153" spans="1:9" x14ac:dyDescent="0.2">
      <c r="A153" s="2">
        <f t="shared" si="19"/>
        <v>102</v>
      </c>
      <c r="B153" s="20" t="s">
        <v>217</v>
      </c>
      <c r="C153" s="171">
        <v>2013</v>
      </c>
      <c r="D153" s="7">
        <f t="shared" si="15"/>
        <v>15360365.049999999</v>
      </c>
      <c r="E153" s="7">
        <f t="shared" si="16"/>
        <v>-48014271.539999999</v>
      </c>
      <c r="F153" s="7">
        <f t="shared" si="17"/>
        <v>10926263.108303778</v>
      </c>
      <c r="G153" s="7">
        <f t="shared" si="18"/>
        <v>8547559.3500000034</v>
      </c>
      <c r="H153" s="424" t="s">
        <v>92</v>
      </c>
      <c r="I153" s="424" t="s">
        <v>92</v>
      </c>
    </row>
    <row r="154" spans="1:9" x14ac:dyDescent="0.2">
      <c r="A154" s="2">
        <f t="shared" si="19"/>
        <v>103</v>
      </c>
      <c r="B154" s="20" t="s">
        <v>218</v>
      </c>
      <c r="C154" s="171">
        <v>2013</v>
      </c>
      <c r="D154" s="7">
        <f t="shared" si="15"/>
        <v>16435365.049999999</v>
      </c>
      <c r="E154" s="7">
        <f t="shared" si="16"/>
        <v>-48014271.539999999</v>
      </c>
      <c r="F154" s="7">
        <f t="shared" si="17"/>
        <v>11871999.733303778</v>
      </c>
      <c r="G154" s="7">
        <f t="shared" si="18"/>
        <v>9326046.4000000004</v>
      </c>
      <c r="H154" s="424" t="s">
        <v>92</v>
      </c>
      <c r="I154" s="424" t="s">
        <v>92</v>
      </c>
    </row>
    <row r="155" spans="1:9" x14ac:dyDescent="0.2">
      <c r="A155" s="2">
        <f t="shared" si="19"/>
        <v>104</v>
      </c>
      <c r="B155" s="20" t="s">
        <v>208</v>
      </c>
      <c r="C155" s="171">
        <v>2013</v>
      </c>
      <c r="D155" s="7">
        <f t="shared" si="15"/>
        <v>19477615.049999997</v>
      </c>
      <c r="E155" s="7">
        <f t="shared" si="16"/>
        <v>-48014271.539999999</v>
      </c>
      <c r="F155" s="7">
        <f t="shared" si="17"/>
        <v>12977400.343002364</v>
      </c>
      <c r="G155" s="7">
        <f t="shared" si="18"/>
        <v>10228923.85</v>
      </c>
      <c r="H155" s="424" t="s">
        <v>92</v>
      </c>
      <c r="I155" s="424" t="s">
        <v>92</v>
      </c>
    </row>
    <row r="156" spans="1:9" x14ac:dyDescent="0.2">
      <c r="A156" s="2">
        <f t="shared" si="19"/>
        <v>105</v>
      </c>
      <c r="B156" s="20" t="s">
        <v>209</v>
      </c>
      <c r="C156" s="171">
        <v>2014</v>
      </c>
      <c r="D156" s="7">
        <f t="shared" si="15"/>
        <v>28615115.049999997</v>
      </c>
      <c r="E156" s="7">
        <f t="shared" si="16"/>
        <v>-48014271.539999999</v>
      </c>
      <c r="F156" s="7">
        <f t="shared" si="17"/>
        <v>13915824.470506441</v>
      </c>
      <c r="G156" s="7">
        <f t="shared" si="18"/>
        <v>10770894.775000004</v>
      </c>
      <c r="H156" s="424" t="s">
        <v>92</v>
      </c>
      <c r="I156" s="424" t="s">
        <v>92</v>
      </c>
    </row>
    <row r="157" spans="1:9" x14ac:dyDescent="0.2">
      <c r="A157" s="2">
        <f t="shared" si="19"/>
        <v>106</v>
      </c>
      <c r="B157" s="21" t="s">
        <v>210</v>
      </c>
      <c r="C157" s="171">
        <v>2014</v>
      </c>
      <c r="D157" s="7">
        <f t="shared" si="15"/>
        <v>28937615.049999997</v>
      </c>
      <c r="E157" s="7">
        <f t="shared" si="16"/>
        <v>-48014271.539999999</v>
      </c>
      <c r="F157" s="7">
        <f t="shared" si="17"/>
        <v>14885565.383989248</v>
      </c>
      <c r="G157" s="7">
        <f t="shared" si="18"/>
        <v>11477233.200000001</v>
      </c>
      <c r="H157" s="424" t="s">
        <v>92</v>
      </c>
      <c r="I157" s="424" t="s">
        <v>92</v>
      </c>
    </row>
    <row r="158" spans="1:9" x14ac:dyDescent="0.2">
      <c r="A158" s="2">
        <f t="shared" si="19"/>
        <v>107</v>
      </c>
      <c r="B158" s="21" t="s">
        <v>223</v>
      </c>
      <c r="C158" s="171">
        <v>2014</v>
      </c>
      <c r="D158" s="7">
        <f t="shared" si="15"/>
        <v>31195115.050000004</v>
      </c>
      <c r="E158" s="7">
        <f t="shared" si="16"/>
        <v>-48014271.539999999</v>
      </c>
      <c r="F158" s="7">
        <f t="shared" si="17"/>
        <v>15890077.855408214</v>
      </c>
      <c r="G158" s="7">
        <f t="shared" si="18"/>
        <v>11993189.124999998</v>
      </c>
      <c r="H158" s="424" t="s">
        <v>92</v>
      </c>
      <c r="I158" s="424" t="s">
        <v>92</v>
      </c>
    </row>
    <row r="159" spans="1:9" x14ac:dyDescent="0.2">
      <c r="A159" s="2">
        <f t="shared" si="19"/>
        <v>108</v>
      </c>
      <c r="B159" s="20" t="s">
        <v>211</v>
      </c>
      <c r="C159" s="171">
        <v>2014</v>
      </c>
      <c r="D159" s="7">
        <f t="shared" si="15"/>
        <v>31840115.050000004</v>
      </c>
      <c r="E159" s="7">
        <f t="shared" si="16"/>
        <v>-48014271.539999999</v>
      </c>
      <c r="F159" s="7">
        <f t="shared" si="17"/>
        <v>16912171.733879928</v>
      </c>
      <c r="G159" s="7">
        <f t="shared" si="18"/>
        <v>12515057.549999999</v>
      </c>
      <c r="H159" s="424" t="s">
        <v>92</v>
      </c>
      <c r="I159" s="424" t="s">
        <v>92</v>
      </c>
    </row>
    <row r="160" spans="1:9" x14ac:dyDescent="0.2">
      <c r="A160" s="2">
        <f t="shared" si="19"/>
        <v>109</v>
      </c>
      <c r="B160" s="21" t="s">
        <v>212</v>
      </c>
      <c r="C160" s="171">
        <v>2014</v>
      </c>
      <c r="D160" s="7">
        <f t="shared" si="15"/>
        <v>32485115.050000004</v>
      </c>
      <c r="E160" s="7">
        <f t="shared" si="16"/>
        <v>-48014271.539999999</v>
      </c>
      <c r="F160" s="7">
        <f t="shared" si="17"/>
        <v>17936359.497028735</v>
      </c>
      <c r="G160" s="7">
        <f t="shared" si="18"/>
        <v>13051482.549999999</v>
      </c>
      <c r="H160" s="424" t="s">
        <v>92</v>
      </c>
      <c r="I160" s="424" t="s">
        <v>92</v>
      </c>
    </row>
    <row r="161" spans="1:9" x14ac:dyDescent="0.2">
      <c r="A161" s="2">
        <f t="shared" si="19"/>
        <v>110</v>
      </c>
      <c r="B161" s="21" t="s">
        <v>213</v>
      </c>
      <c r="C161" s="171">
        <v>2014</v>
      </c>
      <c r="D161" s="7">
        <f t="shared" si="15"/>
        <v>33130115.050000004</v>
      </c>
      <c r="E161" s="7">
        <f t="shared" si="16"/>
        <v>-48014271.539999999</v>
      </c>
      <c r="F161" s="7">
        <f t="shared" si="17"/>
        <v>18976241.765795056</v>
      </c>
      <c r="G161" s="7">
        <f t="shared" si="18"/>
        <v>13587907.549999999</v>
      </c>
      <c r="H161" s="424" t="s">
        <v>92</v>
      </c>
      <c r="I161" s="424" t="s">
        <v>92</v>
      </c>
    </row>
    <row r="162" spans="1:9" x14ac:dyDescent="0.2">
      <c r="A162" s="2">
        <f t="shared" si="19"/>
        <v>111</v>
      </c>
      <c r="B162" s="20" t="s">
        <v>214</v>
      </c>
      <c r="C162" s="171">
        <v>2014</v>
      </c>
      <c r="D162" s="7">
        <f t="shared" si="15"/>
        <v>34097615.050000004</v>
      </c>
      <c r="E162" s="7">
        <f t="shared" si="16"/>
        <v>-48014271.539999999</v>
      </c>
      <c r="F162" s="7">
        <f t="shared" si="17"/>
        <v>20031223.038855389</v>
      </c>
      <c r="G162" s="7">
        <f t="shared" si="18"/>
        <v>14103907.549999999</v>
      </c>
      <c r="H162" s="424" t="s">
        <v>92</v>
      </c>
      <c r="I162" s="424" t="s">
        <v>92</v>
      </c>
    </row>
    <row r="163" spans="1:9" x14ac:dyDescent="0.2">
      <c r="A163" s="2">
        <f t="shared" si="19"/>
        <v>112</v>
      </c>
      <c r="B163" s="21" t="s">
        <v>215</v>
      </c>
      <c r="C163" s="171">
        <v>2014</v>
      </c>
      <c r="D163" s="7">
        <f t="shared" si="15"/>
        <v>35710115.050000004</v>
      </c>
      <c r="E163" s="7">
        <f t="shared" si="16"/>
        <v>-48014271.539999999</v>
      </c>
      <c r="F163" s="7">
        <f t="shared" si="17"/>
        <v>21480859.263623971</v>
      </c>
      <c r="G163" s="7">
        <f t="shared" si="18"/>
        <v>14619907.549999999</v>
      </c>
      <c r="H163" s="424" t="s">
        <v>92</v>
      </c>
      <c r="I163" s="424" t="s">
        <v>92</v>
      </c>
    </row>
    <row r="164" spans="1:9" x14ac:dyDescent="0.2">
      <c r="A164" s="2">
        <f t="shared" si="19"/>
        <v>113</v>
      </c>
      <c r="B164" s="21" t="s">
        <v>216</v>
      </c>
      <c r="C164" s="171">
        <v>2014</v>
      </c>
      <c r="D164" s="107">
        <f t="shared" si="15"/>
        <v>36785115.050000004</v>
      </c>
      <c r="E164" s="107">
        <f t="shared" si="16"/>
        <v>-48014271.539999999</v>
      </c>
      <c r="F164" s="107">
        <f t="shared" si="17"/>
        <v>22767190.03523447</v>
      </c>
      <c r="G164" s="107">
        <f t="shared" si="18"/>
        <v>15135907.549999999</v>
      </c>
      <c r="H164" s="424" t="s">
        <v>92</v>
      </c>
      <c r="I164" s="424" t="s">
        <v>92</v>
      </c>
    </row>
    <row r="165" spans="1:9" x14ac:dyDescent="0.2">
      <c r="A165" s="2">
        <f t="shared" si="19"/>
        <v>114</v>
      </c>
      <c r="C165" s="222" t="s">
        <v>656</v>
      </c>
      <c r="D165" s="125">
        <f>SUM(D152:D164)/13</f>
        <v>27550038.126923081</v>
      </c>
      <c r="E165" s="125">
        <f>SUM(E152:E164)/13</f>
        <v>-48014271.540000007</v>
      </c>
      <c r="F165" s="125">
        <f>SUM(F152:F164)/13</f>
        <v>16046968.957639324</v>
      </c>
      <c r="G165" s="125">
        <f>SUM(G152:G164)/13</f>
        <v>11775550.578846155</v>
      </c>
      <c r="H165" s="424" t="s">
        <v>92</v>
      </c>
      <c r="I165" s="424" t="s">
        <v>92</v>
      </c>
    </row>
    <row r="167" spans="1:9" x14ac:dyDescent="0.2">
      <c r="B167" s="22" t="s">
        <v>269</v>
      </c>
    </row>
    <row r="168" spans="1:9" x14ac:dyDescent="0.2">
      <c r="B168" s="724" t="s">
        <v>2133</v>
      </c>
    </row>
    <row r="170" spans="1:9" x14ac:dyDescent="0.2">
      <c r="B170" s="1" t="s">
        <v>445</v>
      </c>
    </row>
    <row r="171" spans="1:9" x14ac:dyDescent="0.2">
      <c r="B171" s="12" t="s">
        <v>1175</v>
      </c>
    </row>
    <row r="172" spans="1:9" x14ac:dyDescent="0.2">
      <c r="B172" s="12" t="s">
        <v>1176</v>
      </c>
    </row>
    <row r="173" spans="1:9" x14ac:dyDescent="0.2">
      <c r="B173" s="12" t="s">
        <v>1177</v>
      </c>
    </row>
    <row r="174" spans="1:9" x14ac:dyDescent="0.2">
      <c r="B174" s="13" t="s">
        <v>1450</v>
      </c>
    </row>
  </sheetData>
  <pageMargins left="0.7" right="0.7" top="0.75" bottom="0.75" header="0.3" footer="0.3"/>
  <pageSetup scale="80" orientation="portrait" r:id="rId1"/>
  <headerFooter>
    <oddHeader>&amp;CSchedule 10
CWIP&amp;RDkt. No. ER11-3697
2014 Draft Informational Filing</oddHeader>
    <oddFooter>&amp;R&amp;A</oddFooter>
  </headerFooter>
  <rowBreaks count="2" manualBreakCount="2">
    <brk id="46" max="8" man="1"/>
    <brk id="105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="90" zoomScaleNormal="90" workbookViewId="0">
      <selection activeCell="J43" sqref="J43"/>
    </sheetView>
  </sheetViews>
  <sheetFormatPr defaultRowHeight="12.75" x14ac:dyDescent="0.2"/>
  <cols>
    <col min="1" max="1" width="4.7109375" customWidth="1"/>
    <col min="2" max="2" width="22.7109375" customWidth="1"/>
    <col min="3" max="3" width="8.7109375" customWidth="1"/>
    <col min="4" max="5" width="25.7109375" customWidth="1"/>
    <col min="6" max="6" width="22.7109375" customWidth="1"/>
    <col min="8" max="8" width="10.85546875" customWidth="1"/>
  </cols>
  <sheetData>
    <row r="1" spans="1:6" x14ac:dyDescent="0.2">
      <c r="A1" s="38" t="s">
        <v>1469</v>
      </c>
      <c r="B1" s="142"/>
      <c r="C1" s="39"/>
      <c r="D1" s="39"/>
      <c r="E1" s="39"/>
      <c r="F1" s="39"/>
    </row>
    <row r="2" spans="1:6" x14ac:dyDescent="0.2">
      <c r="A2" s="144"/>
      <c r="B2" s="14"/>
      <c r="C2" s="145"/>
      <c r="D2" s="145"/>
      <c r="F2" s="44" t="s">
        <v>19</v>
      </c>
    </row>
    <row r="3" spans="1:6" x14ac:dyDescent="0.2">
      <c r="A3" s="144"/>
      <c r="B3" s="15" t="s">
        <v>600</v>
      </c>
      <c r="C3" s="145"/>
      <c r="D3" s="145"/>
      <c r="E3" s="145"/>
    </row>
    <row r="4" spans="1:6" x14ac:dyDescent="0.2">
      <c r="A4" s="144"/>
      <c r="B4" s="15" t="s">
        <v>456</v>
      </c>
      <c r="C4" s="145"/>
      <c r="D4" s="145"/>
      <c r="E4" s="145"/>
    </row>
    <row r="5" spans="1:6" x14ac:dyDescent="0.2">
      <c r="A5" s="144"/>
      <c r="B5" s="15" t="s">
        <v>461</v>
      </c>
      <c r="C5" s="145"/>
      <c r="D5" s="145"/>
      <c r="E5" s="145"/>
    </row>
    <row r="6" spans="1:6" x14ac:dyDescent="0.2">
      <c r="A6" s="144"/>
    </row>
    <row r="7" spans="1:6" x14ac:dyDescent="0.2">
      <c r="A7" s="53" t="s">
        <v>380</v>
      </c>
      <c r="B7" s="14"/>
      <c r="C7" s="145"/>
      <c r="D7" s="3" t="s">
        <v>459</v>
      </c>
      <c r="E7" s="143" t="s">
        <v>458</v>
      </c>
      <c r="F7" s="146" t="s">
        <v>207</v>
      </c>
    </row>
    <row r="8" spans="1:6" x14ac:dyDescent="0.2">
      <c r="A8" s="2">
        <v>1</v>
      </c>
      <c r="B8" s="15" t="s">
        <v>470</v>
      </c>
      <c r="D8" s="6">
        <v>16261747</v>
      </c>
      <c r="E8" s="6">
        <v>16261747</v>
      </c>
      <c r="F8" s="13" t="s">
        <v>1489</v>
      </c>
    </row>
    <row r="9" spans="1:6" x14ac:dyDescent="0.2">
      <c r="A9" s="2"/>
      <c r="B9" s="15"/>
      <c r="D9" s="14"/>
      <c r="E9" s="12"/>
    </row>
    <row r="10" spans="1:6" x14ac:dyDescent="0.2">
      <c r="A10" s="2"/>
      <c r="B10" s="15" t="s">
        <v>464</v>
      </c>
      <c r="D10" s="14"/>
      <c r="E10" s="12"/>
    </row>
    <row r="11" spans="1:6" x14ac:dyDescent="0.2">
      <c r="A11" s="2"/>
      <c r="B11" s="15"/>
      <c r="D11" s="14"/>
      <c r="E11" s="12"/>
    </row>
    <row r="12" spans="1:6" x14ac:dyDescent="0.2">
      <c r="A12" s="2"/>
      <c r="B12" s="99" t="s">
        <v>417</v>
      </c>
      <c r="C12" s="99" t="s">
        <v>400</v>
      </c>
      <c r="D12" s="99" t="s">
        <v>401</v>
      </c>
      <c r="E12" s="99" t="s">
        <v>402</v>
      </c>
      <c r="F12" s="99" t="s">
        <v>403</v>
      </c>
    </row>
    <row r="13" spans="1:6" x14ac:dyDescent="0.2">
      <c r="A13" s="2"/>
      <c r="B13" s="15"/>
      <c r="C13" s="2" t="s">
        <v>467</v>
      </c>
      <c r="D13" s="14"/>
      <c r="E13" s="12"/>
    </row>
    <row r="14" spans="1:6" x14ac:dyDescent="0.2">
      <c r="A14" s="2"/>
      <c r="B14" s="53" t="s">
        <v>118</v>
      </c>
      <c r="C14" s="3" t="s">
        <v>466</v>
      </c>
      <c r="D14" s="3" t="s">
        <v>459</v>
      </c>
      <c r="E14" s="143" t="s">
        <v>458</v>
      </c>
      <c r="F14" s="143" t="s">
        <v>207</v>
      </c>
    </row>
    <row r="15" spans="1:6" x14ac:dyDescent="0.2">
      <c r="A15" s="2" t="s">
        <v>623</v>
      </c>
      <c r="B15" s="137" t="s">
        <v>2488</v>
      </c>
      <c r="C15" s="113" t="s">
        <v>2489</v>
      </c>
      <c r="D15" s="6">
        <v>9942155</v>
      </c>
      <c r="E15" s="6">
        <v>9942155</v>
      </c>
      <c r="F15" s="694" t="s">
        <v>2490</v>
      </c>
    </row>
    <row r="16" spans="1:6" x14ac:dyDescent="0.2">
      <c r="A16" s="2" t="s">
        <v>624</v>
      </c>
      <c r="B16" s="137"/>
      <c r="C16" s="113"/>
      <c r="D16" s="6"/>
      <c r="E16" s="6"/>
      <c r="F16" s="113"/>
    </row>
    <row r="17" spans="1:6" x14ac:dyDescent="0.2">
      <c r="A17" s="2" t="s">
        <v>625</v>
      </c>
      <c r="B17" s="137"/>
      <c r="C17" s="113"/>
      <c r="D17" s="6"/>
      <c r="E17" s="6"/>
      <c r="F17" s="113"/>
    </row>
    <row r="18" spans="1:6" x14ac:dyDescent="0.2">
      <c r="A18" s="2" t="s">
        <v>626</v>
      </c>
      <c r="B18" s="137"/>
      <c r="C18" s="113"/>
      <c r="D18" s="6"/>
      <c r="E18" s="6"/>
      <c r="F18" s="113"/>
    </row>
    <row r="19" spans="1:6" x14ac:dyDescent="0.2">
      <c r="A19" s="2" t="s">
        <v>627</v>
      </c>
      <c r="B19" s="137"/>
      <c r="C19" s="113"/>
      <c r="D19" s="6"/>
      <c r="E19" s="6"/>
      <c r="F19" s="113"/>
    </row>
    <row r="20" spans="1:6" x14ac:dyDescent="0.2">
      <c r="A20" s="2" t="s">
        <v>628</v>
      </c>
      <c r="B20" s="137"/>
      <c r="C20" s="113"/>
      <c r="D20" s="6"/>
      <c r="E20" s="6"/>
      <c r="F20" s="113"/>
    </row>
    <row r="21" spans="1:6" x14ac:dyDescent="0.2">
      <c r="A21" s="2" t="s">
        <v>629</v>
      </c>
      <c r="B21" s="137"/>
      <c r="C21" s="113"/>
      <c r="D21" s="6"/>
      <c r="E21" s="6"/>
      <c r="F21" s="113"/>
    </row>
    <row r="22" spans="1:6" x14ac:dyDescent="0.2">
      <c r="A22" s="2" t="s">
        <v>630</v>
      </c>
      <c r="B22" s="137"/>
      <c r="C22" s="113"/>
      <c r="D22" s="6"/>
      <c r="E22" s="6"/>
      <c r="F22" s="113"/>
    </row>
    <row r="23" spans="1:6" x14ac:dyDescent="0.2">
      <c r="A23" s="219"/>
      <c r="B23" s="496" t="s">
        <v>617</v>
      </c>
      <c r="C23" s="113"/>
      <c r="D23" s="497"/>
      <c r="E23" s="497"/>
      <c r="F23" s="113"/>
    </row>
    <row r="24" spans="1:6" x14ac:dyDescent="0.2">
      <c r="A24" s="2">
        <v>3</v>
      </c>
      <c r="C24" s="12" t="s">
        <v>4</v>
      </c>
      <c r="D24" s="7">
        <f>SUM(D15:D22)</f>
        <v>9942155</v>
      </c>
      <c r="E24" s="7">
        <f>SUM(E15:E22)</f>
        <v>9942155</v>
      </c>
      <c r="F24" s="13" t="s">
        <v>632</v>
      </c>
    </row>
    <row r="25" spans="1:6" x14ac:dyDescent="0.2">
      <c r="C25" s="12"/>
    </row>
    <row r="26" spans="1:6" x14ac:dyDescent="0.2">
      <c r="C26" s="12"/>
      <c r="D26" s="3" t="s">
        <v>459</v>
      </c>
      <c r="E26" s="143" t="s">
        <v>458</v>
      </c>
      <c r="F26" s="146" t="s">
        <v>207</v>
      </c>
    </row>
    <row r="27" spans="1:6" x14ac:dyDescent="0.2">
      <c r="A27" s="2">
        <v>4</v>
      </c>
      <c r="B27" s="12" t="s">
        <v>460</v>
      </c>
      <c r="C27" s="12"/>
      <c r="D27" s="6">
        <v>0</v>
      </c>
      <c r="E27" s="6">
        <v>0</v>
      </c>
      <c r="F27" s="47" t="s">
        <v>457</v>
      </c>
    </row>
    <row r="28" spans="1:6" x14ac:dyDescent="0.2">
      <c r="A28" s="2">
        <v>5</v>
      </c>
      <c r="B28" s="12" t="s">
        <v>352</v>
      </c>
      <c r="D28" s="147">
        <f>Allocators!G15</f>
        <v>3.9310790220978262E-2</v>
      </c>
      <c r="E28" s="147">
        <f>Allocators!G15</f>
        <v>3.9310790220978262E-2</v>
      </c>
      <c r="F28" s="13" t="str">
        <f>"Allocators WS, L "&amp;Allocators!A15&amp;""</f>
        <v>Allocators WS, L 9</v>
      </c>
    </row>
    <row r="29" spans="1:6" x14ac:dyDescent="0.2">
      <c r="A29" s="2">
        <v>6</v>
      </c>
      <c r="B29" s="12" t="s">
        <v>468</v>
      </c>
      <c r="C29" s="12"/>
      <c r="D29" s="67">
        <f>D27*D28</f>
        <v>0</v>
      </c>
      <c r="E29" s="67">
        <f>E27*E28</f>
        <v>0</v>
      </c>
      <c r="F29" s="13" t="str">
        <f>"L "&amp;A27&amp;" * L "&amp;A28&amp;""</f>
        <v>L 4 * L 5</v>
      </c>
    </row>
    <row r="30" spans="1:6" x14ac:dyDescent="0.2">
      <c r="C30" s="12"/>
    </row>
    <row r="31" spans="1:6" x14ac:dyDescent="0.2">
      <c r="B31" s="12" t="s">
        <v>465</v>
      </c>
    </row>
    <row r="32" spans="1:6" x14ac:dyDescent="0.2">
      <c r="C32" s="32"/>
      <c r="D32" s="33"/>
      <c r="E32" s="35"/>
    </row>
    <row r="33" spans="1:8" x14ac:dyDescent="0.2">
      <c r="D33" s="3" t="s">
        <v>459</v>
      </c>
      <c r="E33" s="143" t="s">
        <v>458</v>
      </c>
      <c r="F33" s="146" t="s">
        <v>207</v>
      </c>
    </row>
    <row r="34" spans="1:8" x14ac:dyDescent="0.2">
      <c r="A34" s="2">
        <v>7</v>
      </c>
      <c r="C34" s="12"/>
      <c r="D34" s="6">
        <v>6319592</v>
      </c>
      <c r="E34" s="6">
        <v>6319592</v>
      </c>
      <c r="F34" s="13" t="s">
        <v>418</v>
      </c>
    </row>
    <row r="37" spans="1:8" x14ac:dyDescent="0.2">
      <c r="B37" s="12" t="s">
        <v>469</v>
      </c>
      <c r="D37" s="3" t="s">
        <v>459</v>
      </c>
      <c r="E37" s="143" t="s">
        <v>458</v>
      </c>
      <c r="F37" s="146" t="s">
        <v>207</v>
      </c>
    </row>
    <row r="38" spans="1:8" x14ac:dyDescent="0.2">
      <c r="A38" s="2">
        <v>8</v>
      </c>
      <c r="D38" s="120">
        <f>D24+D29</f>
        <v>9942155</v>
      </c>
      <c r="E38" s="120">
        <f>E24+E29</f>
        <v>9942155</v>
      </c>
      <c r="F38" s="13" t="str">
        <f>"L "&amp;A24&amp;" + L "&amp;A29&amp;""</f>
        <v>L 3 + L 6</v>
      </c>
    </row>
    <row r="39" spans="1:8" x14ac:dyDescent="0.2">
      <c r="A39" s="2"/>
      <c r="D39" s="120"/>
      <c r="E39" s="120"/>
      <c r="F39" s="13"/>
    </row>
    <row r="40" spans="1:8" x14ac:dyDescent="0.2">
      <c r="B40" t="s">
        <v>471</v>
      </c>
    </row>
    <row r="41" spans="1:8" x14ac:dyDescent="0.2">
      <c r="A41" s="2">
        <v>9</v>
      </c>
      <c r="B41" s="12" t="s">
        <v>469</v>
      </c>
      <c r="D41" s="1064">
        <f>D38+E38/2</f>
        <v>14913232.5</v>
      </c>
      <c r="E41" s="120"/>
      <c r="F41" s="13" t="str">
        <f>"Sum of Line "&amp;A38&amp;" / 2"</f>
        <v>Sum of Line 8 / 2</v>
      </c>
      <c r="G41" s="685"/>
      <c r="H41" s="1064"/>
    </row>
    <row r="42" spans="1:8" x14ac:dyDescent="0.2">
      <c r="B42" s="12"/>
    </row>
    <row r="43" spans="1:8" x14ac:dyDescent="0.2">
      <c r="B43" s="1" t="s">
        <v>602</v>
      </c>
      <c r="C43" s="12"/>
    </row>
    <row r="44" spans="1:8" x14ac:dyDescent="0.2">
      <c r="C44" s="12"/>
    </row>
    <row r="45" spans="1:8" x14ac:dyDescent="0.2">
      <c r="A45" s="2"/>
      <c r="F45" s="146" t="s">
        <v>207</v>
      </c>
    </row>
    <row r="46" spans="1:8" x14ac:dyDescent="0.2">
      <c r="A46" s="2">
        <v>10</v>
      </c>
      <c r="B46" s="12" t="s">
        <v>601</v>
      </c>
      <c r="E46" s="127">
        <v>0</v>
      </c>
      <c r="F46" s="13" t="s">
        <v>35</v>
      </c>
    </row>
    <row r="49" spans="2:2" x14ac:dyDescent="0.2">
      <c r="B49" s="1" t="s">
        <v>445</v>
      </c>
    </row>
    <row r="50" spans="2:2" x14ac:dyDescent="0.2">
      <c r="B50" s="12" t="s">
        <v>462</v>
      </c>
    </row>
    <row r="51" spans="2:2" x14ac:dyDescent="0.2">
      <c r="B51" s="12" t="s">
        <v>1476</v>
      </c>
    </row>
    <row r="52" spans="2:2" x14ac:dyDescent="0.2">
      <c r="B52" s="12" t="s">
        <v>1477</v>
      </c>
    </row>
    <row r="53" spans="2:2" x14ac:dyDescent="0.2">
      <c r="B53" s="12" t="s">
        <v>631</v>
      </c>
    </row>
    <row r="54" spans="2:2" x14ac:dyDescent="0.2">
      <c r="B54" s="12" t="str">
        <f>"2) For any Electric Plant Held for Future Use classified as General note amount on Line "&amp;A27&amp;"."</f>
        <v>2) For any Electric Plant Held for Future Use classified as General note amount on Line 4.</v>
      </c>
    </row>
    <row r="55" spans="2:2" x14ac:dyDescent="0.2">
      <c r="B55" s="12" t="s">
        <v>1478</v>
      </c>
    </row>
    <row r="56" spans="2:2" x14ac:dyDescent="0.2">
      <c r="B56" s="12" t="s">
        <v>463</v>
      </c>
    </row>
    <row r="57" spans="2:2" x14ac:dyDescent="0.2">
      <c r="B57" s="683" t="s">
        <v>2135</v>
      </c>
    </row>
    <row r="58" spans="2:2" x14ac:dyDescent="0.2">
      <c r="B58" s="12" t="s">
        <v>1475</v>
      </c>
    </row>
    <row r="59" spans="2:2" x14ac:dyDescent="0.2">
      <c r="B59" s="12"/>
    </row>
    <row r="60" spans="2:2" x14ac:dyDescent="0.2">
      <c r="B60" s="1" t="s">
        <v>269</v>
      </c>
    </row>
    <row r="61" spans="2:2" x14ac:dyDescent="0.2">
      <c r="B61" s="12" t="s">
        <v>1490</v>
      </c>
    </row>
  </sheetData>
  <pageMargins left="0.7" right="0.7" top="0.75" bottom="0.75" header="0.3" footer="0.3"/>
  <pageSetup scale="80" orientation="portrait" r:id="rId1"/>
  <headerFooter>
    <oddHeader>&amp;CSchedule 11
Plant Held for Future Use&amp;RDkt. No. ER11-3697
2014 Draft Informational Filing</oddHeader>
    <oddFooter>&amp;RPHFU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activeCell="J8" sqref="J8"/>
    </sheetView>
  </sheetViews>
  <sheetFormatPr defaultRowHeight="12.75" x14ac:dyDescent="0.2"/>
  <cols>
    <col min="1" max="1" width="4.7109375" customWidth="1"/>
    <col min="2" max="2" width="5.7109375" customWidth="1"/>
    <col min="3" max="10" width="12.7109375" customWidth="1"/>
  </cols>
  <sheetData>
    <row r="1" spans="1:10" x14ac:dyDescent="0.2">
      <c r="A1" s="1" t="s">
        <v>338</v>
      </c>
    </row>
    <row r="2" spans="1:10" x14ac:dyDescent="0.2">
      <c r="I2" s="111" t="s">
        <v>286</v>
      </c>
      <c r="J2" s="111"/>
    </row>
    <row r="3" spans="1:10" x14ac:dyDescent="0.2">
      <c r="B3" t="s">
        <v>365</v>
      </c>
    </row>
    <row r="5" spans="1:10" x14ac:dyDescent="0.2">
      <c r="B5" t="s">
        <v>360</v>
      </c>
    </row>
    <row r="6" spans="1:10" x14ac:dyDescent="0.2">
      <c r="B6" t="s">
        <v>366</v>
      </c>
    </row>
    <row r="8" spans="1:10" x14ac:dyDescent="0.2">
      <c r="B8" s="12" t="s">
        <v>443</v>
      </c>
    </row>
    <row r="9" spans="1:10" x14ac:dyDescent="0.2">
      <c r="B9" s="12"/>
    </row>
    <row r="10" spans="1:10" x14ac:dyDescent="0.2">
      <c r="B10" s="12" t="s">
        <v>441</v>
      </c>
    </row>
    <row r="11" spans="1:10" x14ac:dyDescent="0.2">
      <c r="B11" s="12" t="s">
        <v>442</v>
      </c>
    </row>
    <row r="12" spans="1:10" x14ac:dyDescent="0.2">
      <c r="B12" s="12"/>
      <c r="G12" s="2" t="s">
        <v>444</v>
      </c>
    </row>
    <row r="13" spans="1:10" x14ac:dyDescent="0.2">
      <c r="A13" s="53" t="s">
        <v>380</v>
      </c>
      <c r="G13" s="3" t="s">
        <v>79</v>
      </c>
      <c r="I13" s="53" t="s">
        <v>275</v>
      </c>
    </row>
    <row r="14" spans="1:10" x14ac:dyDescent="0.2">
      <c r="A14" s="2">
        <v>1</v>
      </c>
      <c r="F14" s="37" t="s">
        <v>361</v>
      </c>
      <c r="G14" s="67">
        <f>D27</f>
        <v>11028000</v>
      </c>
      <c r="I14" s="12" t="s">
        <v>453</v>
      </c>
    </row>
    <row r="15" spans="1:10" x14ac:dyDescent="0.2">
      <c r="A15" s="2">
        <v>2</v>
      </c>
      <c r="F15" s="110" t="s">
        <v>447</v>
      </c>
      <c r="G15" s="67">
        <f>C26</f>
        <v>11028000</v>
      </c>
      <c r="I15" s="12" t="s">
        <v>453</v>
      </c>
    </row>
    <row r="16" spans="1:10" x14ac:dyDescent="0.2">
      <c r="A16" s="2">
        <v>3</v>
      </c>
      <c r="F16" s="37" t="s">
        <v>363</v>
      </c>
      <c r="G16" s="67">
        <f>C27</f>
        <v>0</v>
      </c>
      <c r="I16" s="12" t="s">
        <v>453</v>
      </c>
    </row>
    <row r="17" spans="1:10" x14ac:dyDescent="0.2">
      <c r="A17" s="2">
        <v>4</v>
      </c>
      <c r="F17" s="37" t="s">
        <v>364</v>
      </c>
      <c r="G17" s="67">
        <f>AVERAGE(G15:G16)</f>
        <v>5514000</v>
      </c>
      <c r="I17" s="12" t="str">
        <f>"Average of Lines "&amp;A15&amp;" and "&amp;A16&amp;"."</f>
        <v>Average of Lines 2 and 3.</v>
      </c>
    </row>
    <row r="18" spans="1:10" x14ac:dyDescent="0.2">
      <c r="I18" s="12"/>
    </row>
    <row r="20" spans="1:10" x14ac:dyDescent="0.2">
      <c r="A20" s="2">
        <v>5</v>
      </c>
      <c r="C20" s="1" t="s">
        <v>615</v>
      </c>
      <c r="D20" s="137" t="s">
        <v>2393</v>
      </c>
      <c r="F20" s="178" t="s">
        <v>618</v>
      </c>
      <c r="G20" s="137" t="s">
        <v>616</v>
      </c>
      <c r="I20" s="178" t="s">
        <v>619</v>
      </c>
      <c r="J20" s="137" t="s">
        <v>616</v>
      </c>
    </row>
    <row r="22" spans="1:10" x14ac:dyDescent="0.2">
      <c r="D22" s="2" t="s">
        <v>438</v>
      </c>
      <c r="G22" s="2" t="s">
        <v>438</v>
      </c>
      <c r="J22" s="2" t="s">
        <v>438</v>
      </c>
    </row>
    <row r="23" spans="1:10" x14ac:dyDescent="0.2">
      <c r="C23" s="2" t="s">
        <v>349</v>
      </c>
      <c r="D23" s="2" t="s">
        <v>439</v>
      </c>
      <c r="F23" s="2" t="s">
        <v>349</v>
      </c>
      <c r="G23" s="2" t="s">
        <v>439</v>
      </c>
      <c r="I23" s="2" t="s">
        <v>349</v>
      </c>
      <c r="J23" s="2" t="s">
        <v>439</v>
      </c>
    </row>
    <row r="24" spans="1:10" x14ac:dyDescent="0.2">
      <c r="C24" s="2" t="s">
        <v>438</v>
      </c>
      <c r="D24" s="2" t="s">
        <v>440</v>
      </c>
      <c r="F24" s="2" t="s">
        <v>438</v>
      </c>
      <c r="G24" s="2" t="s">
        <v>440</v>
      </c>
      <c r="I24" s="2" t="s">
        <v>438</v>
      </c>
      <c r="J24" s="2" t="s">
        <v>440</v>
      </c>
    </row>
    <row r="25" spans="1:10" x14ac:dyDescent="0.2">
      <c r="A25" s="2"/>
      <c r="B25" s="3" t="s">
        <v>221</v>
      </c>
      <c r="C25" s="3" t="s">
        <v>439</v>
      </c>
      <c r="D25" s="3" t="s">
        <v>373</v>
      </c>
      <c r="F25" s="3" t="s">
        <v>439</v>
      </c>
      <c r="G25" s="3" t="s">
        <v>373</v>
      </c>
      <c r="I25" s="3" t="s">
        <v>439</v>
      </c>
      <c r="J25" s="3" t="s">
        <v>373</v>
      </c>
    </row>
    <row r="26" spans="1:10" x14ac:dyDescent="0.2">
      <c r="A26" s="2">
        <v>6</v>
      </c>
      <c r="B26">
        <v>2011</v>
      </c>
      <c r="C26" s="1021">
        <v>11028000</v>
      </c>
      <c r="D26" s="1022">
        <v>0</v>
      </c>
      <c r="F26" s="113"/>
      <c r="G26" s="113"/>
      <c r="I26" s="113"/>
      <c r="J26" s="113"/>
    </row>
    <row r="27" spans="1:10" x14ac:dyDescent="0.2">
      <c r="A27" s="2">
        <v>7</v>
      </c>
      <c r="B27">
        <v>2012</v>
      </c>
      <c r="C27" s="113">
        <v>0</v>
      </c>
      <c r="D27" s="1021">
        <v>11028000</v>
      </c>
      <c r="F27" s="113"/>
      <c r="G27" s="113"/>
      <c r="I27" s="113"/>
      <c r="J27" s="113"/>
    </row>
    <row r="28" spans="1:10" x14ac:dyDescent="0.2">
      <c r="A28" s="2">
        <v>8</v>
      </c>
      <c r="B28">
        <v>2013</v>
      </c>
      <c r="C28" s="113"/>
      <c r="D28" s="113"/>
      <c r="F28" s="113"/>
      <c r="G28" s="113"/>
      <c r="I28" s="113"/>
      <c r="J28" s="113"/>
    </row>
    <row r="29" spans="1:10" x14ac:dyDescent="0.2">
      <c r="A29" s="2">
        <v>9</v>
      </c>
      <c r="B29">
        <v>2014</v>
      </c>
      <c r="C29" s="113"/>
      <c r="D29" s="113"/>
      <c r="F29" s="113"/>
      <c r="G29" s="113"/>
      <c r="I29" s="113"/>
      <c r="J29" s="113"/>
    </row>
    <row r="30" spans="1:10" x14ac:dyDescent="0.2">
      <c r="A30" s="2">
        <v>10</v>
      </c>
      <c r="B30">
        <v>2015</v>
      </c>
      <c r="C30" s="113"/>
      <c r="D30" s="113"/>
      <c r="F30" s="113"/>
      <c r="G30" s="113"/>
      <c r="I30" s="113"/>
      <c r="J30" s="113"/>
    </row>
    <row r="31" spans="1:10" x14ac:dyDescent="0.2">
      <c r="A31" s="2">
        <v>11</v>
      </c>
      <c r="B31">
        <v>2016</v>
      </c>
      <c r="C31" s="113"/>
      <c r="D31" s="113"/>
      <c r="F31" s="113"/>
      <c r="G31" s="113"/>
      <c r="I31" s="113"/>
      <c r="J31" s="113"/>
    </row>
    <row r="32" spans="1:10" x14ac:dyDescent="0.2">
      <c r="A32" s="2">
        <v>12</v>
      </c>
      <c r="B32">
        <v>2017</v>
      </c>
      <c r="C32" s="113"/>
      <c r="D32" s="113"/>
      <c r="F32" s="113"/>
      <c r="G32" s="113"/>
      <c r="I32" s="113"/>
      <c r="J32" s="113"/>
    </row>
    <row r="33" spans="1:10" x14ac:dyDescent="0.2">
      <c r="A33" s="2">
        <v>13</v>
      </c>
      <c r="B33">
        <v>2018</v>
      </c>
      <c r="C33" s="113"/>
      <c r="D33" s="113"/>
      <c r="F33" s="113"/>
      <c r="G33" s="113"/>
      <c r="I33" s="113"/>
      <c r="J33" s="113"/>
    </row>
    <row r="34" spans="1:10" x14ac:dyDescent="0.2">
      <c r="A34" s="2">
        <v>14</v>
      </c>
      <c r="B34">
        <v>2019</v>
      </c>
      <c r="C34" s="113"/>
      <c r="D34" s="113"/>
      <c r="F34" s="113"/>
      <c r="G34" s="113"/>
      <c r="I34" s="113"/>
      <c r="J34" s="113"/>
    </row>
    <row r="35" spans="1:10" x14ac:dyDescent="0.2">
      <c r="A35" s="2">
        <v>15</v>
      </c>
      <c r="B35">
        <v>2020</v>
      </c>
      <c r="C35" s="113"/>
      <c r="D35" s="113"/>
      <c r="F35" s="113"/>
      <c r="G35" s="113"/>
      <c r="I35" s="113"/>
      <c r="J35" s="113"/>
    </row>
    <row r="36" spans="1:10" x14ac:dyDescent="0.2">
      <c r="A36" s="2">
        <v>16</v>
      </c>
      <c r="B36">
        <v>2021</v>
      </c>
      <c r="C36" s="113"/>
      <c r="D36" s="113"/>
      <c r="F36" s="113"/>
      <c r="G36" s="113"/>
      <c r="I36" s="113"/>
      <c r="J36" s="113"/>
    </row>
    <row r="37" spans="1:10" x14ac:dyDescent="0.2">
      <c r="A37" s="2">
        <v>17</v>
      </c>
      <c r="B37">
        <v>2022</v>
      </c>
      <c r="C37" s="113"/>
      <c r="D37" s="113"/>
      <c r="F37" s="113"/>
      <c r="G37" s="113"/>
      <c r="I37" s="113"/>
      <c r="J37" s="113"/>
    </row>
    <row r="38" spans="1:10" x14ac:dyDescent="0.2">
      <c r="A38" s="2">
        <v>18</v>
      </c>
      <c r="B38">
        <v>2023</v>
      </c>
      <c r="C38" s="113"/>
      <c r="D38" s="113"/>
      <c r="F38" s="113"/>
      <c r="G38" s="113"/>
      <c r="I38" s="113"/>
      <c r="J38" s="113"/>
    </row>
    <row r="39" spans="1:10" x14ac:dyDescent="0.2">
      <c r="A39" s="2">
        <v>19</v>
      </c>
      <c r="B39">
        <v>2024</v>
      </c>
      <c r="C39" s="113"/>
      <c r="D39" s="113"/>
      <c r="F39" s="113"/>
      <c r="G39" s="113"/>
      <c r="I39" s="113"/>
      <c r="J39" s="113"/>
    </row>
    <row r="40" spans="1:10" x14ac:dyDescent="0.2">
      <c r="A40" s="2">
        <v>20</v>
      </c>
      <c r="B40">
        <v>2025</v>
      </c>
      <c r="C40" s="113"/>
      <c r="D40" s="113"/>
      <c r="F40" s="113"/>
      <c r="G40" s="113"/>
      <c r="I40" s="113"/>
      <c r="J40" s="113"/>
    </row>
    <row r="41" spans="1:10" x14ac:dyDescent="0.2">
      <c r="A41" s="2">
        <v>21</v>
      </c>
      <c r="B41">
        <v>2026</v>
      </c>
      <c r="C41" s="113"/>
      <c r="D41" s="113"/>
      <c r="F41" s="113"/>
      <c r="G41" s="113"/>
      <c r="I41" s="113"/>
      <c r="J41" s="113"/>
    </row>
    <row r="42" spans="1:10" x14ac:dyDescent="0.2">
      <c r="A42" s="2">
        <v>22</v>
      </c>
      <c r="B42">
        <v>2027</v>
      </c>
      <c r="C42" s="113"/>
      <c r="D42" s="113"/>
      <c r="F42" s="113"/>
      <c r="G42" s="113"/>
      <c r="I42" s="113"/>
      <c r="J42" s="113"/>
    </row>
    <row r="43" spans="1:10" x14ac:dyDescent="0.2">
      <c r="A43" s="2">
        <v>23</v>
      </c>
      <c r="B43">
        <v>2028</v>
      </c>
      <c r="C43" s="113"/>
      <c r="D43" s="113"/>
      <c r="F43" s="113"/>
      <c r="G43" s="113"/>
      <c r="I43" s="113"/>
      <c r="J43" s="113"/>
    </row>
    <row r="44" spans="1:10" x14ac:dyDescent="0.2">
      <c r="A44" s="2">
        <v>24</v>
      </c>
      <c r="B44">
        <v>2029</v>
      </c>
      <c r="C44" s="113"/>
      <c r="D44" s="113"/>
      <c r="F44" s="113"/>
      <c r="G44" s="113"/>
      <c r="I44" s="113"/>
      <c r="J44" s="113"/>
    </row>
    <row r="45" spans="1:10" x14ac:dyDescent="0.2">
      <c r="A45" s="2">
        <v>25</v>
      </c>
      <c r="B45">
        <v>2030</v>
      </c>
      <c r="C45" s="113"/>
      <c r="D45" s="113"/>
      <c r="F45" s="113"/>
      <c r="G45" s="113"/>
      <c r="I45" s="113"/>
      <c r="J45" s="113"/>
    </row>
    <row r="46" spans="1:10" x14ac:dyDescent="0.2">
      <c r="A46" s="2">
        <v>26</v>
      </c>
      <c r="B46">
        <v>2031</v>
      </c>
      <c r="C46" s="113"/>
      <c r="D46" s="113"/>
      <c r="F46" s="113"/>
      <c r="G46" s="113"/>
      <c r="I46" s="113"/>
      <c r="J46" s="113"/>
    </row>
    <row r="47" spans="1:10" x14ac:dyDescent="0.2">
      <c r="A47" s="2">
        <v>27</v>
      </c>
      <c r="B47">
        <v>2032</v>
      </c>
      <c r="C47" s="113"/>
      <c r="D47" s="113"/>
      <c r="F47" s="113"/>
      <c r="G47" s="113"/>
      <c r="I47" s="113"/>
      <c r="J47" s="113"/>
    </row>
    <row r="48" spans="1:10" x14ac:dyDescent="0.2">
      <c r="A48" s="2">
        <v>28</v>
      </c>
      <c r="B48">
        <v>2033</v>
      </c>
      <c r="C48" s="113"/>
      <c r="D48" s="113"/>
      <c r="F48" s="113"/>
      <c r="G48" s="113"/>
      <c r="I48" s="113"/>
      <c r="J48" s="113"/>
    </row>
    <row r="49" spans="1:10" x14ac:dyDescent="0.2">
      <c r="A49" s="2">
        <v>29</v>
      </c>
      <c r="B49">
        <v>2034</v>
      </c>
      <c r="C49" s="113"/>
      <c r="D49" s="113"/>
      <c r="F49" s="113"/>
      <c r="G49" s="113"/>
      <c r="I49" s="113"/>
      <c r="J49" s="113"/>
    </row>
    <row r="50" spans="1:10" x14ac:dyDescent="0.2">
      <c r="A50" s="2">
        <v>30</v>
      </c>
      <c r="B50">
        <v>2035</v>
      </c>
      <c r="C50" s="113"/>
      <c r="D50" s="113"/>
      <c r="F50" s="113"/>
      <c r="G50" s="113"/>
      <c r="I50" s="113"/>
      <c r="J50" s="113"/>
    </row>
    <row r="51" spans="1:10" x14ac:dyDescent="0.2">
      <c r="A51" s="2">
        <v>31</v>
      </c>
      <c r="B51" s="179" t="s">
        <v>617</v>
      </c>
    </row>
    <row r="52" spans="1:10" x14ac:dyDescent="0.2">
      <c r="A52" s="2"/>
      <c r="B52" s="179"/>
    </row>
    <row r="53" spans="1:10" x14ac:dyDescent="0.2">
      <c r="A53" s="2"/>
      <c r="B53" s="1" t="s">
        <v>445</v>
      </c>
    </row>
    <row r="54" spans="1:10" x14ac:dyDescent="0.2">
      <c r="A54" s="2"/>
      <c r="B54" s="12" t="s">
        <v>446</v>
      </c>
    </row>
    <row r="55" spans="1:10" x14ac:dyDescent="0.2">
      <c r="A55" s="2"/>
      <c r="B55" s="13" t="s">
        <v>1463</v>
      </c>
    </row>
    <row r="56" spans="1:10" x14ac:dyDescent="0.2">
      <c r="A56" s="2"/>
      <c r="B56" s="13" t="s">
        <v>622</v>
      </c>
    </row>
    <row r="57" spans="1:10" x14ac:dyDescent="0.2">
      <c r="A57" s="2"/>
      <c r="B57" s="13" t="s">
        <v>451</v>
      </c>
    </row>
    <row r="58" spans="1:10" x14ac:dyDescent="0.2">
      <c r="A58" s="2"/>
      <c r="B58" s="13" t="s">
        <v>452</v>
      </c>
    </row>
    <row r="59" spans="1:10" x14ac:dyDescent="0.2">
      <c r="A59" s="2"/>
      <c r="B59" s="13" t="s">
        <v>449</v>
      </c>
    </row>
    <row r="60" spans="1:10" x14ac:dyDescent="0.2">
      <c r="A60" s="2"/>
      <c r="B60" s="136" t="s">
        <v>620</v>
      </c>
    </row>
    <row r="61" spans="1:10" x14ac:dyDescent="0.2">
      <c r="B61" s="12" t="s">
        <v>450</v>
      </c>
    </row>
    <row r="62" spans="1:10" x14ac:dyDescent="0.2">
      <c r="B62" s="12" t="s">
        <v>621</v>
      </c>
    </row>
  </sheetData>
  <pageMargins left="0.7" right="0.7" top="0.75" bottom="0.75" header="0.3" footer="0.3"/>
  <pageSetup scale="80" orientation="portrait" r:id="rId1"/>
  <headerFooter>
    <oddHeader>&amp;CSchedule 12
Abandoned Plant&amp;RDkt. No. ER11-3697
2014 Draft Informational Filing</oddHeader>
    <oddFooter>&amp;R&amp;A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activeCell="C16" sqref="C16"/>
    </sheetView>
  </sheetViews>
  <sheetFormatPr defaultRowHeight="12.75" x14ac:dyDescent="0.2"/>
  <cols>
    <col min="1" max="1" width="4.7109375" customWidth="1"/>
    <col min="2" max="2" width="3.7109375" customWidth="1"/>
    <col min="3" max="3" width="14.7109375" customWidth="1"/>
    <col min="4" max="4" width="8.7109375" customWidth="1"/>
    <col min="5" max="5" width="15.28515625" customWidth="1"/>
    <col min="6" max="6" width="24.7109375" customWidth="1"/>
    <col min="7" max="7" width="35.7109375" customWidth="1"/>
  </cols>
  <sheetData>
    <row r="1" spans="1:7" x14ac:dyDescent="0.2">
      <c r="A1" s="1" t="s">
        <v>6</v>
      </c>
    </row>
    <row r="2" spans="1:7" x14ac:dyDescent="0.2">
      <c r="F2" s="44" t="s">
        <v>19</v>
      </c>
    </row>
    <row r="3" spans="1:7" x14ac:dyDescent="0.2">
      <c r="B3" s="1" t="s">
        <v>186</v>
      </c>
    </row>
    <row r="4" spans="1:7" x14ac:dyDescent="0.2">
      <c r="C4" s="12" t="s">
        <v>672</v>
      </c>
      <c r="E4" s="18"/>
      <c r="F4" s="28"/>
      <c r="G4" s="27"/>
    </row>
    <row r="5" spans="1:7" x14ac:dyDescent="0.2">
      <c r="C5" s="12" t="s">
        <v>673</v>
      </c>
      <c r="E5" s="18"/>
      <c r="F5" s="28"/>
      <c r="G5" s="27"/>
    </row>
    <row r="6" spans="1:7" x14ac:dyDescent="0.2">
      <c r="E6" s="18"/>
      <c r="F6" s="84"/>
      <c r="G6" s="27"/>
    </row>
    <row r="7" spans="1:7" x14ac:dyDescent="0.2">
      <c r="C7" s="21"/>
      <c r="D7" s="17"/>
      <c r="E7" s="26" t="s">
        <v>222</v>
      </c>
      <c r="F7" s="26" t="s">
        <v>2194</v>
      </c>
      <c r="G7" s="26"/>
    </row>
    <row r="8" spans="1:7" x14ac:dyDescent="0.2">
      <c r="A8" s="55" t="s">
        <v>369</v>
      </c>
      <c r="C8" s="25" t="s">
        <v>220</v>
      </c>
      <c r="D8" s="25" t="s">
        <v>221</v>
      </c>
      <c r="E8" s="25" t="s">
        <v>207</v>
      </c>
      <c r="F8" s="31" t="s">
        <v>2193</v>
      </c>
      <c r="G8" s="29" t="s">
        <v>196</v>
      </c>
    </row>
    <row r="9" spans="1:7" x14ac:dyDescent="0.2">
      <c r="A9" s="2">
        <v>1</v>
      </c>
      <c r="C9" s="19" t="s">
        <v>208</v>
      </c>
      <c r="D9" s="171">
        <v>2011</v>
      </c>
      <c r="E9" s="30" t="s">
        <v>671</v>
      </c>
      <c r="F9" s="70">
        <v>326272689</v>
      </c>
      <c r="G9" s="30" t="s">
        <v>101</v>
      </c>
    </row>
    <row r="10" spans="1:7" x14ac:dyDescent="0.2">
      <c r="A10" s="2">
        <f>A9+1</f>
        <v>2</v>
      </c>
      <c r="C10" s="21" t="s">
        <v>208</v>
      </c>
      <c r="D10" s="171">
        <v>2012</v>
      </c>
      <c r="E10" s="30" t="s">
        <v>670</v>
      </c>
      <c r="F10" s="70">
        <v>319397011</v>
      </c>
      <c r="G10" s="16" t="s">
        <v>107</v>
      </c>
    </row>
    <row r="11" spans="1:7" x14ac:dyDescent="0.2">
      <c r="C11" s="22"/>
      <c r="D11" s="22"/>
      <c r="E11" s="18"/>
      <c r="F11" s="7"/>
      <c r="G11" s="30"/>
    </row>
    <row r="12" spans="1:7" x14ac:dyDescent="0.2">
      <c r="A12" s="2">
        <f>A10+1</f>
        <v>3</v>
      </c>
      <c r="C12" s="22"/>
      <c r="D12" s="22"/>
      <c r="E12" s="34" t="s">
        <v>674</v>
      </c>
      <c r="F12" s="33">
        <f>(F9+F10)/2</f>
        <v>322834850</v>
      </c>
      <c r="G12" s="16" t="str">
        <f>"(Line "&amp;A9&amp;" + Line "&amp;A10&amp;") / 2"</f>
        <v>(Line 1 + Line 2) / 2</v>
      </c>
    </row>
    <row r="13" spans="1:7" x14ac:dyDescent="0.2">
      <c r="A13" s="2">
        <f>A12+1</f>
        <v>4</v>
      </c>
      <c r="C13" s="22"/>
      <c r="D13" s="22"/>
      <c r="E13" s="34" t="s">
        <v>359</v>
      </c>
      <c r="F13" s="129">
        <f>Allocators!G15</f>
        <v>3.9310790220978262E-2</v>
      </c>
      <c r="G13" s="16" t="str">
        <f>"Allocators WS, Line "&amp;Allocators!A15&amp;""</f>
        <v>Allocators WS, Line 9</v>
      </c>
    </row>
    <row r="14" spans="1:7" x14ac:dyDescent="0.2">
      <c r="D14" s="22"/>
      <c r="E14" s="34"/>
      <c r="F14" s="33"/>
      <c r="G14" s="16"/>
    </row>
    <row r="15" spans="1:7" x14ac:dyDescent="0.2">
      <c r="A15" s="2">
        <f>A13+1</f>
        <v>5</v>
      </c>
      <c r="C15" s="22" t="s">
        <v>109</v>
      </c>
      <c r="D15" s="22"/>
      <c r="E15" s="110" t="s">
        <v>180</v>
      </c>
      <c r="F15" s="33">
        <f>F10*F13</f>
        <v>12555748.896628486</v>
      </c>
      <c r="G15" s="13" t="str">
        <f>"Line "&amp;A10&amp;" * Line "&amp;A13&amp;""</f>
        <v>Line 2 * Line 4</v>
      </c>
    </row>
    <row r="16" spans="1:7" x14ac:dyDescent="0.2">
      <c r="A16" s="2">
        <f>A15+1</f>
        <v>6</v>
      </c>
      <c r="C16" s="22"/>
      <c r="D16" s="22"/>
      <c r="E16" s="34" t="s">
        <v>100</v>
      </c>
      <c r="F16" s="33">
        <f>F12*F13</f>
        <v>12690893.064370984</v>
      </c>
      <c r="G16" s="13" t="str">
        <f>"Line "&amp;A12&amp;" * Line "&amp;A13&amp;""</f>
        <v>Line 3 * Line 4</v>
      </c>
    </row>
    <row r="18" spans="1:7" x14ac:dyDescent="0.2">
      <c r="B18" s="1" t="s">
        <v>183</v>
      </c>
    </row>
    <row r="19" spans="1:7" x14ac:dyDescent="0.2">
      <c r="C19" t="s">
        <v>7</v>
      </c>
      <c r="E19" s="18"/>
      <c r="F19" s="28"/>
      <c r="G19" s="27"/>
    </row>
    <row r="20" spans="1:7" x14ac:dyDescent="0.2">
      <c r="C20" t="s">
        <v>182</v>
      </c>
      <c r="E20" s="18"/>
      <c r="F20" s="28"/>
      <c r="G20" s="27"/>
    </row>
    <row r="21" spans="1:7" x14ac:dyDescent="0.2">
      <c r="C21" s="21"/>
      <c r="D21" s="17"/>
      <c r="E21" s="26" t="s">
        <v>222</v>
      </c>
      <c r="F21" s="84" t="s">
        <v>282</v>
      </c>
      <c r="G21" s="26"/>
    </row>
    <row r="22" spans="1:7" x14ac:dyDescent="0.2">
      <c r="C22" s="25" t="s">
        <v>220</v>
      </c>
      <c r="D22" s="25" t="s">
        <v>221</v>
      </c>
      <c r="E22" s="25" t="s">
        <v>207</v>
      </c>
      <c r="F22" s="31" t="s">
        <v>2</v>
      </c>
      <c r="G22" s="29" t="s">
        <v>196</v>
      </c>
    </row>
    <row r="23" spans="1:7" x14ac:dyDescent="0.2">
      <c r="A23" s="2">
        <f>A16+1</f>
        <v>7</v>
      </c>
      <c r="C23" s="19" t="s">
        <v>208</v>
      </c>
      <c r="D23" s="171">
        <v>2011</v>
      </c>
      <c r="E23" s="30" t="s">
        <v>187</v>
      </c>
      <c r="F23" s="33">
        <f>F41</f>
        <v>53865316</v>
      </c>
      <c r="G23" s="736" t="str">
        <f>"See Note 1, "&amp;B41&amp;""</f>
        <v>See Note 1, c</v>
      </c>
    </row>
    <row r="24" spans="1:7" x14ac:dyDescent="0.2">
      <c r="A24" s="2">
        <f>A23+1</f>
        <v>8</v>
      </c>
      <c r="C24" s="21" t="s">
        <v>208</v>
      </c>
      <c r="D24" s="171">
        <v>2012</v>
      </c>
      <c r="E24" s="30" t="s">
        <v>188</v>
      </c>
      <c r="F24" s="33">
        <f>F47</f>
        <v>53055460</v>
      </c>
      <c r="G24" s="736" t="str">
        <f>"See Note 1, "&amp;B47&amp;""</f>
        <v>See Note 1, f</v>
      </c>
    </row>
    <row r="25" spans="1:7" x14ac:dyDescent="0.2">
      <c r="C25" s="21"/>
      <c r="D25" s="24"/>
      <c r="E25" s="23"/>
      <c r="F25" s="33"/>
      <c r="G25" s="16"/>
    </row>
    <row r="26" spans="1:7" x14ac:dyDescent="0.2">
      <c r="C26" s="22" t="s">
        <v>280</v>
      </c>
      <c r="D26" s="22"/>
      <c r="E26" s="18"/>
      <c r="G26" s="30"/>
    </row>
    <row r="27" spans="1:7" x14ac:dyDescent="0.2">
      <c r="A27" s="2">
        <f>A24+1</f>
        <v>9</v>
      </c>
      <c r="C27" s="22"/>
      <c r="D27" s="22"/>
      <c r="E27" s="34" t="s">
        <v>100</v>
      </c>
      <c r="F27" s="33">
        <f>(F23+F24)/2</f>
        <v>53460388</v>
      </c>
      <c r="G27" s="16" t="str">
        <f>"(Line "&amp;A23&amp;" + Line "&amp;A24&amp;") / 2"</f>
        <v>(Line 7 + Line 8) / 2</v>
      </c>
    </row>
    <row r="28" spans="1:7" x14ac:dyDescent="0.2">
      <c r="A28" s="2">
        <f>A27+1</f>
        <v>10</v>
      </c>
      <c r="C28" s="22"/>
      <c r="D28" s="22"/>
      <c r="E28" s="32" t="s">
        <v>112</v>
      </c>
      <c r="F28" s="36">
        <f>Allocators!G28</f>
        <v>0.10702566542980063</v>
      </c>
      <c r="G28" s="16" t="str">
        <f>"Allocators WS, Line "&amp;Allocators!A28&amp;""</f>
        <v>Allocators WS, Line 22</v>
      </c>
    </row>
    <row r="29" spans="1:7" x14ac:dyDescent="0.2">
      <c r="A29" s="2">
        <f>A28+1</f>
        <v>11</v>
      </c>
      <c r="C29" s="22"/>
      <c r="D29" s="22"/>
      <c r="E29" s="32" t="s">
        <v>189</v>
      </c>
      <c r="F29" s="33">
        <f>F27*F28</f>
        <v>5721633.5998353288</v>
      </c>
      <c r="G29" s="13" t="str">
        <f>"Line "&amp;A27&amp;" * Line "&amp;A28&amp;""</f>
        <v>Line 9 * Line 10</v>
      </c>
    </row>
    <row r="30" spans="1:7" x14ac:dyDescent="0.2">
      <c r="C30" s="22" t="s">
        <v>281</v>
      </c>
      <c r="D30" s="22"/>
      <c r="E30" s="18"/>
      <c r="G30" s="35"/>
    </row>
    <row r="31" spans="1:7" x14ac:dyDescent="0.2">
      <c r="A31" s="2">
        <f>A29+1</f>
        <v>12</v>
      </c>
      <c r="C31" s="22"/>
      <c r="D31" s="22"/>
      <c r="E31" s="34" t="s">
        <v>180</v>
      </c>
      <c r="F31" s="33">
        <f>F24</f>
        <v>53055460</v>
      </c>
      <c r="G31" s="35" t="str">
        <f>"Line "&amp;A24&amp;""</f>
        <v>Line 8</v>
      </c>
    </row>
    <row r="32" spans="1:7" x14ac:dyDescent="0.2">
      <c r="A32" s="2">
        <f>A31+1</f>
        <v>13</v>
      </c>
      <c r="C32" s="22"/>
      <c r="D32" s="22"/>
      <c r="E32" s="32" t="s">
        <v>112</v>
      </c>
      <c r="F32" s="36">
        <f>Allocators!G28</f>
        <v>0.10702566542980063</v>
      </c>
      <c r="G32" s="16" t="str">
        <f>"Allocators WS, Line "&amp;Allocators!A28&amp;""</f>
        <v>Allocators WS, Line 22</v>
      </c>
    </row>
    <row r="33" spans="1:8" x14ac:dyDescent="0.2">
      <c r="A33" s="2">
        <f>A32+1</f>
        <v>14</v>
      </c>
      <c r="C33" s="22"/>
      <c r="D33" s="22"/>
      <c r="E33" s="32" t="s">
        <v>189</v>
      </c>
      <c r="F33" s="33">
        <f>F31*F32</f>
        <v>5678295.9111841703</v>
      </c>
      <c r="G33" s="13" t="str">
        <f>"Line "&amp;A31&amp;" * Line "&amp;A32&amp;""</f>
        <v>Line 12 * Line 13</v>
      </c>
    </row>
    <row r="34" spans="1:8" x14ac:dyDescent="0.2">
      <c r="B34" s="53" t="s">
        <v>269</v>
      </c>
      <c r="C34" s="12"/>
    </row>
    <row r="35" spans="1:8" x14ac:dyDescent="0.2">
      <c r="B35" t="s">
        <v>2188</v>
      </c>
      <c r="C35" s="683" t="str">
        <f>"Remove any amounts related to years prior to the effective date of the formula on "&amp;B40&amp;" and "&amp;B46&amp;" below."</f>
        <v>Remove any amounts related to years prior to the effective date of the formula on b and e below.</v>
      </c>
    </row>
    <row r="36" spans="1:8" x14ac:dyDescent="0.2">
      <c r="A36" s="2"/>
      <c r="E36" s="110"/>
      <c r="F36" s="7"/>
      <c r="G36" s="480"/>
      <c r="H36" s="1"/>
    </row>
    <row r="37" spans="1:8" x14ac:dyDescent="0.2">
      <c r="A37" s="2"/>
      <c r="C37" s="683" t="s">
        <v>2189</v>
      </c>
      <c r="E37" s="110"/>
      <c r="F37" s="84" t="s">
        <v>110</v>
      </c>
      <c r="G37" s="135"/>
    </row>
    <row r="38" spans="1:8" x14ac:dyDescent="0.2">
      <c r="A38" s="2"/>
      <c r="E38" s="110"/>
      <c r="F38" s="31" t="s">
        <v>2</v>
      </c>
      <c r="G38" s="481" t="s">
        <v>207</v>
      </c>
    </row>
    <row r="39" spans="1:8" x14ac:dyDescent="0.2">
      <c r="A39" s="856"/>
      <c r="B39" s="859" t="s">
        <v>2202</v>
      </c>
      <c r="C39" s="19"/>
      <c r="E39" s="681" t="s">
        <v>2190</v>
      </c>
      <c r="F39" s="70">
        <v>111759392</v>
      </c>
      <c r="G39" s="30" t="s">
        <v>187</v>
      </c>
    </row>
    <row r="40" spans="1:8" x14ac:dyDescent="0.2">
      <c r="A40" s="856"/>
      <c r="B40" s="859" t="s">
        <v>2203</v>
      </c>
      <c r="E40" s="681" t="s">
        <v>2201</v>
      </c>
      <c r="F40" s="138">
        <v>57894076</v>
      </c>
      <c r="G40" s="687" t="s">
        <v>418</v>
      </c>
    </row>
    <row r="41" spans="1:8" x14ac:dyDescent="0.2">
      <c r="A41" s="856"/>
      <c r="B41" s="859" t="s">
        <v>2204</v>
      </c>
      <c r="E41" s="37" t="s">
        <v>2191</v>
      </c>
      <c r="F41" s="7">
        <f>F39-F40</f>
        <v>53865316</v>
      </c>
      <c r="G41" s="13" t="str">
        <f>""&amp;B39&amp;" - "&amp;B40&amp;""</f>
        <v>a - b</v>
      </c>
    </row>
    <row r="42" spans="1:8" x14ac:dyDescent="0.2">
      <c r="A42" s="856"/>
    </row>
    <row r="43" spans="1:8" x14ac:dyDescent="0.2">
      <c r="A43" s="856"/>
      <c r="C43" s="683" t="s">
        <v>2192</v>
      </c>
      <c r="E43" s="110"/>
      <c r="F43" s="84" t="s">
        <v>110</v>
      </c>
      <c r="G43" s="135"/>
    </row>
    <row r="44" spans="1:8" x14ac:dyDescent="0.2">
      <c r="A44" s="856"/>
      <c r="E44" s="110"/>
      <c r="F44" s="31" t="s">
        <v>2</v>
      </c>
      <c r="G44" s="481" t="s">
        <v>207</v>
      </c>
    </row>
    <row r="45" spans="1:8" x14ac:dyDescent="0.2">
      <c r="A45" s="856"/>
      <c r="B45" s="859" t="s">
        <v>2205</v>
      </c>
      <c r="C45" s="19"/>
      <c r="E45" s="681" t="s">
        <v>2190</v>
      </c>
      <c r="F45" s="70">
        <v>53055460</v>
      </c>
      <c r="G45" s="30" t="s">
        <v>188</v>
      </c>
    </row>
    <row r="46" spans="1:8" x14ac:dyDescent="0.2">
      <c r="A46" s="856"/>
      <c r="B46" s="859" t="s">
        <v>2206</v>
      </c>
      <c r="E46" s="681" t="s">
        <v>2201</v>
      </c>
      <c r="F46" s="138">
        <v>0</v>
      </c>
      <c r="G46" s="687" t="s">
        <v>418</v>
      </c>
    </row>
    <row r="47" spans="1:8" x14ac:dyDescent="0.2">
      <c r="A47" s="856"/>
      <c r="B47" s="859" t="s">
        <v>2207</v>
      </c>
      <c r="E47" s="37" t="s">
        <v>2191</v>
      </c>
      <c r="F47" s="7">
        <f>F45-F46</f>
        <v>53055460</v>
      </c>
      <c r="G47" s="13" t="str">
        <f>""&amp;B45&amp;" - "&amp;B46&amp;""</f>
        <v>d - e</v>
      </c>
    </row>
    <row r="51" spans="6:6" x14ac:dyDescent="0.2">
      <c r="F51" s="857"/>
    </row>
  </sheetData>
  <phoneticPr fontId="8" type="noConversion"/>
  <pageMargins left="0.75" right="0.75" top="1" bottom="1" header="0.5" footer="0.5"/>
  <pageSetup scale="80" orientation="landscape" r:id="rId1"/>
  <headerFooter alignWithMargins="0">
    <oddHeader>&amp;CSchedule 13
Working Capital&amp;RDkt. No. ER11-3697
2014 Draft Informational Filing</oddHeader>
    <oddFooter>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5"/>
  <sheetViews>
    <sheetView topLeftCell="A43" zoomScaleNormal="100" workbookViewId="0">
      <selection activeCell="K25" sqref="K25"/>
    </sheetView>
  </sheetViews>
  <sheetFormatPr defaultRowHeight="12.75" x14ac:dyDescent="0.2"/>
  <cols>
    <col min="1" max="1" width="4.7109375" customWidth="1"/>
    <col min="2" max="2" width="3.7109375" customWidth="1"/>
    <col min="3" max="3" width="16.7109375" customWidth="1"/>
    <col min="4" max="4" width="8.7109375" customWidth="1"/>
    <col min="5" max="8" width="15.7109375" customWidth="1"/>
    <col min="9" max="11" width="14.7109375" customWidth="1"/>
  </cols>
  <sheetData>
    <row r="1" spans="1:10" x14ac:dyDescent="0.2">
      <c r="A1" s="1" t="s">
        <v>284</v>
      </c>
    </row>
    <row r="2" spans="1:10" x14ac:dyDescent="0.2">
      <c r="A2" s="1" t="s">
        <v>285</v>
      </c>
    </row>
    <row r="3" spans="1:10" x14ac:dyDescent="0.2">
      <c r="B3" s="1"/>
      <c r="H3" s="217" t="s">
        <v>286</v>
      </c>
      <c r="I3" s="113"/>
      <c r="J3" s="58"/>
    </row>
    <row r="4" spans="1:10" x14ac:dyDescent="0.2">
      <c r="B4" s="1" t="s">
        <v>287</v>
      </c>
    </row>
    <row r="5" spans="1:10" x14ac:dyDescent="0.2">
      <c r="B5" s="57" t="s">
        <v>288</v>
      </c>
    </row>
    <row r="6" spans="1:10" x14ac:dyDescent="0.2">
      <c r="B6" s="57" t="s">
        <v>347</v>
      </c>
    </row>
    <row r="7" spans="1:10" x14ac:dyDescent="0.2">
      <c r="B7" s="123" t="s">
        <v>1179</v>
      </c>
    </row>
    <row r="8" spans="1:10" x14ac:dyDescent="0.2">
      <c r="B8" s="123" t="s">
        <v>1884</v>
      </c>
    </row>
    <row r="9" spans="1:10" x14ac:dyDescent="0.2">
      <c r="B9" s="123" t="s">
        <v>1885</v>
      </c>
      <c r="D9" s="1"/>
      <c r="E9" s="1"/>
    </row>
    <row r="10" spans="1:10" x14ac:dyDescent="0.2">
      <c r="B10" s="57"/>
    </row>
    <row r="11" spans="1:10" x14ac:dyDescent="0.2">
      <c r="B11" s="57"/>
      <c r="C11" s="12" t="s">
        <v>413</v>
      </c>
    </row>
    <row r="12" spans="1:10" x14ac:dyDescent="0.2">
      <c r="B12" s="57"/>
      <c r="C12" s="687" t="s">
        <v>1887</v>
      </c>
    </row>
    <row r="13" spans="1:10" x14ac:dyDescent="0.2">
      <c r="B13" s="57"/>
      <c r="C13" s="13" t="s">
        <v>1366</v>
      </c>
    </row>
    <row r="14" spans="1:10" x14ac:dyDescent="0.2">
      <c r="B14" s="57"/>
      <c r="C14" s="687" t="s">
        <v>1888</v>
      </c>
    </row>
    <row r="15" spans="1:10" x14ac:dyDescent="0.2">
      <c r="B15" s="57"/>
      <c r="C15" s="712" t="s">
        <v>1889</v>
      </c>
    </row>
    <row r="16" spans="1:10" x14ac:dyDescent="0.2">
      <c r="B16" s="57"/>
      <c r="C16" s="687" t="s">
        <v>1891</v>
      </c>
    </row>
    <row r="17" spans="1:10" x14ac:dyDescent="0.2">
      <c r="B17" s="57"/>
      <c r="C17" s="687" t="s">
        <v>1890</v>
      </c>
    </row>
    <row r="18" spans="1:10" x14ac:dyDescent="0.2">
      <c r="B18" s="57"/>
      <c r="C18" s="13"/>
    </row>
    <row r="19" spans="1:10" x14ac:dyDescent="0.2">
      <c r="C19" s="1" t="s">
        <v>1178</v>
      </c>
    </row>
    <row r="20" spans="1:10" x14ac:dyDescent="0.2">
      <c r="C20" s="1"/>
      <c r="E20" s="3" t="s">
        <v>417</v>
      </c>
      <c r="F20" s="3" t="s">
        <v>400</v>
      </c>
      <c r="G20" s="3" t="s">
        <v>401</v>
      </c>
    </row>
    <row r="21" spans="1:10" x14ac:dyDescent="0.2">
      <c r="B21" s="1"/>
      <c r="F21" s="2" t="s">
        <v>79</v>
      </c>
      <c r="G21" s="2" t="s">
        <v>20</v>
      </c>
    </row>
    <row r="22" spans="1:10" x14ac:dyDescent="0.2">
      <c r="B22" s="1"/>
      <c r="E22" s="2" t="s">
        <v>79</v>
      </c>
      <c r="F22" s="4" t="s">
        <v>267</v>
      </c>
      <c r="G22" s="2" t="s">
        <v>346</v>
      </c>
    </row>
    <row r="23" spans="1:10" x14ac:dyDescent="0.2">
      <c r="B23" s="1"/>
      <c r="C23" s="12"/>
      <c r="E23" s="2" t="s">
        <v>266</v>
      </c>
      <c r="F23" s="2" t="s">
        <v>268</v>
      </c>
      <c r="G23" s="2" t="s">
        <v>1</v>
      </c>
    </row>
    <row r="24" spans="1:10" x14ac:dyDescent="0.2">
      <c r="B24" s="1"/>
      <c r="C24" s="2" t="s">
        <v>8</v>
      </c>
      <c r="E24" s="2" t="s">
        <v>279</v>
      </c>
      <c r="F24" s="2" t="s">
        <v>279</v>
      </c>
      <c r="G24" s="4" t="s">
        <v>10</v>
      </c>
    </row>
    <row r="25" spans="1:10" x14ac:dyDescent="0.2">
      <c r="A25" s="53" t="s">
        <v>380</v>
      </c>
      <c r="B25" s="1"/>
      <c r="C25" s="3" t="s">
        <v>263</v>
      </c>
      <c r="E25" s="3" t="s">
        <v>203</v>
      </c>
      <c r="F25" s="3" t="s">
        <v>203</v>
      </c>
      <c r="G25" s="3" t="s">
        <v>203</v>
      </c>
      <c r="H25" s="3" t="s">
        <v>269</v>
      </c>
      <c r="I25" s="52"/>
      <c r="J25" s="52"/>
    </row>
    <row r="26" spans="1:10" x14ac:dyDescent="0.2">
      <c r="A26" s="2">
        <v>1</v>
      </c>
      <c r="B26" s="1"/>
      <c r="C26" s="12" t="s">
        <v>390</v>
      </c>
      <c r="E26" s="7">
        <f>CWIP!E24</f>
        <v>791056336.65999997</v>
      </c>
      <c r="F26" s="7">
        <f>CWIP!E25</f>
        <v>928168461.01007903</v>
      </c>
      <c r="G26" s="7">
        <f>CWIP!E137</f>
        <v>-9657773.5894911475</v>
      </c>
      <c r="H26" s="13" t="str">
        <f>"CWIP WS Lines "&amp;CWIP!A24&amp;", "&amp;CWIP!A25&amp;", and "&amp;CWIP!A137&amp;""</f>
        <v>CWIP WS Lines 13, 14, and 92</v>
      </c>
    </row>
    <row r="27" spans="1:10" x14ac:dyDescent="0.2">
      <c r="A27" s="2">
        <f t="shared" ref="A27:A37" si="0">A26+1</f>
        <v>2</v>
      </c>
      <c r="B27" s="1"/>
      <c r="C27" s="12" t="s">
        <v>391</v>
      </c>
      <c r="E27" s="7">
        <f>CWIP!F24</f>
        <v>537340673.84000003</v>
      </c>
      <c r="F27" s="7">
        <f>CWIP!F25</f>
        <v>305945176.07943881</v>
      </c>
      <c r="G27" s="7">
        <f>CWIP!F137</f>
        <v>-530144853.68553329</v>
      </c>
      <c r="H27" s="13" t="str">
        <f>"CWIP WS Lines "&amp;CWIP!A24&amp;", "&amp;CWIP!A25&amp;", and "&amp;CWIP!A137&amp;""</f>
        <v>CWIP WS Lines 13, 14, and 92</v>
      </c>
    </row>
    <row r="28" spans="1:10" x14ac:dyDescent="0.2">
      <c r="A28" s="2">
        <f t="shared" si="0"/>
        <v>3</v>
      </c>
      <c r="B28" s="1"/>
      <c r="C28" s="12" t="s">
        <v>392</v>
      </c>
      <c r="E28" s="7">
        <f>CWIP!G24</f>
        <v>149797194.14000002</v>
      </c>
      <c r="F28" s="7">
        <f>CWIP!G25</f>
        <v>67821660.70964402</v>
      </c>
      <c r="G28" s="7">
        <f>CWIP!G137</f>
        <v>-149797190.29999998</v>
      </c>
      <c r="H28" s="13" t="str">
        <f>"CWIP WS Lines "&amp;CWIP!A24&amp;", "&amp;CWIP!A25&amp;", and "&amp;CWIP!A137&amp;""</f>
        <v>CWIP WS Lines 13, 14, and 92</v>
      </c>
    </row>
    <row r="29" spans="1:10" x14ac:dyDescent="0.2">
      <c r="A29" s="2">
        <f t="shared" si="0"/>
        <v>4</v>
      </c>
      <c r="B29" s="1"/>
      <c r="C29" s="12" t="s">
        <v>1186</v>
      </c>
      <c r="E29" s="7">
        <f>CWIP!H24</f>
        <v>-69617.340000000084</v>
      </c>
      <c r="F29" s="7">
        <f>CWIP!H25</f>
        <v>-70159.231515233419</v>
      </c>
      <c r="G29" s="7">
        <f>CWIP!H137</f>
        <v>0</v>
      </c>
      <c r="H29" s="13" t="str">
        <f>"CWIP WS Lines "&amp;CWIP!A24&amp;", "&amp;CWIP!A25&amp;", and "&amp;CWIP!A137&amp;""</f>
        <v>CWIP WS Lines 13, 14, and 92</v>
      </c>
    </row>
    <row r="30" spans="1:10" x14ac:dyDescent="0.2">
      <c r="A30" s="2">
        <f t="shared" si="0"/>
        <v>5</v>
      </c>
      <c r="B30" s="1"/>
      <c r="C30" s="12" t="s">
        <v>1187</v>
      </c>
      <c r="E30" s="7">
        <f>CWIP!I24</f>
        <v>150654601.54999998</v>
      </c>
      <c r="F30" s="7">
        <f>CWIP!I25</f>
        <v>69027361.589334413</v>
      </c>
      <c r="G30" s="7">
        <f>CWIP!I137</f>
        <v>-148367224.52423075</v>
      </c>
      <c r="H30" s="13" t="str">
        <f>"CWIP WS Lines "&amp;CWIP!A24&amp;", "&amp;CWIP!A25&amp;", and "&amp;CWIP!A137&amp;""</f>
        <v>CWIP WS Lines 13, 14, and 92</v>
      </c>
    </row>
    <row r="31" spans="1:10" x14ac:dyDescent="0.2">
      <c r="A31" s="2">
        <f t="shared" si="0"/>
        <v>6</v>
      </c>
      <c r="B31" s="1"/>
      <c r="C31" s="12" t="s">
        <v>1188</v>
      </c>
      <c r="E31" s="7">
        <f>CWIP!D44</f>
        <v>3256743.08</v>
      </c>
      <c r="F31" s="7">
        <f>CWIP!D45</f>
        <v>4861315.323947289</v>
      </c>
      <c r="G31" s="7">
        <f>CWIP!D165</f>
        <v>27550038.126923081</v>
      </c>
      <c r="H31" s="13" t="str">
        <f>"CWIP WS Lines "&amp;CWIP!A44&amp;", "&amp;CWIP!A45&amp;", and "&amp;CWIP!A165&amp;""</f>
        <v>CWIP WS Lines 27, 28, and 114</v>
      </c>
    </row>
    <row r="32" spans="1:10" x14ac:dyDescent="0.2">
      <c r="A32" s="2">
        <f t="shared" si="0"/>
        <v>7</v>
      </c>
      <c r="B32" s="1"/>
      <c r="C32" s="12" t="s">
        <v>1189</v>
      </c>
      <c r="E32" s="7">
        <f>CWIP!E44</f>
        <v>48014271.539999999</v>
      </c>
      <c r="F32" s="7">
        <f>CWIP!E45</f>
        <v>29232262.877808098</v>
      </c>
      <c r="G32" s="7">
        <f>CWIP!E165</f>
        <v>-48014271.540000007</v>
      </c>
      <c r="H32" s="13" t="str">
        <f>"CWIP WS Lines "&amp;CWIP!A44&amp;", "&amp;CWIP!A45&amp;", and "&amp;CWIP!A165&amp;""</f>
        <v>CWIP WS Lines 27, 28, and 114</v>
      </c>
    </row>
    <row r="33" spans="1:10" x14ac:dyDescent="0.2">
      <c r="A33" s="2">
        <f t="shared" si="0"/>
        <v>8</v>
      </c>
      <c r="B33" s="1"/>
      <c r="C33" s="12" t="s">
        <v>1190</v>
      </c>
      <c r="E33" s="7">
        <f>CWIP!F44</f>
        <v>10365518.710000001</v>
      </c>
      <c r="F33" s="7">
        <f>CWIP!F45</f>
        <v>5592409.1441755388</v>
      </c>
      <c r="G33" s="7">
        <f>CWIP!F165</f>
        <v>16046968.957639324</v>
      </c>
      <c r="H33" s="13" t="str">
        <f>"CWIP WS Lines "&amp;CWIP!A44&amp;", "&amp;CWIP!A45&amp;", and "&amp;CWIP!A165&amp;""</f>
        <v>CWIP WS Lines 27, 28, and 114</v>
      </c>
    </row>
    <row r="34" spans="1:10" x14ac:dyDescent="0.2">
      <c r="A34" s="2">
        <f t="shared" si="0"/>
        <v>9</v>
      </c>
      <c r="B34" s="1"/>
      <c r="C34" s="12" t="s">
        <v>1191</v>
      </c>
      <c r="E34" s="7">
        <f>CWIP!G44</f>
        <v>13832634.930000002</v>
      </c>
      <c r="F34" s="7">
        <f>CWIP!G45</f>
        <v>8898462.5574217569</v>
      </c>
      <c r="G34" s="7">
        <f>CWIP!G165</f>
        <v>11775550.578846155</v>
      </c>
      <c r="H34" s="13" t="str">
        <f>"CWIP WS Lines "&amp;CWIP!A44&amp;", "&amp;CWIP!A45&amp;", and "&amp;CWIP!A165&amp;""</f>
        <v>CWIP WS Lines 27, 28, and 114</v>
      </c>
    </row>
    <row r="35" spans="1:10" x14ac:dyDescent="0.2">
      <c r="A35" s="2">
        <f t="shared" si="0"/>
        <v>10</v>
      </c>
      <c r="B35" s="1"/>
      <c r="C35" s="137" t="s">
        <v>1192</v>
      </c>
      <c r="E35" s="224" t="s">
        <v>92</v>
      </c>
      <c r="F35" s="224" t="s">
        <v>92</v>
      </c>
      <c r="G35" s="224" t="s">
        <v>92</v>
      </c>
      <c r="H35" s="111" t="s">
        <v>436</v>
      </c>
      <c r="I35" s="113"/>
      <c r="J35" s="113"/>
    </row>
    <row r="36" spans="1:10" x14ac:dyDescent="0.2">
      <c r="A36" s="2">
        <f t="shared" si="0"/>
        <v>11</v>
      </c>
      <c r="B36" s="1"/>
      <c r="C36" s="218" t="s">
        <v>617</v>
      </c>
      <c r="E36" s="224"/>
      <c r="F36" s="224"/>
      <c r="G36" s="224"/>
      <c r="H36" s="13"/>
    </row>
    <row r="37" spans="1:10" x14ac:dyDescent="0.2">
      <c r="A37" s="2">
        <f t="shared" si="0"/>
        <v>12</v>
      </c>
      <c r="B37" s="1"/>
      <c r="D37" s="37" t="s">
        <v>226</v>
      </c>
      <c r="E37" s="7">
        <f>SUM(E26:E34)</f>
        <v>1704248357.1100001</v>
      </c>
      <c r="F37" s="7">
        <f>SUM(F26:F34)</f>
        <v>1419476950.0603337</v>
      </c>
      <c r="G37" s="7">
        <f>SUM(G26:G34)</f>
        <v>-830608755.97584653</v>
      </c>
      <c r="H37" s="54"/>
    </row>
    <row r="38" spans="1:10" x14ac:dyDescent="0.2">
      <c r="B38" s="1"/>
    </row>
    <row r="39" spans="1:10" x14ac:dyDescent="0.2">
      <c r="B39" s="1"/>
      <c r="C39" s="1" t="s">
        <v>1533</v>
      </c>
    </row>
    <row r="40" spans="1:10" x14ac:dyDescent="0.2">
      <c r="B40" s="1"/>
      <c r="C40" s="1"/>
    </row>
    <row r="41" spans="1:10" x14ac:dyDescent="0.2">
      <c r="B41" s="1"/>
      <c r="E41" s="3" t="s">
        <v>417</v>
      </c>
      <c r="F41" s="3" t="s">
        <v>400</v>
      </c>
      <c r="G41" s="3" t="s">
        <v>401</v>
      </c>
    </row>
    <row r="42" spans="1:10" x14ac:dyDescent="0.2">
      <c r="B42" s="1"/>
      <c r="E42" s="693" t="s">
        <v>1852</v>
      </c>
      <c r="F42" s="3"/>
      <c r="G42" s="3"/>
    </row>
    <row r="43" spans="1:10" x14ac:dyDescent="0.2">
      <c r="B43" s="1"/>
      <c r="E43" s="2" t="s">
        <v>79</v>
      </c>
      <c r="F43" s="2" t="s">
        <v>349</v>
      </c>
      <c r="G43" s="2" t="s">
        <v>349</v>
      </c>
    </row>
    <row r="44" spans="1:10" x14ac:dyDescent="0.2">
      <c r="B44" s="1"/>
      <c r="E44" s="2" t="s">
        <v>8</v>
      </c>
      <c r="F44" s="2" t="s">
        <v>1</v>
      </c>
      <c r="G44" s="2" t="s">
        <v>348</v>
      </c>
    </row>
    <row r="45" spans="1:10" x14ac:dyDescent="0.2">
      <c r="B45" s="1"/>
      <c r="E45" s="3" t="s">
        <v>201</v>
      </c>
      <c r="F45" s="3" t="s">
        <v>289</v>
      </c>
      <c r="G45" s="3" t="s">
        <v>3</v>
      </c>
      <c r="H45" s="3" t="s">
        <v>269</v>
      </c>
    </row>
    <row r="46" spans="1:10" x14ac:dyDescent="0.2">
      <c r="A46" s="2">
        <f>A37+1</f>
        <v>13</v>
      </c>
      <c r="B46" s="1"/>
      <c r="C46" t="s">
        <v>264</v>
      </c>
      <c r="E46" s="120">
        <f>F46+G46</f>
        <v>173712851.64426255</v>
      </c>
      <c r="F46" s="67">
        <v>0</v>
      </c>
      <c r="G46" s="67">
        <f>H84</f>
        <v>173712851.64426255</v>
      </c>
      <c r="H46" s="13" t="str">
        <f>"Line "&amp;A84&amp;", C4"</f>
        <v>Line 37, C4</v>
      </c>
    </row>
    <row r="47" spans="1:10" x14ac:dyDescent="0.2">
      <c r="A47" s="2">
        <f>A46+1</f>
        <v>14</v>
      </c>
      <c r="B47" s="1"/>
      <c r="C47" t="s">
        <v>265</v>
      </c>
      <c r="E47" s="120">
        <f>F47+G47</f>
        <v>1811255047.50792</v>
      </c>
      <c r="F47" s="67">
        <f>E26</f>
        <v>791056336.65999997</v>
      </c>
      <c r="G47" s="67">
        <f>F84</f>
        <v>1020198710.8479201</v>
      </c>
      <c r="H47" s="13" t="str">
        <f>"Line "&amp;A26&amp;", C1, and Line "&amp;A84&amp;", C2"</f>
        <v>Line 1, C1, and Line 37, C2</v>
      </c>
    </row>
    <row r="48" spans="1:10" x14ac:dyDescent="0.2">
      <c r="A48" s="2">
        <f>A47+1</f>
        <v>15</v>
      </c>
      <c r="B48" s="1"/>
      <c r="C48" s="683" t="s">
        <v>2136</v>
      </c>
      <c r="E48" s="120">
        <f>F48+G48</f>
        <v>537340673.84000003</v>
      </c>
      <c r="F48" s="67">
        <f>E27</f>
        <v>537340673.84000003</v>
      </c>
      <c r="G48" s="67">
        <f>G84</f>
        <v>0</v>
      </c>
      <c r="H48" s="13" t="str">
        <f>"Line "&amp;A27&amp;", C1, and Line "&amp;A84&amp;", C3"</f>
        <v>Line 2, C1, and Line 37, C3</v>
      </c>
    </row>
    <row r="49" spans="1:8" x14ac:dyDescent="0.2">
      <c r="A49" s="2">
        <f>A48+1</f>
        <v>16</v>
      </c>
      <c r="B49" s="1"/>
      <c r="C49" s="137" t="s">
        <v>1180</v>
      </c>
      <c r="E49" s="112" t="s">
        <v>92</v>
      </c>
      <c r="F49" s="112" t="s">
        <v>92</v>
      </c>
      <c r="G49" s="112" t="s">
        <v>92</v>
      </c>
      <c r="H49" s="13" t="s">
        <v>436</v>
      </c>
    </row>
    <row r="50" spans="1:8" x14ac:dyDescent="0.2">
      <c r="A50" s="2">
        <f>A49+1</f>
        <v>17</v>
      </c>
      <c r="B50" s="1"/>
      <c r="C50" s="218" t="s">
        <v>617</v>
      </c>
      <c r="E50" s="112"/>
      <c r="F50" s="112"/>
      <c r="G50" s="112"/>
      <c r="H50" s="13"/>
    </row>
    <row r="51" spans="1:8" x14ac:dyDescent="0.2">
      <c r="A51" s="2">
        <f>A50+1</f>
        <v>18</v>
      </c>
      <c r="B51" s="1"/>
      <c r="D51" s="681" t="s">
        <v>2140</v>
      </c>
      <c r="E51" s="7">
        <f>SUM(E46:E48)</f>
        <v>2522308572.9921827</v>
      </c>
      <c r="F51" s="112"/>
      <c r="G51" s="112"/>
      <c r="H51" s="687" t="s">
        <v>2141</v>
      </c>
    </row>
    <row r="52" spans="1:8" x14ac:dyDescent="0.2">
      <c r="B52" s="1"/>
    </row>
    <row r="53" spans="1:8" x14ac:dyDescent="0.2">
      <c r="B53" s="1"/>
      <c r="C53" s="1" t="s">
        <v>1886</v>
      </c>
    </row>
    <row r="54" spans="1:8" x14ac:dyDescent="0.2">
      <c r="B54" s="1"/>
      <c r="C54" s="1"/>
    </row>
    <row r="55" spans="1:8" x14ac:dyDescent="0.2">
      <c r="B55" s="1"/>
      <c r="C55" s="1"/>
      <c r="E55" s="3" t="s">
        <v>417</v>
      </c>
      <c r="F55" s="3" t="s">
        <v>400</v>
      </c>
      <c r="G55" s="3" t="s">
        <v>401</v>
      </c>
    </row>
    <row r="56" spans="1:8" x14ac:dyDescent="0.2">
      <c r="B56" s="1"/>
      <c r="E56" s="693" t="s">
        <v>1852</v>
      </c>
      <c r="G56" s="2" t="s">
        <v>10</v>
      </c>
    </row>
    <row r="57" spans="1:8" x14ac:dyDescent="0.2">
      <c r="B57" s="1"/>
      <c r="E57" s="2" t="s">
        <v>79</v>
      </c>
      <c r="F57" s="2" t="s">
        <v>10</v>
      </c>
      <c r="G57" s="2" t="s">
        <v>348</v>
      </c>
    </row>
    <row r="58" spans="1:8" x14ac:dyDescent="0.2">
      <c r="B58" s="1"/>
      <c r="C58" s="2" t="s">
        <v>8</v>
      </c>
      <c r="E58" s="2" t="s">
        <v>8</v>
      </c>
      <c r="F58" s="2" t="s">
        <v>1</v>
      </c>
      <c r="G58" s="2" t="s">
        <v>3</v>
      </c>
    </row>
    <row r="59" spans="1:8" ht="12.75" customHeight="1" x14ac:dyDescent="0.2">
      <c r="B59" s="1"/>
      <c r="C59" s="3" t="s">
        <v>263</v>
      </c>
      <c r="E59" s="3" t="s">
        <v>201</v>
      </c>
      <c r="F59" s="3" t="s">
        <v>289</v>
      </c>
      <c r="G59" s="3" t="s">
        <v>289</v>
      </c>
      <c r="H59" s="3" t="s">
        <v>269</v>
      </c>
    </row>
    <row r="60" spans="1:8" x14ac:dyDescent="0.2">
      <c r="A60" s="2">
        <f>A51+1</f>
        <v>19</v>
      </c>
      <c r="B60" s="1"/>
      <c r="C60" t="s">
        <v>264</v>
      </c>
      <c r="E60" s="120">
        <f>F60+G60</f>
        <v>176653936.20118392</v>
      </c>
      <c r="F60" s="67">
        <v>0</v>
      </c>
      <c r="G60" s="124">
        <f>H85</f>
        <v>176653936.20118392</v>
      </c>
      <c r="H60" s="13" t="str">
        <f>"Line "&amp;A85&amp;", C4"</f>
        <v>Line 38, C4</v>
      </c>
    </row>
    <row r="61" spans="1:8" x14ac:dyDescent="0.2">
      <c r="A61" s="2">
        <f>A60+1</f>
        <v>20</v>
      </c>
      <c r="B61" s="1"/>
      <c r="C61" t="s">
        <v>265</v>
      </c>
      <c r="E61" s="120">
        <f>F61+G61</f>
        <v>1612646793.7673101</v>
      </c>
      <c r="F61" s="67">
        <f>F26</f>
        <v>928168461.01007903</v>
      </c>
      <c r="G61" s="124">
        <f>F85</f>
        <v>684478332.757231</v>
      </c>
      <c r="H61" s="13" t="str">
        <f>"Line "&amp;A26&amp;", C2, and Line "&amp;A85&amp;", C2"</f>
        <v>Line 1, C2, and Line 38, C2</v>
      </c>
    </row>
    <row r="62" spans="1:8" x14ac:dyDescent="0.2">
      <c r="A62" s="2">
        <f>A61+1</f>
        <v>21</v>
      </c>
      <c r="B62" s="1"/>
      <c r="C62" s="12" t="s">
        <v>660</v>
      </c>
      <c r="E62" s="120">
        <f>F62+G62</f>
        <v>305945176.07943881</v>
      </c>
      <c r="F62" s="67">
        <f>F27</f>
        <v>305945176.07943881</v>
      </c>
      <c r="G62" s="124">
        <f>G85</f>
        <v>0</v>
      </c>
      <c r="H62" s="13" t="str">
        <f>"Line "&amp;A27&amp;", C2, and Line "&amp;A85&amp;", C3"</f>
        <v>Line 2, C2, and Line 38, C3</v>
      </c>
    </row>
    <row r="63" spans="1:8" x14ac:dyDescent="0.2">
      <c r="A63" s="2">
        <f>A62+1</f>
        <v>22</v>
      </c>
      <c r="B63" s="1"/>
      <c r="C63" s="137" t="s">
        <v>1180</v>
      </c>
      <c r="E63" s="112" t="s">
        <v>92</v>
      </c>
      <c r="F63" s="112" t="s">
        <v>92</v>
      </c>
      <c r="G63" s="112" t="s">
        <v>92</v>
      </c>
      <c r="H63" s="13" t="s">
        <v>436</v>
      </c>
    </row>
    <row r="64" spans="1:8" x14ac:dyDescent="0.2">
      <c r="A64" s="2">
        <f>A63+1</f>
        <v>23</v>
      </c>
      <c r="B64" s="1"/>
      <c r="C64" s="218" t="s">
        <v>617</v>
      </c>
      <c r="E64" s="112"/>
      <c r="F64" s="112"/>
      <c r="G64" s="112"/>
      <c r="H64" s="13"/>
    </row>
    <row r="65" spans="1:11" x14ac:dyDescent="0.2">
      <c r="A65" s="2">
        <f>A64+1</f>
        <v>24</v>
      </c>
      <c r="B65" s="1"/>
      <c r="D65" s="681" t="s">
        <v>2140</v>
      </c>
      <c r="E65" s="7">
        <f>SUM(E60:E62)</f>
        <v>2095245906.0479326</v>
      </c>
      <c r="H65" s="837" t="s">
        <v>2142</v>
      </c>
    </row>
    <row r="66" spans="1:11" x14ac:dyDescent="0.2">
      <c r="A66" s="747"/>
      <c r="B66" s="1"/>
      <c r="D66" s="110"/>
      <c r="E66" s="7"/>
    </row>
    <row r="67" spans="1:11" x14ac:dyDescent="0.2">
      <c r="C67" s="1" t="s">
        <v>1193</v>
      </c>
    </row>
    <row r="68" spans="1:11" x14ac:dyDescent="0.2">
      <c r="E68" s="99" t="s">
        <v>417</v>
      </c>
      <c r="F68" s="99" t="s">
        <v>400</v>
      </c>
      <c r="G68" s="99" t="s">
        <v>401</v>
      </c>
      <c r="H68" s="99" t="s">
        <v>402</v>
      </c>
      <c r="I68" s="99" t="s">
        <v>403</v>
      </c>
      <c r="J68" s="99"/>
    </row>
    <row r="69" spans="1:11" x14ac:dyDescent="0.2">
      <c r="C69" s="2" t="s">
        <v>648</v>
      </c>
      <c r="E69" s="2" t="s">
        <v>651</v>
      </c>
      <c r="K69" s="2"/>
    </row>
    <row r="70" spans="1:11" x14ac:dyDescent="0.2">
      <c r="C70" s="2" t="s">
        <v>221</v>
      </c>
      <c r="E70" s="2" t="s">
        <v>652</v>
      </c>
      <c r="G70" s="2" t="s">
        <v>396</v>
      </c>
      <c r="H70" s="2" t="s">
        <v>649</v>
      </c>
      <c r="I70" s="219"/>
      <c r="J70" s="424"/>
      <c r="K70" s="2"/>
    </row>
    <row r="71" spans="1:11" x14ac:dyDescent="0.2">
      <c r="A71" s="53"/>
      <c r="C71" s="25" t="s">
        <v>220</v>
      </c>
      <c r="D71" s="25" t="s">
        <v>221</v>
      </c>
      <c r="E71" s="3" t="s">
        <v>3</v>
      </c>
      <c r="F71" s="3" t="s">
        <v>262</v>
      </c>
      <c r="G71" s="3" t="s">
        <v>397</v>
      </c>
      <c r="H71" s="3" t="s">
        <v>650</v>
      </c>
      <c r="I71" s="220" t="s">
        <v>1173</v>
      </c>
      <c r="J71" s="3" t="s">
        <v>196</v>
      </c>
    </row>
    <row r="72" spans="1:11" x14ac:dyDescent="0.2">
      <c r="A72" s="2">
        <f>A65+1</f>
        <v>25</v>
      </c>
      <c r="C72" s="20" t="s">
        <v>208</v>
      </c>
      <c r="D72" s="216">
        <v>2011</v>
      </c>
      <c r="E72" s="61">
        <f>SUM(F72:H72)</f>
        <v>567460897.27347851</v>
      </c>
      <c r="F72" s="1050">
        <v>388226929.0669809</v>
      </c>
      <c r="G72" s="1050">
        <v>0</v>
      </c>
      <c r="H72" s="1050">
        <v>179233968.20649755</v>
      </c>
      <c r="I72" s="485" t="s">
        <v>92</v>
      </c>
      <c r="J72" s="52" t="s">
        <v>1198</v>
      </c>
    </row>
    <row r="73" spans="1:11" x14ac:dyDescent="0.2">
      <c r="A73" s="2">
        <f>A72+1</f>
        <v>26</v>
      </c>
      <c r="C73" s="20" t="s">
        <v>209</v>
      </c>
      <c r="D73" s="171">
        <v>2012</v>
      </c>
      <c r="E73" s="61">
        <f t="shared" ref="E73:E84" si="1">SUM(F73:H73)</f>
        <v>566113470.34731042</v>
      </c>
      <c r="F73" s="1050">
        <v>387297370.36598665</v>
      </c>
      <c r="G73" s="1050">
        <v>0</v>
      </c>
      <c r="H73" s="1050">
        <v>178816099.98132378</v>
      </c>
      <c r="I73" s="485" t="s">
        <v>92</v>
      </c>
      <c r="J73" s="13" t="s">
        <v>1197</v>
      </c>
    </row>
    <row r="74" spans="1:11" x14ac:dyDescent="0.2">
      <c r="A74" s="2">
        <f t="shared" ref="A74:A85" si="2">A73+1</f>
        <v>27</v>
      </c>
      <c r="C74" s="21" t="s">
        <v>210</v>
      </c>
      <c r="D74" s="171">
        <v>2012</v>
      </c>
      <c r="E74" s="61">
        <f t="shared" si="1"/>
        <v>737099208.49086034</v>
      </c>
      <c r="F74" s="1050">
        <v>558700976.73471034</v>
      </c>
      <c r="G74" s="1050">
        <v>0</v>
      </c>
      <c r="H74" s="1050">
        <v>178398231.75615004</v>
      </c>
      <c r="I74" s="485" t="s">
        <v>92</v>
      </c>
      <c r="J74" s="424" t="s">
        <v>1196</v>
      </c>
      <c r="K74" s="2"/>
    </row>
    <row r="75" spans="1:11" x14ac:dyDescent="0.2">
      <c r="A75" s="2">
        <f t="shared" si="2"/>
        <v>28</v>
      </c>
      <c r="C75" s="21" t="s">
        <v>223</v>
      </c>
      <c r="D75" s="171">
        <v>2012</v>
      </c>
      <c r="E75" s="61">
        <f t="shared" si="1"/>
        <v>736731246.83660316</v>
      </c>
      <c r="F75" s="1050">
        <v>558750883.30562687</v>
      </c>
      <c r="G75" s="1050">
        <v>0</v>
      </c>
      <c r="H75" s="1050">
        <v>177980363.5309763</v>
      </c>
      <c r="I75" s="485" t="s">
        <v>92</v>
      </c>
      <c r="J75" s="424"/>
      <c r="K75" s="2"/>
    </row>
    <row r="76" spans="1:11" x14ac:dyDescent="0.2">
      <c r="A76" s="2">
        <f t="shared" si="2"/>
        <v>29</v>
      </c>
      <c r="C76" s="20" t="s">
        <v>211</v>
      </c>
      <c r="D76" s="171">
        <v>2012</v>
      </c>
      <c r="E76" s="61">
        <f t="shared" si="1"/>
        <v>861680894.49215388</v>
      </c>
      <c r="F76" s="1050">
        <v>684118399.18635142</v>
      </c>
      <c r="G76" s="1050">
        <v>0</v>
      </c>
      <c r="H76" s="1050">
        <v>177562495.30580252</v>
      </c>
      <c r="I76" s="485" t="s">
        <v>92</v>
      </c>
      <c r="J76" s="424"/>
      <c r="K76" s="2"/>
    </row>
    <row r="77" spans="1:11" x14ac:dyDescent="0.2">
      <c r="A77" s="2">
        <f t="shared" si="2"/>
        <v>30</v>
      </c>
      <c r="C77" s="21" t="s">
        <v>212</v>
      </c>
      <c r="D77" s="171">
        <v>2012</v>
      </c>
      <c r="E77" s="61">
        <f t="shared" si="1"/>
        <v>859195978.41872621</v>
      </c>
      <c r="F77" s="1050">
        <v>682051351.33809745</v>
      </c>
      <c r="G77" s="1050">
        <v>0</v>
      </c>
      <c r="H77" s="1050">
        <v>177144627.08062878</v>
      </c>
      <c r="I77" s="485" t="s">
        <v>92</v>
      </c>
      <c r="J77" s="424"/>
      <c r="K77" s="2"/>
    </row>
    <row r="78" spans="1:11" x14ac:dyDescent="0.2">
      <c r="A78" s="2">
        <f t="shared" si="2"/>
        <v>31</v>
      </c>
      <c r="C78" s="21" t="s">
        <v>213</v>
      </c>
      <c r="D78" s="171">
        <v>2012</v>
      </c>
      <c r="E78" s="61">
        <f t="shared" si="1"/>
        <v>857781357.78718722</v>
      </c>
      <c r="F78" s="1050">
        <v>681128470.35173213</v>
      </c>
      <c r="G78" s="1050">
        <v>0</v>
      </c>
      <c r="H78" s="1050">
        <v>176652887.43545505</v>
      </c>
      <c r="I78" s="485" t="s">
        <v>92</v>
      </c>
      <c r="J78" s="424"/>
      <c r="K78" s="2"/>
    </row>
    <row r="79" spans="1:11" x14ac:dyDescent="0.2">
      <c r="A79" s="2">
        <f t="shared" si="2"/>
        <v>32</v>
      </c>
      <c r="C79" s="20" t="s">
        <v>214</v>
      </c>
      <c r="D79" s="171">
        <v>2012</v>
      </c>
      <c r="E79" s="61">
        <f t="shared" si="1"/>
        <v>873061739.35451722</v>
      </c>
      <c r="F79" s="1050">
        <v>696826504.68592763</v>
      </c>
      <c r="G79" s="1050">
        <v>0</v>
      </c>
      <c r="H79" s="1050">
        <v>176235234.66858965</v>
      </c>
      <c r="I79" s="485" t="s">
        <v>92</v>
      </c>
      <c r="J79" s="424"/>
      <c r="K79" s="2"/>
    </row>
    <row r="80" spans="1:11" x14ac:dyDescent="0.2">
      <c r="A80" s="2">
        <f t="shared" si="2"/>
        <v>33</v>
      </c>
      <c r="C80" s="21" t="s">
        <v>215</v>
      </c>
      <c r="D80" s="171">
        <v>2012</v>
      </c>
      <c r="E80" s="61">
        <f t="shared" si="1"/>
        <v>983265273.16225314</v>
      </c>
      <c r="F80" s="1050">
        <v>807447691.26052892</v>
      </c>
      <c r="G80" s="1050">
        <v>0</v>
      </c>
      <c r="H80" s="1050">
        <v>175817581.90172422</v>
      </c>
      <c r="I80" s="485" t="s">
        <v>92</v>
      </c>
      <c r="J80" s="424"/>
      <c r="K80" s="2"/>
    </row>
    <row r="81" spans="1:11" x14ac:dyDescent="0.2">
      <c r="A81" s="2">
        <f t="shared" si="2"/>
        <v>34</v>
      </c>
      <c r="C81" s="21" t="s">
        <v>216</v>
      </c>
      <c r="D81" s="171">
        <v>2012</v>
      </c>
      <c r="E81" s="61">
        <f t="shared" si="1"/>
        <v>984013165.72962832</v>
      </c>
      <c r="F81" s="1050">
        <v>808613236.59476948</v>
      </c>
      <c r="G81" s="1050">
        <v>0</v>
      </c>
      <c r="H81" s="1050">
        <v>175399929.13485882</v>
      </c>
      <c r="I81" s="485" t="s">
        <v>92</v>
      </c>
      <c r="J81" s="424"/>
      <c r="K81" s="2"/>
    </row>
    <row r="82" spans="1:11" x14ac:dyDescent="0.2">
      <c r="A82" s="2">
        <f t="shared" si="2"/>
        <v>35</v>
      </c>
      <c r="C82" s="20" t="s">
        <v>217</v>
      </c>
      <c r="D82" s="171">
        <v>2012</v>
      </c>
      <c r="E82" s="61">
        <f t="shared" si="1"/>
        <v>983334359.84367132</v>
      </c>
      <c r="F82" s="1050">
        <v>808352083.47567797</v>
      </c>
      <c r="G82" s="1050">
        <v>0</v>
      </c>
      <c r="H82" s="1050">
        <v>174982276.36799338</v>
      </c>
      <c r="I82" s="485" t="s">
        <v>92</v>
      </c>
      <c r="J82" s="424"/>
      <c r="K82" s="2"/>
    </row>
    <row r="83" spans="1:11" x14ac:dyDescent="0.2">
      <c r="A83" s="2">
        <f t="shared" si="2"/>
        <v>36</v>
      </c>
      <c r="C83" s="20" t="s">
        <v>218</v>
      </c>
      <c r="D83" s="171">
        <v>2012</v>
      </c>
      <c r="E83" s="61">
        <f t="shared" si="1"/>
        <v>991070342.23082197</v>
      </c>
      <c r="F83" s="1050">
        <v>816505718.62969398</v>
      </c>
      <c r="G83" s="1050">
        <v>0</v>
      </c>
      <c r="H83" s="1050">
        <v>174564623.60112798</v>
      </c>
      <c r="I83" s="485" t="s">
        <v>92</v>
      </c>
      <c r="J83" s="424"/>
      <c r="K83" s="2"/>
    </row>
    <row r="84" spans="1:11" x14ac:dyDescent="0.2">
      <c r="A84" s="2">
        <f t="shared" si="2"/>
        <v>37</v>
      </c>
      <c r="C84" s="20" t="s">
        <v>208</v>
      </c>
      <c r="D84" s="171">
        <v>2012</v>
      </c>
      <c r="E84" s="60">
        <f t="shared" si="1"/>
        <v>1193911562.4921827</v>
      </c>
      <c r="F84" s="1049">
        <v>1020198710.8479201</v>
      </c>
      <c r="G84" s="1049">
        <v>0</v>
      </c>
      <c r="H84" s="1049">
        <v>173712851.64426255</v>
      </c>
      <c r="I84" s="485" t="s">
        <v>92</v>
      </c>
      <c r="J84" s="424"/>
      <c r="K84" s="2"/>
    </row>
    <row r="85" spans="1:11" x14ac:dyDescent="0.2">
      <c r="A85" s="2">
        <f t="shared" si="2"/>
        <v>38</v>
      </c>
      <c r="C85" s="20"/>
      <c r="D85" s="222" t="s">
        <v>656</v>
      </c>
      <c r="E85" s="125">
        <f>SUM(E72:E84)/13</f>
        <v>861132268.95841515</v>
      </c>
      <c r="F85" s="125">
        <f>SUM(F72:F84)/13</f>
        <v>684478332.757231</v>
      </c>
      <c r="G85" s="125">
        <f>SUM(G72:G84)/13</f>
        <v>0</v>
      </c>
      <c r="H85" s="125">
        <f>SUM(H72:H84)/13</f>
        <v>176653936.20118392</v>
      </c>
      <c r="I85" s="1"/>
      <c r="J85" s="1"/>
      <c r="K85" s="2"/>
    </row>
    <row r="87" spans="1:11" x14ac:dyDescent="0.2">
      <c r="A87" s="747"/>
      <c r="C87" s="748" t="s">
        <v>1953</v>
      </c>
      <c r="D87" s="749"/>
      <c r="E87" s="750"/>
      <c r="F87" s="750"/>
      <c r="G87" s="750"/>
      <c r="H87" s="750"/>
      <c r="I87" s="1"/>
      <c r="J87" s="1"/>
    </row>
    <row r="88" spans="1:11" x14ac:dyDescent="0.2">
      <c r="A88" s="747"/>
      <c r="C88" s="748"/>
      <c r="D88" s="749"/>
      <c r="E88" s="99" t="s">
        <v>417</v>
      </c>
      <c r="F88" s="99" t="s">
        <v>400</v>
      </c>
      <c r="G88" s="99" t="s">
        <v>401</v>
      </c>
      <c r="H88" s="750"/>
      <c r="I88" s="1"/>
      <c r="J88" s="1"/>
    </row>
    <row r="89" spans="1:11" x14ac:dyDescent="0.2">
      <c r="A89" s="747"/>
      <c r="C89" s="726"/>
      <c r="D89" s="749"/>
      <c r="G89" s="693" t="s">
        <v>2137</v>
      </c>
      <c r="H89" s="750"/>
      <c r="I89" s="1"/>
      <c r="J89" s="1"/>
    </row>
    <row r="90" spans="1:11" x14ac:dyDescent="0.2">
      <c r="A90" s="747"/>
      <c r="C90" s="726"/>
      <c r="D90" s="749"/>
      <c r="E90" s="420" t="s">
        <v>522</v>
      </c>
      <c r="F90" s="750"/>
      <c r="G90" s="751" t="s">
        <v>1954</v>
      </c>
      <c r="H90" s="750"/>
      <c r="I90" s="1"/>
      <c r="J90" s="1"/>
    </row>
    <row r="91" spans="1:11" x14ac:dyDescent="0.2">
      <c r="A91" s="747"/>
      <c r="C91" s="747" t="s">
        <v>648</v>
      </c>
      <c r="E91" s="420" t="s">
        <v>1955</v>
      </c>
      <c r="F91" s="420" t="s">
        <v>117</v>
      </c>
      <c r="G91" s="420" t="s">
        <v>1955</v>
      </c>
      <c r="H91" s="750"/>
      <c r="I91" s="1"/>
      <c r="J91" s="1"/>
    </row>
    <row r="92" spans="1:11" x14ac:dyDescent="0.2">
      <c r="A92" s="747"/>
      <c r="C92" s="747" t="s">
        <v>221</v>
      </c>
      <c r="E92" s="420" t="s">
        <v>8</v>
      </c>
      <c r="F92" s="4" t="s">
        <v>1956</v>
      </c>
      <c r="G92" s="420" t="s">
        <v>8</v>
      </c>
      <c r="H92" s="750"/>
      <c r="I92" s="1"/>
      <c r="J92" s="1"/>
    </row>
    <row r="93" spans="1:11" x14ac:dyDescent="0.2">
      <c r="A93" s="747"/>
      <c r="C93" s="25" t="s">
        <v>220</v>
      </c>
      <c r="D93" s="25" t="s">
        <v>221</v>
      </c>
      <c r="E93" s="421" t="s">
        <v>1957</v>
      </c>
      <c r="F93" s="3" t="s">
        <v>1958</v>
      </c>
      <c r="G93" s="421" t="s">
        <v>1957</v>
      </c>
      <c r="H93" s="421" t="s">
        <v>1959</v>
      </c>
      <c r="I93" s="1"/>
      <c r="J93" s="1"/>
    </row>
    <row r="94" spans="1:11" ht="12.75" customHeight="1" x14ac:dyDescent="0.2">
      <c r="A94" s="747">
        <f>A85+1</f>
        <v>39</v>
      </c>
      <c r="C94" s="726" t="s">
        <v>208</v>
      </c>
      <c r="D94" s="752">
        <v>2011</v>
      </c>
      <c r="E94" s="7">
        <f t="shared" ref="E94:E106" si="3">H117+H137+H157+H176+H195+H214+H233+H252+H271+H290</f>
        <v>0</v>
      </c>
      <c r="F94" s="753">
        <v>0</v>
      </c>
      <c r="G94" s="750">
        <f>E94-F94</f>
        <v>0</v>
      </c>
      <c r="H94" s="760" t="s">
        <v>1975</v>
      </c>
      <c r="I94" s="1"/>
      <c r="J94" s="7"/>
    </row>
    <row r="95" spans="1:11" x14ac:dyDescent="0.2">
      <c r="A95" s="747">
        <f>A94+1</f>
        <v>40</v>
      </c>
      <c r="C95" s="726" t="s">
        <v>209</v>
      </c>
      <c r="D95" s="754">
        <v>2012</v>
      </c>
      <c r="E95" s="7">
        <f t="shared" si="3"/>
        <v>-73501.619999945164</v>
      </c>
      <c r="F95" s="753">
        <v>0</v>
      </c>
      <c r="G95" s="750">
        <f t="shared" ref="G95:G106" si="4">E95-F95</f>
        <v>-73501.619999945164</v>
      </c>
      <c r="H95" s="760" t="s">
        <v>1974</v>
      </c>
      <c r="I95" s="83"/>
      <c r="J95" s="7"/>
    </row>
    <row r="96" spans="1:11" x14ac:dyDescent="0.2">
      <c r="A96" s="747">
        <f t="shared" ref="A96:A107" si="5">A95+1</f>
        <v>41</v>
      </c>
      <c r="C96" s="724" t="s">
        <v>210</v>
      </c>
      <c r="D96" s="754">
        <v>2012</v>
      </c>
      <c r="E96" s="7">
        <f t="shared" si="3"/>
        <v>172259473.99000001</v>
      </c>
      <c r="F96" s="753">
        <v>0</v>
      </c>
      <c r="G96" s="750">
        <f t="shared" si="4"/>
        <v>172259473.99000001</v>
      </c>
      <c r="H96" s="760"/>
      <c r="I96" s="83"/>
      <c r="J96" s="7"/>
    </row>
    <row r="97" spans="1:10" x14ac:dyDescent="0.2">
      <c r="A97" s="747">
        <f t="shared" si="5"/>
        <v>42</v>
      </c>
      <c r="C97" s="724" t="s">
        <v>223</v>
      </c>
      <c r="D97" s="754">
        <v>2012</v>
      </c>
      <c r="E97" s="7">
        <f t="shared" si="3"/>
        <v>1262455</v>
      </c>
      <c r="F97" s="753">
        <v>0</v>
      </c>
      <c r="G97" s="750">
        <f t="shared" si="4"/>
        <v>1262455</v>
      </c>
      <c r="H97" s="750"/>
      <c r="I97" s="83"/>
      <c r="J97" s="7"/>
    </row>
    <row r="98" spans="1:10" x14ac:dyDescent="0.2">
      <c r="A98" s="747">
        <f t="shared" si="5"/>
        <v>43</v>
      </c>
      <c r="C98" s="726" t="s">
        <v>211</v>
      </c>
      <c r="D98" s="754">
        <v>2012</v>
      </c>
      <c r="E98" s="7">
        <f t="shared" si="3"/>
        <v>126583030.75999999</v>
      </c>
      <c r="F98" s="753">
        <v>0</v>
      </c>
      <c r="G98" s="750">
        <f t="shared" si="4"/>
        <v>126583030.75999999</v>
      </c>
      <c r="H98" s="750"/>
      <c r="I98" s="83"/>
      <c r="J98" s="7"/>
    </row>
    <row r="99" spans="1:10" x14ac:dyDescent="0.2">
      <c r="A99" s="747">
        <f t="shared" si="5"/>
        <v>44</v>
      </c>
      <c r="C99" s="724" t="s">
        <v>212</v>
      </c>
      <c r="D99" s="754">
        <v>2012</v>
      </c>
      <c r="E99" s="7">
        <f t="shared" si="3"/>
        <v>-562451.59000003338</v>
      </c>
      <c r="F99" s="753">
        <v>0</v>
      </c>
      <c r="G99" s="750">
        <f t="shared" si="4"/>
        <v>-562451.59000003338</v>
      </c>
      <c r="H99" s="750"/>
      <c r="I99" s="83"/>
      <c r="J99" s="7"/>
    </row>
    <row r="100" spans="1:10" x14ac:dyDescent="0.2">
      <c r="A100" s="747">
        <f t="shared" si="5"/>
        <v>45</v>
      </c>
      <c r="C100" s="724" t="s">
        <v>213</v>
      </c>
      <c r="D100" s="754">
        <v>2012</v>
      </c>
      <c r="E100" s="7">
        <f t="shared" si="3"/>
        <v>506423.62000009418</v>
      </c>
      <c r="F100" s="753">
        <v>0</v>
      </c>
      <c r="G100" s="750">
        <f t="shared" si="4"/>
        <v>506423.62000009418</v>
      </c>
      <c r="H100" s="750"/>
      <c r="I100" s="83"/>
      <c r="J100" s="7"/>
    </row>
    <row r="101" spans="1:10" x14ac:dyDescent="0.2">
      <c r="A101" s="747">
        <f t="shared" si="5"/>
        <v>46</v>
      </c>
      <c r="C101" s="726" t="s">
        <v>214</v>
      </c>
      <c r="D101" s="754">
        <v>2012</v>
      </c>
      <c r="E101" s="7">
        <f t="shared" si="3"/>
        <v>17202671.459999919</v>
      </c>
      <c r="F101" s="753">
        <v>0</v>
      </c>
      <c r="G101" s="750">
        <f t="shared" si="4"/>
        <v>17202671.459999919</v>
      </c>
      <c r="H101" s="750"/>
      <c r="I101" s="83"/>
      <c r="J101" s="7"/>
    </row>
    <row r="102" spans="1:10" x14ac:dyDescent="0.2">
      <c r="A102" s="747">
        <f t="shared" si="5"/>
        <v>47</v>
      </c>
      <c r="C102" s="724" t="s">
        <v>215</v>
      </c>
      <c r="D102" s="754">
        <v>2012</v>
      </c>
      <c r="E102" s="7">
        <f t="shared" si="3"/>
        <v>112163394.86000013</v>
      </c>
      <c r="F102" s="753">
        <v>0</v>
      </c>
      <c r="G102" s="750">
        <f t="shared" si="4"/>
        <v>112163394.86000013</v>
      </c>
      <c r="H102" s="750"/>
      <c r="I102" s="83"/>
      <c r="J102" s="7"/>
    </row>
    <row r="103" spans="1:10" x14ac:dyDescent="0.2">
      <c r="A103" s="747">
        <f t="shared" si="5"/>
        <v>48</v>
      </c>
      <c r="C103" s="724" t="s">
        <v>216</v>
      </c>
      <c r="D103" s="754">
        <v>2012</v>
      </c>
      <c r="E103" s="7">
        <f t="shared" si="3"/>
        <v>2938895.4999998808</v>
      </c>
      <c r="F103" s="753">
        <v>0</v>
      </c>
      <c r="G103" s="750">
        <f t="shared" si="4"/>
        <v>2938895.4999998808</v>
      </c>
      <c r="H103" s="750"/>
      <c r="I103" s="83"/>
      <c r="J103" s="7"/>
    </row>
    <row r="104" spans="1:10" x14ac:dyDescent="0.2">
      <c r="A104" s="747">
        <f t="shared" si="5"/>
        <v>49</v>
      </c>
      <c r="C104" s="726" t="s">
        <v>217</v>
      </c>
      <c r="D104" s="754">
        <v>2012</v>
      </c>
      <c r="E104" s="7">
        <f t="shared" si="3"/>
        <v>1518977.5300002098</v>
      </c>
      <c r="F104" s="753">
        <v>0</v>
      </c>
      <c r="G104" s="750">
        <f t="shared" si="4"/>
        <v>1518977.5300002098</v>
      </c>
      <c r="H104" s="750"/>
      <c r="I104" s="83"/>
      <c r="J104" s="7"/>
    </row>
    <row r="105" spans="1:10" x14ac:dyDescent="0.2">
      <c r="A105" s="747">
        <f t="shared" si="5"/>
        <v>50</v>
      </c>
      <c r="C105" s="726" t="s">
        <v>218</v>
      </c>
      <c r="D105" s="754">
        <v>2012</v>
      </c>
      <c r="E105" s="7">
        <f t="shared" si="3"/>
        <v>12403189.4899999</v>
      </c>
      <c r="F105" s="753">
        <v>0</v>
      </c>
      <c r="G105" s="750">
        <f t="shared" si="4"/>
        <v>12403189.4899999</v>
      </c>
      <c r="H105" s="750"/>
      <c r="I105" s="83"/>
      <c r="J105" s="7"/>
    </row>
    <row r="106" spans="1:10" x14ac:dyDescent="0.2">
      <c r="A106" s="747">
        <f t="shared" si="5"/>
        <v>51</v>
      </c>
      <c r="C106" s="726" t="s">
        <v>208</v>
      </c>
      <c r="D106" s="754">
        <v>2012</v>
      </c>
      <c r="E106" s="107">
        <f t="shared" si="3"/>
        <v>205294072.97999996</v>
      </c>
      <c r="F106" s="509">
        <v>0</v>
      </c>
      <c r="G106" s="427">
        <f t="shared" si="4"/>
        <v>205294072.97999996</v>
      </c>
      <c r="H106" s="750"/>
      <c r="I106" s="83"/>
      <c r="J106" s="7"/>
    </row>
    <row r="107" spans="1:10" x14ac:dyDescent="0.2">
      <c r="A107" s="747">
        <f t="shared" si="5"/>
        <v>52</v>
      </c>
      <c r="C107" s="726" t="s">
        <v>225</v>
      </c>
      <c r="D107" s="737"/>
      <c r="E107" s="67">
        <f>SUM(E94:E106)</f>
        <v>651496631.98000002</v>
      </c>
      <c r="F107" s="67">
        <f t="shared" ref="F107:G107" si="6">SUM(F94:F106)</f>
        <v>0</v>
      </c>
      <c r="G107" s="67">
        <f t="shared" si="6"/>
        <v>651496631.98000002</v>
      </c>
      <c r="H107" s="750"/>
      <c r="I107" s="83"/>
      <c r="J107" s="1"/>
    </row>
    <row r="108" spans="1:10" x14ac:dyDescent="0.2">
      <c r="A108" s="747"/>
      <c r="C108" s="726"/>
      <c r="D108" s="737"/>
      <c r="E108" s="67"/>
      <c r="F108" s="750"/>
      <c r="G108" s="750"/>
      <c r="H108" s="750"/>
      <c r="I108" s="83"/>
      <c r="J108" s="1"/>
    </row>
    <row r="110" spans="1:10" x14ac:dyDescent="0.2">
      <c r="C110" s="221" t="s">
        <v>1960</v>
      </c>
    </row>
    <row r="112" spans="1:10" x14ac:dyDescent="0.2">
      <c r="C112" s="1" t="s">
        <v>1961</v>
      </c>
      <c r="E112" s="99" t="s">
        <v>417</v>
      </c>
      <c r="F112" s="99" t="s">
        <v>400</v>
      </c>
      <c r="G112" s="99" t="s">
        <v>401</v>
      </c>
      <c r="H112" s="99" t="s">
        <v>402</v>
      </c>
    </row>
    <row r="113" spans="1:8" x14ac:dyDescent="0.2">
      <c r="G113" s="693" t="s">
        <v>2137</v>
      </c>
      <c r="H113" s="693" t="s">
        <v>2138</v>
      </c>
    </row>
    <row r="114" spans="1:8" x14ac:dyDescent="0.2">
      <c r="C114" s="747" t="s">
        <v>648</v>
      </c>
      <c r="H114" s="684" t="s">
        <v>2139</v>
      </c>
    </row>
    <row r="115" spans="1:8" x14ac:dyDescent="0.2">
      <c r="C115" s="747" t="s">
        <v>221</v>
      </c>
      <c r="E115" s="747" t="s">
        <v>439</v>
      </c>
      <c r="F115" s="747" t="s">
        <v>1962</v>
      </c>
      <c r="G115" s="747" t="s">
        <v>1181</v>
      </c>
      <c r="H115" s="747" t="s">
        <v>1370</v>
      </c>
    </row>
    <row r="116" spans="1:8" x14ac:dyDescent="0.2">
      <c r="C116" s="25" t="s">
        <v>220</v>
      </c>
      <c r="D116" s="25" t="s">
        <v>221</v>
      </c>
      <c r="E116" s="3" t="s">
        <v>1963</v>
      </c>
      <c r="F116" s="3" t="s">
        <v>1316</v>
      </c>
      <c r="G116" s="3" t="s">
        <v>3</v>
      </c>
      <c r="H116" s="3" t="s">
        <v>1958</v>
      </c>
    </row>
    <row r="117" spans="1:8" x14ac:dyDescent="0.2">
      <c r="A117" s="747">
        <f>A107+1</f>
        <v>53</v>
      </c>
      <c r="C117" s="726" t="s">
        <v>208</v>
      </c>
      <c r="D117" s="752">
        <v>2011</v>
      </c>
      <c r="E117" s="1036">
        <v>409670435.86000007</v>
      </c>
      <c r="F117" s="1036">
        <v>21443506.793019168</v>
      </c>
      <c r="G117" s="7">
        <f t="shared" ref="G117:G129" si="7">E117-F117</f>
        <v>388226929.0669809</v>
      </c>
      <c r="H117" s="7">
        <f>E117-E117</f>
        <v>0</v>
      </c>
    </row>
    <row r="118" spans="1:8" x14ac:dyDescent="0.2">
      <c r="A118" s="747">
        <f>A117+1</f>
        <v>54</v>
      </c>
      <c r="C118" s="726" t="s">
        <v>209</v>
      </c>
      <c r="D118" s="754">
        <v>2012</v>
      </c>
      <c r="E118" s="1036">
        <v>409596934.24000013</v>
      </c>
      <c r="F118" s="1036">
        <v>22299563.874013502</v>
      </c>
      <c r="G118" s="7">
        <f t="shared" si="7"/>
        <v>387297370.36598665</v>
      </c>
      <c r="H118" s="7">
        <f>E118-E117</f>
        <v>-73501.619999945164</v>
      </c>
    </row>
    <row r="119" spans="1:8" x14ac:dyDescent="0.2">
      <c r="A119" s="747">
        <f t="shared" ref="A119:A129" si="8">A118+1</f>
        <v>55</v>
      </c>
      <c r="C119" s="724" t="s">
        <v>210</v>
      </c>
      <c r="D119" s="754">
        <v>2012</v>
      </c>
      <c r="E119" s="1036">
        <v>581856408.23000014</v>
      </c>
      <c r="F119" s="1036">
        <v>23155431.49528975</v>
      </c>
      <c r="G119" s="7">
        <f t="shared" si="7"/>
        <v>558700976.73471034</v>
      </c>
      <c r="H119" s="7">
        <f t="shared" ref="H119:H129" si="9">E119-E118</f>
        <v>172259473.99000001</v>
      </c>
    </row>
    <row r="120" spans="1:8" x14ac:dyDescent="0.2">
      <c r="A120" s="747">
        <f t="shared" si="8"/>
        <v>56</v>
      </c>
      <c r="C120" s="724" t="s">
        <v>223</v>
      </c>
      <c r="D120" s="754">
        <v>2012</v>
      </c>
      <c r="E120" s="1036">
        <v>583118863.23000014</v>
      </c>
      <c r="F120" s="1036">
        <v>24367979.924373254</v>
      </c>
      <c r="G120" s="7">
        <f t="shared" si="7"/>
        <v>558750883.30562687</v>
      </c>
      <c r="H120" s="7">
        <f t="shared" si="9"/>
        <v>1262455</v>
      </c>
    </row>
    <row r="121" spans="1:8" x14ac:dyDescent="0.2">
      <c r="A121" s="747">
        <f t="shared" si="8"/>
        <v>57</v>
      </c>
      <c r="C121" s="726" t="s">
        <v>211</v>
      </c>
      <c r="D121" s="754">
        <v>2012</v>
      </c>
      <c r="E121" s="1036">
        <v>709701893.99000013</v>
      </c>
      <c r="F121" s="1036">
        <v>25583494.803648751</v>
      </c>
      <c r="G121" s="7">
        <f t="shared" si="7"/>
        <v>684118399.18635142</v>
      </c>
      <c r="H121" s="7">
        <f t="shared" si="9"/>
        <v>126583030.75999999</v>
      </c>
    </row>
    <row r="122" spans="1:8" x14ac:dyDescent="0.2">
      <c r="A122" s="747">
        <f t="shared" si="8"/>
        <v>58</v>
      </c>
      <c r="C122" s="724" t="s">
        <v>212</v>
      </c>
      <c r="D122" s="754">
        <v>2012</v>
      </c>
      <c r="E122" s="1036">
        <v>709139442.4000001</v>
      </c>
      <c r="F122" s="1036">
        <v>27088091.061902672</v>
      </c>
      <c r="G122" s="7">
        <f t="shared" si="7"/>
        <v>682051351.33809745</v>
      </c>
      <c r="H122" s="7">
        <f t="shared" si="9"/>
        <v>-562451.59000003338</v>
      </c>
    </row>
    <row r="123" spans="1:8" x14ac:dyDescent="0.2">
      <c r="A123" s="747">
        <f t="shared" si="8"/>
        <v>59</v>
      </c>
      <c r="C123" s="724" t="s">
        <v>213</v>
      </c>
      <c r="D123" s="754">
        <v>2012</v>
      </c>
      <c r="E123" s="1036">
        <v>709719737.44000018</v>
      </c>
      <c r="F123" s="1036">
        <v>28591267.08826809</v>
      </c>
      <c r="G123" s="7">
        <f t="shared" si="7"/>
        <v>681128470.35173213</v>
      </c>
      <c r="H123" s="7">
        <f t="shared" si="9"/>
        <v>580295.04000008106</v>
      </c>
    </row>
    <row r="124" spans="1:8" x14ac:dyDescent="0.2">
      <c r="A124" s="747">
        <f t="shared" si="8"/>
        <v>60</v>
      </c>
      <c r="C124" s="726" t="s">
        <v>214</v>
      </c>
      <c r="D124" s="754">
        <v>2012</v>
      </c>
      <c r="E124" s="1036">
        <v>726922408.9000001</v>
      </c>
      <c r="F124" s="1036">
        <v>30095904.214072511</v>
      </c>
      <c r="G124" s="7">
        <f t="shared" si="7"/>
        <v>696826504.68592763</v>
      </c>
      <c r="H124" s="7">
        <f t="shared" si="9"/>
        <v>17202671.459999919</v>
      </c>
    </row>
    <row r="125" spans="1:8" x14ac:dyDescent="0.2">
      <c r="A125" s="747">
        <f t="shared" si="8"/>
        <v>61</v>
      </c>
      <c r="C125" s="724" t="s">
        <v>215</v>
      </c>
      <c r="D125" s="754">
        <v>2012</v>
      </c>
      <c r="E125" s="1036">
        <v>839085803.76000023</v>
      </c>
      <c r="F125" s="1036">
        <v>31638112.49947134</v>
      </c>
      <c r="G125" s="7">
        <f t="shared" si="7"/>
        <v>807447691.26052892</v>
      </c>
      <c r="H125" s="7">
        <f t="shared" si="9"/>
        <v>112163394.86000013</v>
      </c>
    </row>
    <row r="126" spans="1:8" x14ac:dyDescent="0.2">
      <c r="A126" s="747">
        <f t="shared" si="8"/>
        <v>62</v>
      </c>
      <c r="C126" s="724" t="s">
        <v>216</v>
      </c>
      <c r="D126" s="754">
        <v>2012</v>
      </c>
      <c r="E126" s="1036">
        <v>842024699.26000011</v>
      </c>
      <c r="F126" s="1036">
        <v>33411462.665230677</v>
      </c>
      <c r="G126" s="7">
        <f t="shared" si="7"/>
        <v>808613236.59476948</v>
      </c>
      <c r="H126" s="7">
        <f t="shared" si="9"/>
        <v>2938895.4999998808</v>
      </c>
    </row>
    <row r="127" spans="1:8" x14ac:dyDescent="0.2">
      <c r="A127" s="747">
        <f t="shared" si="8"/>
        <v>63</v>
      </c>
      <c r="C127" s="726" t="s">
        <v>217</v>
      </c>
      <c r="D127" s="754">
        <v>2012</v>
      </c>
      <c r="E127" s="1036">
        <v>843543676.79000032</v>
      </c>
      <c r="F127" s="1036">
        <v>35191593.314322345</v>
      </c>
      <c r="G127" s="7">
        <f t="shared" si="7"/>
        <v>808352083.47567797</v>
      </c>
      <c r="H127" s="7">
        <f t="shared" si="9"/>
        <v>1518977.5300002098</v>
      </c>
    </row>
    <row r="128" spans="1:8" x14ac:dyDescent="0.2">
      <c r="A128" s="747">
        <f t="shared" si="8"/>
        <v>64</v>
      </c>
      <c r="C128" s="726" t="s">
        <v>218</v>
      </c>
      <c r="D128" s="754">
        <v>2012</v>
      </c>
      <c r="E128" s="1036">
        <v>853480767.52000022</v>
      </c>
      <c r="F128" s="1036">
        <v>36975048.890306257</v>
      </c>
      <c r="G128" s="7">
        <f t="shared" si="7"/>
        <v>816505718.62969398</v>
      </c>
      <c r="H128" s="7">
        <f t="shared" si="9"/>
        <v>9937090.7299998999</v>
      </c>
    </row>
    <row r="129" spans="1:8" x14ac:dyDescent="0.2">
      <c r="A129" s="747">
        <f t="shared" si="8"/>
        <v>65</v>
      </c>
      <c r="C129" s="726" t="s">
        <v>208</v>
      </c>
      <c r="D129" s="754">
        <v>2012</v>
      </c>
      <c r="E129" s="1036">
        <v>1058978732.3100002</v>
      </c>
      <c r="F129" s="1036">
        <v>38780021.462080173</v>
      </c>
      <c r="G129" s="7">
        <f t="shared" si="7"/>
        <v>1020198710.8479201</v>
      </c>
      <c r="H129" s="7">
        <f t="shared" si="9"/>
        <v>205497964.78999996</v>
      </c>
    </row>
    <row r="130" spans="1:8" x14ac:dyDescent="0.2">
      <c r="A130" s="747"/>
      <c r="C130" s="726"/>
      <c r="D130" s="737"/>
    </row>
    <row r="132" spans="1:8" x14ac:dyDescent="0.2">
      <c r="C132" s="221" t="s">
        <v>1964</v>
      </c>
      <c r="E132" s="99" t="s">
        <v>417</v>
      </c>
      <c r="F132" s="99" t="s">
        <v>400</v>
      </c>
      <c r="G132" s="99" t="s">
        <v>401</v>
      </c>
      <c r="H132" s="99" t="s">
        <v>402</v>
      </c>
    </row>
    <row r="133" spans="1:8" x14ac:dyDescent="0.2">
      <c r="G133" s="693" t="s">
        <v>2137</v>
      </c>
      <c r="H133" s="693" t="s">
        <v>2138</v>
      </c>
    </row>
    <row r="134" spans="1:8" x14ac:dyDescent="0.2">
      <c r="C134" s="747" t="s">
        <v>648</v>
      </c>
      <c r="H134" s="684" t="s">
        <v>2139</v>
      </c>
    </row>
    <row r="135" spans="1:8" x14ac:dyDescent="0.2">
      <c r="C135" s="747" t="s">
        <v>221</v>
      </c>
      <c r="E135" s="747" t="s">
        <v>439</v>
      </c>
      <c r="F135" s="747" t="s">
        <v>1962</v>
      </c>
      <c r="G135" s="747" t="s">
        <v>1181</v>
      </c>
      <c r="H135" s="747" t="s">
        <v>1370</v>
      </c>
    </row>
    <row r="136" spans="1:8" x14ac:dyDescent="0.2">
      <c r="C136" s="25" t="s">
        <v>220</v>
      </c>
      <c r="D136" s="25" t="s">
        <v>221</v>
      </c>
      <c r="E136" s="3" t="s">
        <v>1963</v>
      </c>
      <c r="F136" s="3" t="s">
        <v>1316</v>
      </c>
      <c r="G136" s="3" t="s">
        <v>3</v>
      </c>
      <c r="H136" s="3" t="s">
        <v>1958</v>
      </c>
    </row>
    <row r="137" spans="1:8" x14ac:dyDescent="0.2">
      <c r="A137" s="747">
        <f>A129+1</f>
        <v>66</v>
      </c>
      <c r="C137" s="726" t="s">
        <v>208</v>
      </c>
      <c r="D137" s="752">
        <v>2011</v>
      </c>
      <c r="E137" s="1037">
        <v>192031845.92999995</v>
      </c>
      <c r="F137" s="1037">
        <v>12797877.723502412</v>
      </c>
      <c r="G137" s="7">
        <f>E137-F137</f>
        <v>179233968.20649755</v>
      </c>
      <c r="H137" s="7">
        <f>E137-E137</f>
        <v>0</v>
      </c>
    </row>
    <row r="138" spans="1:8" x14ac:dyDescent="0.2">
      <c r="A138" s="747">
        <f>A137+1</f>
        <v>67</v>
      </c>
      <c r="C138" s="726" t="s">
        <v>209</v>
      </c>
      <c r="D138" s="754">
        <v>2012</v>
      </c>
      <c r="E138" s="1037">
        <v>192031845.92999995</v>
      </c>
      <c r="F138" s="1037">
        <v>13215745.948676161</v>
      </c>
      <c r="G138" s="7">
        <f t="shared" ref="G138:G149" si="10">E138-F138</f>
        <v>178816099.98132378</v>
      </c>
      <c r="H138" s="7">
        <f>E138-E137</f>
        <v>0</v>
      </c>
    </row>
    <row r="139" spans="1:8" x14ac:dyDescent="0.2">
      <c r="A139" s="747">
        <f t="shared" ref="A139:A149" si="11">A138+1</f>
        <v>68</v>
      </c>
      <c r="C139" s="724" t="s">
        <v>210</v>
      </c>
      <c r="D139" s="754">
        <v>2012</v>
      </c>
      <c r="E139" s="1037">
        <v>192031845.92999995</v>
      </c>
      <c r="F139" s="1037">
        <v>13633614.17384991</v>
      </c>
      <c r="G139" s="7">
        <f t="shared" si="10"/>
        <v>178398231.75615004</v>
      </c>
      <c r="H139" s="7">
        <f t="shared" ref="H139:H149" si="12">E139-E138</f>
        <v>0</v>
      </c>
    </row>
    <row r="140" spans="1:8" x14ac:dyDescent="0.2">
      <c r="A140" s="747">
        <f t="shared" si="11"/>
        <v>69</v>
      </c>
      <c r="C140" s="724" t="s">
        <v>223</v>
      </c>
      <c r="D140" s="754">
        <v>2012</v>
      </c>
      <c r="E140" s="1037">
        <v>192031845.92999995</v>
      </c>
      <c r="F140" s="1037">
        <v>14051482.39902366</v>
      </c>
      <c r="G140" s="7">
        <f t="shared" si="10"/>
        <v>177980363.5309763</v>
      </c>
      <c r="H140" s="7">
        <f t="shared" si="12"/>
        <v>0</v>
      </c>
    </row>
    <row r="141" spans="1:8" x14ac:dyDescent="0.2">
      <c r="A141" s="747">
        <f t="shared" si="11"/>
        <v>70</v>
      </c>
      <c r="C141" s="726" t="s">
        <v>211</v>
      </c>
      <c r="D141" s="754">
        <v>2012</v>
      </c>
      <c r="E141" s="1037">
        <v>192031845.92999995</v>
      </c>
      <c r="F141" s="1037">
        <v>14469350.624197409</v>
      </c>
      <c r="G141" s="7">
        <f t="shared" si="10"/>
        <v>177562495.30580252</v>
      </c>
      <c r="H141" s="7">
        <f t="shared" si="12"/>
        <v>0</v>
      </c>
    </row>
    <row r="142" spans="1:8" x14ac:dyDescent="0.2">
      <c r="A142" s="747">
        <f t="shared" si="11"/>
        <v>71</v>
      </c>
      <c r="C142" s="724" t="s">
        <v>212</v>
      </c>
      <c r="D142" s="754">
        <v>2012</v>
      </c>
      <c r="E142" s="1037">
        <v>192031845.92999995</v>
      </c>
      <c r="F142" s="1037">
        <v>14887218.849371158</v>
      </c>
      <c r="G142" s="7">
        <f t="shared" si="10"/>
        <v>177144627.08062878</v>
      </c>
      <c r="H142" s="7">
        <f t="shared" si="12"/>
        <v>0</v>
      </c>
    </row>
    <row r="143" spans="1:8" x14ac:dyDescent="0.2">
      <c r="A143" s="747">
        <f t="shared" si="11"/>
        <v>72</v>
      </c>
      <c r="C143" s="724" t="s">
        <v>213</v>
      </c>
      <c r="D143" s="754">
        <v>2012</v>
      </c>
      <c r="E143" s="1037">
        <v>191957974.50999996</v>
      </c>
      <c r="F143" s="1037">
        <v>15305087.074544907</v>
      </c>
      <c r="G143" s="7">
        <f t="shared" si="10"/>
        <v>176652887.43545505</v>
      </c>
      <c r="H143" s="7">
        <f t="shared" si="12"/>
        <v>-73871.419999986887</v>
      </c>
    </row>
    <row r="144" spans="1:8" x14ac:dyDescent="0.2">
      <c r="A144" s="747">
        <f t="shared" si="11"/>
        <v>73</v>
      </c>
      <c r="C144" s="726" t="s">
        <v>214</v>
      </c>
      <c r="D144" s="754">
        <v>2012</v>
      </c>
      <c r="E144" s="1037">
        <v>191957974.50999996</v>
      </c>
      <c r="F144" s="1037">
        <v>15722739.841410324</v>
      </c>
      <c r="G144" s="7">
        <f t="shared" si="10"/>
        <v>176235234.66858965</v>
      </c>
      <c r="H144" s="7">
        <f t="shared" si="12"/>
        <v>0</v>
      </c>
    </row>
    <row r="145" spans="1:8" x14ac:dyDescent="0.2">
      <c r="A145" s="747">
        <f t="shared" si="11"/>
        <v>74</v>
      </c>
      <c r="C145" s="724" t="s">
        <v>215</v>
      </c>
      <c r="D145" s="754">
        <v>2012</v>
      </c>
      <c r="E145" s="1037">
        <v>191957974.50999996</v>
      </c>
      <c r="F145" s="1037">
        <v>16140392.608275739</v>
      </c>
      <c r="G145" s="7">
        <f t="shared" si="10"/>
        <v>175817581.90172422</v>
      </c>
      <c r="H145" s="7">
        <f t="shared" si="12"/>
        <v>0</v>
      </c>
    </row>
    <row r="146" spans="1:8" x14ac:dyDescent="0.2">
      <c r="A146" s="747">
        <f t="shared" si="11"/>
        <v>75</v>
      </c>
      <c r="C146" s="724" t="s">
        <v>216</v>
      </c>
      <c r="D146" s="754">
        <v>2012</v>
      </c>
      <c r="E146" s="1037">
        <v>191957974.50999996</v>
      </c>
      <c r="F146" s="1037">
        <v>16558045.375141155</v>
      </c>
      <c r="G146" s="7">
        <f t="shared" si="10"/>
        <v>175399929.13485882</v>
      </c>
      <c r="H146" s="7">
        <f t="shared" si="12"/>
        <v>0</v>
      </c>
    </row>
    <row r="147" spans="1:8" x14ac:dyDescent="0.2">
      <c r="A147" s="747">
        <f t="shared" si="11"/>
        <v>76</v>
      </c>
      <c r="C147" s="726" t="s">
        <v>217</v>
      </c>
      <c r="D147" s="754">
        <v>2012</v>
      </c>
      <c r="E147" s="1037">
        <v>191957974.50999996</v>
      </c>
      <c r="F147" s="1037">
        <v>16975698.142006569</v>
      </c>
      <c r="G147" s="7">
        <f t="shared" si="10"/>
        <v>174982276.36799338</v>
      </c>
      <c r="H147" s="7">
        <f t="shared" si="12"/>
        <v>0</v>
      </c>
    </row>
    <row r="148" spans="1:8" x14ac:dyDescent="0.2">
      <c r="A148" s="747">
        <f t="shared" si="11"/>
        <v>77</v>
      </c>
      <c r="C148" s="726" t="s">
        <v>218</v>
      </c>
      <c r="D148" s="754">
        <v>2012</v>
      </c>
      <c r="E148" s="1037">
        <v>191957974.50999996</v>
      </c>
      <c r="F148" s="1037">
        <v>17393350.908871986</v>
      </c>
      <c r="G148" s="7">
        <f t="shared" si="10"/>
        <v>174564623.60112798</v>
      </c>
      <c r="H148" s="7">
        <f t="shared" si="12"/>
        <v>0</v>
      </c>
    </row>
    <row r="149" spans="1:8" x14ac:dyDescent="0.2">
      <c r="A149" s="747">
        <f t="shared" si="11"/>
        <v>78</v>
      </c>
      <c r="C149" s="726" t="s">
        <v>208</v>
      </c>
      <c r="D149" s="754">
        <v>2012</v>
      </c>
      <c r="E149" s="1037">
        <v>191523855.31999996</v>
      </c>
      <c r="F149" s="1037">
        <v>17811003.675737403</v>
      </c>
      <c r="G149" s="7">
        <f t="shared" si="10"/>
        <v>173712851.64426255</v>
      </c>
      <c r="H149" s="7">
        <f t="shared" si="12"/>
        <v>-434119.18999999762</v>
      </c>
    </row>
    <row r="150" spans="1:8" x14ac:dyDescent="0.2">
      <c r="A150" s="747"/>
    </row>
    <row r="151" spans="1:8" ht="12.75" customHeight="1" x14ac:dyDescent="0.2"/>
    <row r="152" spans="1:8" x14ac:dyDescent="0.2">
      <c r="C152" s="221" t="s">
        <v>1965</v>
      </c>
      <c r="E152" s="99" t="s">
        <v>417</v>
      </c>
      <c r="F152" s="99" t="s">
        <v>400</v>
      </c>
      <c r="G152" s="99" t="s">
        <v>401</v>
      </c>
      <c r="H152" s="99" t="s">
        <v>402</v>
      </c>
    </row>
    <row r="153" spans="1:8" x14ac:dyDescent="0.2">
      <c r="G153" s="693" t="s">
        <v>2137</v>
      </c>
      <c r="H153" s="693" t="s">
        <v>2138</v>
      </c>
    </row>
    <row r="154" spans="1:8" x14ac:dyDescent="0.2">
      <c r="C154" s="747" t="s">
        <v>648</v>
      </c>
      <c r="H154" s="684" t="s">
        <v>2139</v>
      </c>
    </row>
    <row r="155" spans="1:8" x14ac:dyDescent="0.2">
      <c r="C155" s="747" t="s">
        <v>221</v>
      </c>
      <c r="E155" s="747" t="s">
        <v>439</v>
      </c>
      <c r="F155" s="747" t="s">
        <v>1962</v>
      </c>
      <c r="G155" s="747" t="s">
        <v>1181</v>
      </c>
      <c r="H155" s="747" t="s">
        <v>1370</v>
      </c>
    </row>
    <row r="156" spans="1:8" x14ac:dyDescent="0.2">
      <c r="C156" s="25" t="s">
        <v>220</v>
      </c>
      <c r="D156" s="25" t="s">
        <v>221</v>
      </c>
      <c r="E156" s="3" t="s">
        <v>1963</v>
      </c>
      <c r="F156" s="3" t="s">
        <v>1316</v>
      </c>
      <c r="G156" s="3" t="s">
        <v>3</v>
      </c>
      <c r="H156" s="3" t="s">
        <v>1958</v>
      </c>
    </row>
    <row r="157" spans="1:8" x14ac:dyDescent="0.2">
      <c r="A157" s="747">
        <f>A149+1</f>
        <v>79</v>
      </c>
      <c r="C157" s="726" t="s">
        <v>208</v>
      </c>
      <c r="D157" s="752">
        <v>2011</v>
      </c>
      <c r="E157" s="1038">
        <v>0</v>
      </c>
      <c r="F157" s="1038">
        <v>0</v>
      </c>
      <c r="G157" s="7">
        <f t="shared" ref="G157:G169" si="13">E157-F157</f>
        <v>0</v>
      </c>
      <c r="H157" s="7">
        <f>E157-E157</f>
        <v>0</v>
      </c>
    </row>
    <row r="158" spans="1:8" x14ac:dyDescent="0.2">
      <c r="A158" s="747">
        <f>A157+1</f>
        <v>80</v>
      </c>
      <c r="C158" s="726" t="s">
        <v>209</v>
      </c>
      <c r="D158" s="754">
        <v>2012</v>
      </c>
      <c r="E158" s="1038">
        <v>0</v>
      </c>
      <c r="F158" s="1038">
        <v>0</v>
      </c>
      <c r="G158" s="7">
        <f t="shared" si="13"/>
        <v>0</v>
      </c>
      <c r="H158" s="7">
        <f>E158-E157</f>
        <v>0</v>
      </c>
    </row>
    <row r="159" spans="1:8" x14ac:dyDescent="0.2">
      <c r="A159" s="747">
        <f t="shared" ref="A159:A169" si="14">A158+1</f>
        <v>81</v>
      </c>
      <c r="C159" s="724" t="s">
        <v>210</v>
      </c>
      <c r="D159" s="754">
        <v>2012</v>
      </c>
      <c r="E159" s="1038">
        <v>0</v>
      </c>
      <c r="F159" s="1038">
        <v>0</v>
      </c>
      <c r="G159" s="7">
        <f t="shared" si="13"/>
        <v>0</v>
      </c>
      <c r="H159" s="7">
        <f t="shared" ref="H159:H169" si="15">E159-E158</f>
        <v>0</v>
      </c>
    </row>
    <row r="160" spans="1:8" x14ac:dyDescent="0.2">
      <c r="A160" s="747">
        <f t="shared" si="14"/>
        <v>82</v>
      </c>
      <c r="C160" s="724" t="s">
        <v>223</v>
      </c>
      <c r="D160" s="754">
        <v>2012</v>
      </c>
      <c r="E160" s="1038">
        <v>0</v>
      </c>
      <c r="F160" s="1038">
        <v>0</v>
      </c>
      <c r="G160" s="7">
        <f t="shared" si="13"/>
        <v>0</v>
      </c>
      <c r="H160" s="7">
        <f t="shared" si="15"/>
        <v>0</v>
      </c>
    </row>
    <row r="161" spans="1:8" x14ac:dyDescent="0.2">
      <c r="A161" s="747">
        <f t="shared" si="14"/>
        <v>83</v>
      </c>
      <c r="C161" s="726" t="s">
        <v>211</v>
      </c>
      <c r="D161" s="754">
        <v>2012</v>
      </c>
      <c r="E161" s="1038">
        <v>0</v>
      </c>
      <c r="F161" s="1038">
        <v>0</v>
      </c>
      <c r="G161" s="7">
        <f t="shared" si="13"/>
        <v>0</v>
      </c>
      <c r="H161" s="7">
        <f t="shared" si="15"/>
        <v>0</v>
      </c>
    </row>
    <row r="162" spans="1:8" x14ac:dyDescent="0.2">
      <c r="A162" s="747">
        <f t="shared" si="14"/>
        <v>84</v>
      </c>
      <c r="C162" s="724" t="s">
        <v>212</v>
      </c>
      <c r="D162" s="754">
        <v>2012</v>
      </c>
      <c r="E162" s="1038">
        <v>0</v>
      </c>
      <c r="F162" s="1038">
        <v>0</v>
      </c>
      <c r="G162" s="7">
        <f t="shared" si="13"/>
        <v>0</v>
      </c>
      <c r="H162" s="7">
        <f t="shared" si="15"/>
        <v>0</v>
      </c>
    </row>
    <row r="163" spans="1:8" x14ac:dyDescent="0.2">
      <c r="A163" s="747">
        <f t="shared" si="14"/>
        <v>85</v>
      </c>
      <c r="C163" s="724" t="s">
        <v>213</v>
      </c>
      <c r="D163" s="754">
        <v>2012</v>
      </c>
      <c r="E163" s="1038">
        <v>0</v>
      </c>
      <c r="F163" s="1038">
        <v>0</v>
      </c>
      <c r="G163" s="7">
        <f t="shared" si="13"/>
        <v>0</v>
      </c>
      <c r="H163" s="7">
        <f t="shared" si="15"/>
        <v>0</v>
      </c>
    </row>
    <row r="164" spans="1:8" x14ac:dyDescent="0.2">
      <c r="A164" s="747">
        <f t="shared" si="14"/>
        <v>86</v>
      </c>
      <c r="C164" s="726" t="s">
        <v>214</v>
      </c>
      <c r="D164" s="754">
        <v>2012</v>
      </c>
      <c r="E164" s="1038">
        <v>0</v>
      </c>
      <c r="F164" s="1038">
        <v>0</v>
      </c>
      <c r="G164" s="7">
        <f t="shared" si="13"/>
        <v>0</v>
      </c>
      <c r="H164" s="7">
        <f t="shared" si="15"/>
        <v>0</v>
      </c>
    </row>
    <row r="165" spans="1:8" x14ac:dyDescent="0.2">
      <c r="A165" s="747">
        <f t="shared" si="14"/>
        <v>87</v>
      </c>
      <c r="C165" s="724" t="s">
        <v>215</v>
      </c>
      <c r="D165" s="754">
        <v>2012</v>
      </c>
      <c r="E165" s="1038">
        <v>0</v>
      </c>
      <c r="F165" s="1038">
        <v>0</v>
      </c>
      <c r="G165" s="7">
        <f t="shared" si="13"/>
        <v>0</v>
      </c>
      <c r="H165" s="7">
        <f t="shared" si="15"/>
        <v>0</v>
      </c>
    </row>
    <row r="166" spans="1:8" x14ac:dyDescent="0.2">
      <c r="A166" s="747">
        <f t="shared" si="14"/>
        <v>88</v>
      </c>
      <c r="C166" s="724" t="s">
        <v>216</v>
      </c>
      <c r="D166" s="754">
        <v>2012</v>
      </c>
      <c r="E166" s="1038">
        <v>0</v>
      </c>
      <c r="F166" s="1038">
        <v>0</v>
      </c>
      <c r="G166" s="7">
        <f t="shared" si="13"/>
        <v>0</v>
      </c>
      <c r="H166" s="7">
        <f t="shared" si="15"/>
        <v>0</v>
      </c>
    </row>
    <row r="167" spans="1:8" x14ac:dyDescent="0.2">
      <c r="A167" s="747">
        <f t="shared" si="14"/>
        <v>89</v>
      </c>
      <c r="C167" s="726" t="s">
        <v>217</v>
      </c>
      <c r="D167" s="754">
        <v>2012</v>
      </c>
      <c r="E167" s="1038">
        <v>0</v>
      </c>
      <c r="F167" s="1038">
        <v>0</v>
      </c>
      <c r="G167" s="7">
        <f t="shared" si="13"/>
        <v>0</v>
      </c>
      <c r="H167" s="7">
        <f t="shared" si="15"/>
        <v>0</v>
      </c>
    </row>
    <row r="168" spans="1:8" x14ac:dyDescent="0.2">
      <c r="A168" s="747">
        <f t="shared" si="14"/>
        <v>90</v>
      </c>
      <c r="C168" s="726" t="s">
        <v>218</v>
      </c>
      <c r="D168" s="754">
        <v>2012</v>
      </c>
      <c r="E168" s="1038">
        <v>0</v>
      </c>
      <c r="F168" s="1038">
        <v>0</v>
      </c>
      <c r="G168" s="7">
        <f t="shared" si="13"/>
        <v>0</v>
      </c>
      <c r="H168" s="7">
        <f t="shared" si="15"/>
        <v>0</v>
      </c>
    </row>
    <row r="169" spans="1:8" x14ac:dyDescent="0.2">
      <c r="A169" s="747">
        <f t="shared" si="14"/>
        <v>91</v>
      </c>
      <c r="C169" s="726" t="s">
        <v>208</v>
      </c>
      <c r="D169" s="754">
        <v>2012</v>
      </c>
      <c r="E169" s="1038">
        <v>0</v>
      </c>
      <c r="F169" s="1038">
        <v>0</v>
      </c>
      <c r="G169" s="7">
        <f t="shared" si="13"/>
        <v>0</v>
      </c>
      <c r="H169" s="7">
        <f t="shared" si="15"/>
        <v>0</v>
      </c>
    </row>
    <row r="171" spans="1:8" x14ac:dyDescent="0.2">
      <c r="C171" s="221" t="s">
        <v>1966</v>
      </c>
      <c r="E171" s="99" t="s">
        <v>417</v>
      </c>
      <c r="F171" s="99" t="s">
        <v>400</v>
      </c>
      <c r="G171" s="99" t="s">
        <v>401</v>
      </c>
      <c r="H171" s="99" t="s">
        <v>402</v>
      </c>
    </row>
    <row r="172" spans="1:8" x14ac:dyDescent="0.2">
      <c r="G172" s="693" t="s">
        <v>2137</v>
      </c>
      <c r="H172" s="693" t="s">
        <v>2138</v>
      </c>
    </row>
    <row r="173" spans="1:8" x14ac:dyDescent="0.2">
      <c r="C173" s="747" t="s">
        <v>648</v>
      </c>
      <c r="H173" s="684" t="s">
        <v>2139</v>
      </c>
    </row>
    <row r="174" spans="1:8" x14ac:dyDescent="0.2">
      <c r="C174" s="747" t="s">
        <v>221</v>
      </c>
      <c r="E174" s="747" t="s">
        <v>439</v>
      </c>
      <c r="F174" s="747" t="s">
        <v>1962</v>
      </c>
      <c r="G174" s="747" t="s">
        <v>1181</v>
      </c>
      <c r="H174" s="747" t="s">
        <v>1370</v>
      </c>
    </row>
    <row r="175" spans="1:8" x14ac:dyDescent="0.2">
      <c r="C175" s="25" t="s">
        <v>220</v>
      </c>
      <c r="D175" s="25" t="s">
        <v>221</v>
      </c>
      <c r="E175" s="3" t="s">
        <v>1963</v>
      </c>
      <c r="F175" s="3" t="s">
        <v>1316</v>
      </c>
      <c r="G175" s="3" t="s">
        <v>3</v>
      </c>
      <c r="H175" s="3" t="s">
        <v>1958</v>
      </c>
    </row>
    <row r="176" spans="1:8" x14ac:dyDescent="0.2">
      <c r="A176" s="747">
        <f>A169+1</f>
        <v>92</v>
      </c>
      <c r="C176" s="726" t="s">
        <v>208</v>
      </c>
      <c r="D176" s="752">
        <v>2011</v>
      </c>
      <c r="E176" s="1039">
        <v>0</v>
      </c>
      <c r="F176" s="1039">
        <v>0</v>
      </c>
      <c r="G176" s="7">
        <f t="shared" ref="G176:G188" si="16">E176-F176</f>
        <v>0</v>
      </c>
      <c r="H176" s="7">
        <f>E176-E176</f>
        <v>0</v>
      </c>
    </row>
    <row r="177" spans="1:8" x14ac:dyDescent="0.2">
      <c r="A177" s="747">
        <f>A176+1</f>
        <v>93</v>
      </c>
      <c r="C177" s="726" t="s">
        <v>209</v>
      </c>
      <c r="D177" s="754">
        <v>2012</v>
      </c>
      <c r="E177" s="1039">
        <v>0</v>
      </c>
      <c r="F177" s="1039">
        <v>0</v>
      </c>
      <c r="G177" s="7">
        <f t="shared" si="16"/>
        <v>0</v>
      </c>
      <c r="H177" s="7">
        <f>E177-E176</f>
        <v>0</v>
      </c>
    </row>
    <row r="178" spans="1:8" x14ac:dyDescent="0.2">
      <c r="A178" s="747">
        <f t="shared" ref="A178:A188" si="17">A177+1</f>
        <v>94</v>
      </c>
      <c r="C178" s="724" t="s">
        <v>210</v>
      </c>
      <c r="D178" s="754">
        <v>2012</v>
      </c>
      <c r="E178" s="1039">
        <v>0</v>
      </c>
      <c r="F178" s="1039">
        <v>0</v>
      </c>
      <c r="G178" s="7">
        <f t="shared" si="16"/>
        <v>0</v>
      </c>
      <c r="H178" s="7">
        <f t="shared" ref="H178:H188" si="18">E178-E177</f>
        <v>0</v>
      </c>
    </row>
    <row r="179" spans="1:8" x14ac:dyDescent="0.2">
      <c r="A179" s="747">
        <f t="shared" si="17"/>
        <v>95</v>
      </c>
      <c r="C179" s="724" t="s">
        <v>223</v>
      </c>
      <c r="D179" s="754">
        <v>2012</v>
      </c>
      <c r="E179" s="1039">
        <v>0</v>
      </c>
      <c r="F179" s="1039">
        <v>0</v>
      </c>
      <c r="G179" s="7">
        <f t="shared" si="16"/>
        <v>0</v>
      </c>
      <c r="H179" s="7">
        <f t="shared" si="18"/>
        <v>0</v>
      </c>
    </row>
    <row r="180" spans="1:8" x14ac:dyDescent="0.2">
      <c r="A180" s="747">
        <f t="shared" si="17"/>
        <v>96</v>
      </c>
      <c r="C180" s="726" t="s">
        <v>211</v>
      </c>
      <c r="D180" s="754">
        <v>2012</v>
      </c>
      <c r="E180" s="1039">
        <v>0</v>
      </c>
      <c r="F180" s="1039">
        <v>0</v>
      </c>
      <c r="G180" s="7">
        <f t="shared" si="16"/>
        <v>0</v>
      </c>
      <c r="H180" s="7">
        <f t="shared" si="18"/>
        <v>0</v>
      </c>
    </row>
    <row r="181" spans="1:8" x14ac:dyDescent="0.2">
      <c r="A181" s="747">
        <f t="shared" si="17"/>
        <v>97</v>
      </c>
      <c r="C181" s="724" t="s">
        <v>212</v>
      </c>
      <c r="D181" s="754">
        <v>2012</v>
      </c>
      <c r="E181" s="1039">
        <v>0</v>
      </c>
      <c r="F181" s="1039">
        <v>0</v>
      </c>
      <c r="G181" s="7">
        <f t="shared" si="16"/>
        <v>0</v>
      </c>
      <c r="H181" s="7">
        <f t="shared" si="18"/>
        <v>0</v>
      </c>
    </row>
    <row r="182" spans="1:8" x14ac:dyDescent="0.2">
      <c r="A182" s="747">
        <f t="shared" si="17"/>
        <v>98</v>
      </c>
      <c r="C182" s="724" t="s">
        <v>213</v>
      </c>
      <c r="D182" s="754">
        <v>2012</v>
      </c>
      <c r="E182" s="1039">
        <v>0</v>
      </c>
      <c r="F182" s="1039">
        <v>0</v>
      </c>
      <c r="G182" s="7">
        <f t="shared" si="16"/>
        <v>0</v>
      </c>
      <c r="H182" s="7">
        <f t="shared" si="18"/>
        <v>0</v>
      </c>
    </row>
    <row r="183" spans="1:8" x14ac:dyDescent="0.2">
      <c r="A183" s="747">
        <f t="shared" si="17"/>
        <v>99</v>
      </c>
      <c r="C183" s="726" t="s">
        <v>214</v>
      </c>
      <c r="D183" s="754">
        <v>2012</v>
      </c>
      <c r="E183" s="1039">
        <v>0</v>
      </c>
      <c r="F183" s="1039">
        <v>0</v>
      </c>
      <c r="G183" s="7">
        <f t="shared" si="16"/>
        <v>0</v>
      </c>
      <c r="H183" s="7">
        <f t="shared" si="18"/>
        <v>0</v>
      </c>
    </row>
    <row r="184" spans="1:8" x14ac:dyDescent="0.2">
      <c r="A184" s="747">
        <f t="shared" si="17"/>
        <v>100</v>
      </c>
      <c r="C184" s="724" t="s">
        <v>215</v>
      </c>
      <c r="D184" s="754">
        <v>2012</v>
      </c>
      <c r="E184" s="1039">
        <v>0</v>
      </c>
      <c r="F184" s="1039">
        <v>0</v>
      </c>
      <c r="G184" s="7">
        <f t="shared" si="16"/>
        <v>0</v>
      </c>
      <c r="H184" s="7">
        <f t="shared" si="18"/>
        <v>0</v>
      </c>
    </row>
    <row r="185" spans="1:8" x14ac:dyDescent="0.2">
      <c r="A185" s="747">
        <f t="shared" si="17"/>
        <v>101</v>
      </c>
      <c r="C185" s="724" t="s">
        <v>216</v>
      </c>
      <c r="D185" s="754">
        <v>2012</v>
      </c>
      <c r="E185" s="1039">
        <v>0</v>
      </c>
      <c r="F185" s="1039">
        <v>0</v>
      </c>
      <c r="G185" s="7">
        <f t="shared" si="16"/>
        <v>0</v>
      </c>
      <c r="H185" s="7">
        <f t="shared" si="18"/>
        <v>0</v>
      </c>
    </row>
    <row r="186" spans="1:8" x14ac:dyDescent="0.2">
      <c r="A186" s="747">
        <f t="shared" si="17"/>
        <v>102</v>
      </c>
      <c r="C186" s="726" t="s">
        <v>217</v>
      </c>
      <c r="D186" s="754">
        <v>2012</v>
      </c>
      <c r="E186" s="1039">
        <v>0</v>
      </c>
      <c r="F186" s="1039">
        <v>0</v>
      </c>
      <c r="G186" s="7">
        <f t="shared" si="16"/>
        <v>0</v>
      </c>
      <c r="H186" s="7">
        <f t="shared" si="18"/>
        <v>0</v>
      </c>
    </row>
    <row r="187" spans="1:8" x14ac:dyDescent="0.2">
      <c r="A187" s="747">
        <f t="shared" si="17"/>
        <v>103</v>
      </c>
      <c r="C187" s="726" t="s">
        <v>218</v>
      </c>
      <c r="D187" s="754">
        <v>2012</v>
      </c>
      <c r="E187" s="1039">
        <v>0</v>
      </c>
      <c r="F187" s="1039">
        <v>0</v>
      </c>
      <c r="G187" s="7">
        <f t="shared" si="16"/>
        <v>0</v>
      </c>
      <c r="H187" s="7">
        <f t="shared" si="18"/>
        <v>0</v>
      </c>
    </row>
    <row r="188" spans="1:8" x14ac:dyDescent="0.2">
      <c r="A188" s="747">
        <f t="shared" si="17"/>
        <v>104</v>
      </c>
      <c r="C188" s="726" t="s">
        <v>208</v>
      </c>
      <c r="D188" s="754">
        <v>2012</v>
      </c>
      <c r="E188" s="1039">
        <v>0</v>
      </c>
      <c r="F188" s="1039">
        <v>0</v>
      </c>
      <c r="G188" s="7">
        <f t="shared" si="16"/>
        <v>0</v>
      </c>
      <c r="H188" s="7">
        <f t="shared" si="18"/>
        <v>0</v>
      </c>
    </row>
    <row r="190" spans="1:8" x14ac:dyDescent="0.2">
      <c r="C190" s="221" t="s">
        <v>1967</v>
      </c>
      <c r="E190" s="99" t="s">
        <v>417</v>
      </c>
      <c r="F190" s="99" t="s">
        <v>400</v>
      </c>
      <c r="G190" s="99" t="s">
        <v>401</v>
      </c>
      <c r="H190" s="99" t="s">
        <v>402</v>
      </c>
    </row>
    <row r="191" spans="1:8" x14ac:dyDescent="0.2">
      <c r="G191" s="693" t="s">
        <v>2137</v>
      </c>
      <c r="H191" s="693" t="s">
        <v>2138</v>
      </c>
    </row>
    <row r="192" spans="1:8" x14ac:dyDescent="0.2">
      <c r="C192" s="747" t="s">
        <v>648</v>
      </c>
      <c r="H192" s="684" t="s">
        <v>2139</v>
      </c>
    </row>
    <row r="193" spans="1:8" x14ac:dyDescent="0.2">
      <c r="C193" s="747" t="s">
        <v>221</v>
      </c>
      <c r="E193" s="747" t="s">
        <v>439</v>
      </c>
      <c r="F193" s="747" t="s">
        <v>1962</v>
      </c>
      <c r="G193" s="747" t="s">
        <v>1181</v>
      </c>
      <c r="H193" s="747" t="s">
        <v>1370</v>
      </c>
    </row>
    <row r="194" spans="1:8" x14ac:dyDescent="0.2">
      <c r="C194" s="25" t="s">
        <v>220</v>
      </c>
      <c r="D194" s="25" t="s">
        <v>221</v>
      </c>
      <c r="E194" s="3" t="s">
        <v>1963</v>
      </c>
      <c r="F194" s="3" t="s">
        <v>1316</v>
      </c>
      <c r="G194" s="3" t="s">
        <v>3</v>
      </c>
      <c r="H194" s="3" t="s">
        <v>1958</v>
      </c>
    </row>
    <row r="195" spans="1:8" x14ac:dyDescent="0.2">
      <c r="A195" s="747">
        <f>A188+1</f>
        <v>105</v>
      </c>
      <c r="C195" s="726" t="s">
        <v>208</v>
      </c>
      <c r="D195" s="752">
        <v>2011</v>
      </c>
      <c r="E195" s="1040">
        <v>0</v>
      </c>
      <c r="F195" s="1040">
        <v>0</v>
      </c>
      <c r="G195" s="7">
        <f t="shared" ref="G195:G207" si="19">E195-F195</f>
        <v>0</v>
      </c>
      <c r="H195" s="7">
        <f>E195-E195</f>
        <v>0</v>
      </c>
    </row>
    <row r="196" spans="1:8" x14ac:dyDescent="0.2">
      <c r="A196" s="747">
        <f>A195+1</f>
        <v>106</v>
      </c>
      <c r="C196" s="726" t="s">
        <v>209</v>
      </c>
      <c r="D196" s="754">
        <v>2012</v>
      </c>
      <c r="E196" s="1040">
        <v>0</v>
      </c>
      <c r="F196" s="1040">
        <v>0</v>
      </c>
      <c r="G196" s="7">
        <f t="shared" si="19"/>
        <v>0</v>
      </c>
      <c r="H196" s="7">
        <f>E196-E195</f>
        <v>0</v>
      </c>
    </row>
    <row r="197" spans="1:8" x14ac:dyDescent="0.2">
      <c r="A197" s="747">
        <f t="shared" ref="A197:A207" si="20">A196+1</f>
        <v>107</v>
      </c>
      <c r="C197" s="724" t="s">
        <v>210</v>
      </c>
      <c r="D197" s="754">
        <v>2012</v>
      </c>
      <c r="E197" s="1040">
        <v>0</v>
      </c>
      <c r="F197" s="1040">
        <v>0</v>
      </c>
      <c r="G197" s="7">
        <f t="shared" si="19"/>
        <v>0</v>
      </c>
      <c r="H197" s="7">
        <f t="shared" ref="H197:H207" si="21">E197-E196</f>
        <v>0</v>
      </c>
    </row>
    <row r="198" spans="1:8" x14ac:dyDescent="0.2">
      <c r="A198" s="747">
        <f t="shared" si="20"/>
        <v>108</v>
      </c>
      <c r="C198" s="724" t="s">
        <v>223</v>
      </c>
      <c r="D198" s="754">
        <v>2012</v>
      </c>
      <c r="E198" s="1040">
        <v>0</v>
      </c>
      <c r="F198" s="1040">
        <v>0</v>
      </c>
      <c r="G198" s="7">
        <f t="shared" si="19"/>
        <v>0</v>
      </c>
      <c r="H198" s="7">
        <f t="shared" si="21"/>
        <v>0</v>
      </c>
    </row>
    <row r="199" spans="1:8" x14ac:dyDescent="0.2">
      <c r="A199" s="747">
        <f t="shared" si="20"/>
        <v>109</v>
      </c>
      <c r="C199" s="726" t="s">
        <v>211</v>
      </c>
      <c r="D199" s="754">
        <v>2012</v>
      </c>
      <c r="E199" s="1040">
        <v>0</v>
      </c>
      <c r="F199" s="1040">
        <v>0</v>
      </c>
      <c r="G199" s="7">
        <f t="shared" si="19"/>
        <v>0</v>
      </c>
      <c r="H199" s="7">
        <f t="shared" si="21"/>
        <v>0</v>
      </c>
    </row>
    <row r="200" spans="1:8" x14ac:dyDescent="0.2">
      <c r="A200" s="747">
        <f t="shared" si="20"/>
        <v>110</v>
      </c>
      <c r="C200" s="724" t="s">
        <v>212</v>
      </c>
      <c r="D200" s="754">
        <v>2012</v>
      </c>
      <c r="E200" s="1040">
        <v>0</v>
      </c>
      <c r="F200" s="1040">
        <v>0</v>
      </c>
      <c r="G200" s="7">
        <f t="shared" si="19"/>
        <v>0</v>
      </c>
      <c r="H200" s="7">
        <f t="shared" si="21"/>
        <v>0</v>
      </c>
    </row>
    <row r="201" spans="1:8" x14ac:dyDescent="0.2">
      <c r="A201" s="747">
        <f t="shared" si="20"/>
        <v>111</v>
      </c>
      <c r="C201" s="724" t="s">
        <v>213</v>
      </c>
      <c r="D201" s="754">
        <v>2012</v>
      </c>
      <c r="E201" s="1040">
        <v>0</v>
      </c>
      <c r="F201" s="1040">
        <v>0</v>
      </c>
      <c r="G201" s="7">
        <f t="shared" si="19"/>
        <v>0</v>
      </c>
      <c r="H201" s="7">
        <f t="shared" si="21"/>
        <v>0</v>
      </c>
    </row>
    <row r="202" spans="1:8" x14ac:dyDescent="0.2">
      <c r="A202" s="747">
        <f t="shared" si="20"/>
        <v>112</v>
      </c>
      <c r="C202" s="726" t="s">
        <v>214</v>
      </c>
      <c r="D202" s="754">
        <v>2012</v>
      </c>
      <c r="E202" s="1040">
        <v>0</v>
      </c>
      <c r="F202" s="1040">
        <v>0</v>
      </c>
      <c r="G202" s="7">
        <f t="shared" si="19"/>
        <v>0</v>
      </c>
      <c r="H202" s="7">
        <f t="shared" si="21"/>
        <v>0</v>
      </c>
    </row>
    <row r="203" spans="1:8" x14ac:dyDescent="0.2">
      <c r="A203" s="747">
        <f t="shared" si="20"/>
        <v>113</v>
      </c>
      <c r="C203" s="724" t="s">
        <v>215</v>
      </c>
      <c r="D203" s="754">
        <v>2012</v>
      </c>
      <c r="E203" s="1040">
        <v>0</v>
      </c>
      <c r="F203" s="1040">
        <v>0</v>
      </c>
      <c r="G203" s="7">
        <f t="shared" si="19"/>
        <v>0</v>
      </c>
      <c r="H203" s="7">
        <f t="shared" si="21"/>
        <v>0</v>
      </c>
    </row>
    <row r="204" spans="1:8" x14ac:dyDescent="0.2">
      <c r="A204" s="747">
        <f t="shared" si="20"/>
        <v>114</v>
      </c>
      <c r="C204" s="724" t="s">
        <v>216</v>
      </c>
      <c r="D204" s="754">
        <v>2012</v>
      </c>
      <c r="E204" s="1040">
        <v>0</v>
      </c>
      <c r="F204" s="1040">
        <v>0</v>
      </c>
      <c r="G204" s="7">
        <f t="shared" si="19"/>
        <v>0</v>
      </c>
      <c r="H204" s="7">
        <f t="shared" si="21"/>
        <v>0</v>
      </c>
    </row>
    <row r="205" spans="1:8" x14ac:dyDescent="0.2">
      <c r="A205" s="747">
        <f t="shared" si="20"/>
        <v>115</v>
      </c>
      <c r="C205" s="726" t="s">
        <v>217</v>
      </c>
      <c r="D205" s="754">
        <v>2012</v>
      </c>
      <c r="E205" s="1040">
        <v>0</v>
      </c>
      <c r="F205" s="1040">
        <v>0</v>
      </c>
      <c r="G205" s="7">
        <f t="shared" si="19"/>
        <v>0</v>
      </c>
      <c r="H205" s="7">
        <f t="shared" si="21"/>
        <v>0</v>
      </c>
    </row>
    <row r="206" spans="1:8" x14ac:dyDescent="0.2">
      <c r="A206" s="747">
        <f t="shared" si="20"/>
        <v>116</v>
      </c>
      <c r="C206" s="726" t="s">
        <v>218</v>
      </c>
      <c r="D206" s="754">
        <v>2012</v>
      </c>
      <c r="E206" s="1040">
        <v>0</v>
      </c>
      <c r="F206" s="1040">
        <v>0</v>
      </c>
      <c r="G206" s="7">
        <f t="shared" si="19"/>
        <v>0</v>
      </c>
      <c r="H206" s="7">
        <f t="shared" si="21"/>
        <v>0</v>
      </c>
    </row>
    <row r="207" spans="1:8" x14ac:dyDescent="0.2">
      <c r="A207" s="747">
        <f t="shared" si="20"/>
        <v>117</v>
      </c>
      <c r="C207" s="726" t="s">
        <v>208</v>
      </c>
      <c r="D207" s="754">
        <v>2012</v>
      </c>
      <c r="E207" s="1040">
        <v>0</v>
      </c>
      <c r="F207" s="1040">
        <v>0</v>
      </c>
      <c r="G207" s="7">
        <f t="shared" si="19"/>
        <v>0</v>
      </c>
      <c r="H207" s="7">
        <f t="shared" si="21"/>
        <v>0</v>
      </c>
    </row>
    <row r="209" spans="1:8" x14ac:dyDescent="0.2">
      <c r="C209" s="221" t="s">
        <v>1968</v>
      </c>
      <c r="E209" s="99" t="s">
        <v>417</v>
      </c>
      <c r="F209" s="99" t="s">
        <v>400</v>
      </c>
      <c r="G209" s="99" t="s">
        <v>401</v>
      </c>
      <c r="H209" s="99" t="s">
        <v>402</v>
      </c>
    </row>
    <row r="210" spans="1:8" x14ac:dyDescent="0.2">
      <c r="G210" s="693" t="s">
        <v>2137</v>
      </c>
      <c r="H210" s="693" t="s">
        <v>2138</v>
      </c>
    </row>
    <row r="211" spans="1:8" x14ac:dyDescent="0.2">
      <c r="C211" s="747" t="s">
        <v>648</v>
      </c>
      <c r="H211" s="684" t="s">
        <v>2139</v>
      </c>
    </row>
    <row r="212" spans="1:8" x14ac:dyDescent="0.2">
      <c r="C212" s="747" t="s">
        <v>221</v>
      </c>
      <c r="E212" s="747" t="s">
        <v>439</v>
      </c>
      <c r="F212" s="747" t="s">
        <v>1962</v>
      </c>
      <c r="G212" s="747" t="s">
        <v>1181</v>
      </c>
      <c r="H212" s="747" t="s">
        <v>1370</v>
      </c>
    </row>
    <row r="213" spans="1:8" x14ac:dyDescent="0.2">
      <c r="C213" s="25" t="s">
        <v>220</v>
      </c>
      <c r="D213" s="25" t="s">
        <v>221</v>
      </c>
      <c r="E213" s="3" t="s">
        <v>1963</v>
      </c>
      <c r="F213" s="3" t="s">
        <v>1316</v>
      </c>
      <c r="G213" s="3" t="s">
        <v>3</v>
      </c>
      <c r="H213" s="3" t="s">
        <v>1958</v>
      </c>
    </row>
    <row r="214" spans="1:8" x14ac:dyDescent="0.2">
      <c r="A214" s="747">
        <f>A207+1</f>
        <v>118</v>
      </c>
      <c r="C214" s="726" t="s">
        <v>208</v>
      </c>
      <c r="D214" s="752">
        <v>2011</v>
      </c>
      <c r="E214" s="1041">
        <v>0</v>
      </c>
      <c r="F214" s="1041">
        <v>0</v>
      </c>
      <c r="G214" s="7">
        <f t="shared" ref="G214:G226" si="22">E214-F214</f>
        <v>0</v>
      </c>
      <c r="H214" s="7">
        <f>E214-E214</f>
        <v>0</v>
      </c>
    </row>
    <row r="215" spans="1:8" x14ac:dyDescent="0.2">
      <c r="A215" s="747">
        <f>A214+1</f>
        <v>119</v>
      </c>
      <c r="C215" s="726" t="s">
        <v>209</v>
      </c>
      <c r="D215" s="754">
        <v>2012</v>
      </c>
      <c r="E215" s="1041">
        <v>0</v>
      </c>
      <c r="F215" s="1041">
        <v>0</v>
      </c>
      <c r="G215" s="7">
        <f t="shared" si="22"/>
        <v>0</v>
      </c>
      <c r="H215" s="7">
        <f>E215-E214</f>
        <v>0</v>
      </c>
    </row>
    <row r="216" spans="1:8" x14ac:dyDescent="0.2">
      <c r="A216" s="747">
        <f t="shared" ref="A216:A226" si="23">A215+1</f>
        <v>120</v>
      </c>
      <c r="C216" s="724" t="s">
        <v>210</v>
      </c>
      <c r="D216" s="754">
        <v>2012</v>
      </c>
      <c r="E216" s="1041">
        <v>0</v>
      </c>
      <c r="F216" s="1041">
        <v>0</v>
      </c>
      <c r="G216" s="7">
        <f t="shared" si="22"/>
        <v>0</v>
      </c>
      <c r="H216" s="7">
        <f t="shared" ref="H216:H226" si="24">E216-E215</f>
        <v>0</v>
      </c>
    </row>
    <row r="217" spans="1:8" x14ac:dyDescent="0.2">
      <c r="A217" s="747">
        <f t="shared" si="23"/>
        <v>121</v>
      </c>
      <c r="C217" s="724" t="s">
        <v>223</v>
      </c>
      <c r="D217" s="754">
        <v>2012</v>
      </c>
      <c r="E217" s="1041">
        <v>0</v>
      </c>
      <c r="F217" s="1041">
        <v>0</v>
      </c>
      <c r="G217" s="7">
        <f t="shared" si="22"/>
        <v>0</v>
      </c>
      <c r="H217" s="7">
        <f t="shared" si="24"/>
        <v>0</v>
      </c>
    </row>
    <row r="218" spans="1:8" x14ac:dyDescent="0.2">
      <c r="A218" s="747">
        <f t="shared" si="23"/>
        <v>122</v>
      </c>
      <c r="C218" s="726" t="s">
        <v>211</v>
      </c>
      <c r="D218" s="754">
        <v>2012</v>
      </c>
      <c r="E218" s="1041">
        <v>0</v>
      </c>
      <c r="F218" s="1041">
        <v>0</v>
      </c>
      <c r="G218" s="7">
        <f t="shared" si="22"/>
        <v>0</v>
      </c>
      <c r="H218" s="7">
        <f t="shared" si="24"/>
        <v>0</v>
      </c>
    </row>
    <row r="219" spans="1:8" x14ac:dyDescent="0.2">
      <c r="A219" s="747">
        <f t="shared" si="23"/>
        <v>123</v>
      </c>
      <c r="C219" s="724" t="s">
        <v>212</v>
      </c>
      <c r="D219" s="754">
        <v>2012</v>
      </c>
      <c r="E219" s="1041">
        <v>0</v>
      </c>
      <c r="F219" s="1041">
        <v>0</v>
      </c>
      <c r="G219" s="7">
        <f t="shared" si="22"/>
        <v>0</v>
      </c>
      <c r="H219" s="7">
        <f t="shared" si="24"/>
        <v>0</v>
      </c>
    </row>
    <row r="220" spans="1:8" x14ac:dyDescent="0.2">
      <c r="A220" s="747">
        <f t="shared" si="23"/>
        <v>124</v>
      </c>
      <c r="C220" s="724" t="s">
        <v>213</v>
      </c>
      <c r="D220" s="754">
        <v>2012</v>
      </c>
      <c r="E220" s="1041">
        <v>0</v>
      </c>
      <c r="F220" s="1041">
        <v>0</v>
      </c>
      <c r="G220" s="7">
        <f t="shared" si="22"/>
        <v>0</v>
      </c>
      <c r="H220" s="7">
        <f t="shared" si="24"/>
        <v>0</v>
      </c>
    </row>
    <row r="221" spans="1:8" x14ac:dyDescent="0.2">
      <c r="A221" s="747">
        <f t="shared" si="23"/>
        <v>125</v>
      </c>
      <c r="C221" s="726" t="s">
        <v>214</v>
      </c>
      <c r="D221" s="754">
        <v>2012</v>
      </c>
      <c r="E221" s="1041">
        <v>0</v>
      </c>
      <c r="F221" s="1041">
        <v>0</v>
      </c>
      <c r="G221" s="7">
        <f t="shared" si="22"/>
        <v>0</v>
      </c>
      <c r="H221" s="7">
        <f t="shared" si="24"/>
        <v>0</v>
      </c>
    </row>
    <row r="222" spans="1:8" x14ac:dyDescent="0.2">
      <c r="A222" s="747">
        <f t="shared" si="23"/>
        <v>126</v>
      </c>
      <c r="C222" s="724" t="s">
        <v>215</v>
      </c>
      <c r="D222" s="754">
        <v>2012</v>
      </c>
      <c r="E222" s="1041">
        <v>0</v>
      </c>
      <c r="F222" s="1041">
        <v>0</v>
      </c>
      <c r="G222" s="7">
        <f t="shared" si="22"/>
        <v>0</v>
      </c>
      <c r="H222" s="7">
        <f t="shared" si="24"/>
        <v>0</v>
      </c>
    </row>
    <row r="223" spans="1:8" x14ac:dyDescent="0.2">
      <c r="A223" s="747">
        <f t="shared" si="23"/>
        <v>127</v>
      </c>
      <c r="C223" s="724" t="s">
        <v>216</v>
      </c>
      <c r="D223" s="754">
        <v>2012</v>
      </c>
      <c r="E223" s="1041">
        <v>0</v>
      </c>
      <c r="F223" s="1041">
        <v>0</v>
      </c>
      <c r="G223" s="7">
        <f t="shared" si="22"/>
        <v>0</v>
      </c>
      <c r="H223" s="7">
        <f t="shared" si="24"/>
        <v>0</v>
      </c>
    </row>
    <row r="224" spans="1:8" x14ac:dyDescent="0.2">
      <c r="A224" s="747">
        <f t="shared" si="23"/>
        <v>128</v>
      </c>
      <c r="C224" s="726" t="s">
        <v>217</v>
      </c>
      <c r="D224" s="754">
        <v>2012</v>
      </c>
      <c r="E224" s="1041">
        <v>0</v>
      </c>
      <c r="F224" s="1041">
        <v>0</v>
      </c>
      <c r="G224" s="7">
        <f t="shared" si="22"/>
        <v>0</v>
      </c>
      <c r="H224" s="7">
        <f t="shared" si="24"/>
        <v>0</v>
      </c>
    </row>
    <row r="225" spans="1:8" x14ac:dyDescent="0.2">
      <c r="A225" s="747">
        <f t="shared" si="23"/>
        <v>129</v>
      </c>
      <c r="C225" s="726" t="s">
        <v>218</v>
      </c>
      <c r="D225" s="754">
        <v>2012</v>
      </c>
      <c r="E225" s="1041">
        <v>0</v>
      </c>
      <c r="F225" s="1041">
        <v>0</v>
      </c>
      <c r="G225" s="7">
        <f t="shared" si="22"/>
        <v>0</v>
      </c>
      <c r="H225" s="7">
        <f t="shared" si="24"/>
        <v>0</v>
      </c>
    </row>
    <row r="226" spans="1:8" x14ac:dyDescent="0.2">
      <c r="A226" s="747">
        <f t="shared" si="23"/>
        <v>130</v>
      </c>
      <c r="C226" s="726" t="s">
        <v>208</v>
      </c>
      <c r="D226" s="754">
        <v>2012</v>
      </c>
      <c r="E226" s="1041">
        <v>0</v>
      </c>
      <c r="F226" s="1041">
        <v>0</v>
      </c>
      <c r="G226" s="7">
        <f t="shared" si="22"/>
        <v>0</v>
      </c>
      <c r="H226" s="7">
        <f t="shared" si="24"/>
        <v>0</v>
      </c>
    </row>
    <row r="228" spans="1:8" x14ac:dyDescent="0.2">
      <c r="C228" s="221" t="s">
        <v>2012</v>
      </c>
      <c r="H228" s="99" t="s">
        <v>402</v>
      </c>
    </row>
    <row r="229" spans="1:8" x14ac:dyDescent="0.2">
      <c r="E229" s="99" t="s">
        <v>417</v>
      </c>
      <c r="F229" s="99" t="s">
        <v>400</v>
      </c>
      <c r="G229" s="99" t="s">
        <v>401</v>
      </c>
      <c r="H229" s="693" t="s">
        <v>2138</v>
      </c>
    </row>
    <row r="230" spans="1:8" x14ac:dyDescent="0.2">
      <c r="C230" s="747" t="s">
        <v>648</v>
      </c>
      <c r="G230" s="693" t="s">
        <v>2137</v>
      </c>
      <c r="H230" s="684" t="s">
        <v>2139</v>
      </c>
    </row>
    <row r="231" spans="1:8" x14ac:dyDescent="0.2">
      <c r="C231" s="747" t="s">
        <v>221</v>
      </c>
      <c r="E231" s="747" t="s">
        <v>439</v>
      </c>
      <c r="F231" s="747" t="s">
        <v>1962</v>
      </c>
      <c r="G231" s="747" t="s">
        <v>1181</v>
      </c>
      <c r="H231" s="747" t="s">
        <v>1370</v>
      </c>
    </row>
    <row r="232" spans="1:8" x14ac:dyDescent="0.2">
      <c r="C232" s="25" t="s">
        <v>220</v>
      </c>
      <c r="D232" s="25" t="s">
        <v>221</v>
      </c>
      <c r="E232" s="3" t="s">
        <v>1963</v>
      </c>
      <c r="F232" s="3" t="s">
        <v>1316</v>
      </c>
      <c r="G232" s="3" t="s">
        <v>3</v>
      </c>
      <c r="H232" s="3" t="s">
        <v>1958</v>
      </c>
    </row>
    <row r="233" spans="1:8" x14ac:dyDescent="0.2">
      <c r="A233" s="747">
        <f>A226+1</f>
        <v>131</v>
      </c>
      <c r="C233" s="726" t="s">
        <v>208</v>
      </c>
      <c r="D233" s="752">
        <v>2011</v>
      </c>
      <c r="E233" s="1042">
        <v>0</v>
      </c>
      <c r="F233" s="1042">
        <v>0</v>
      </c>
      <c r="G233" s="7">
        <f t="shared" ref="G233:G245" si="25">E233-F233</f>
        <v>0</v>
      </c>
      <c r="H233" s="7">
        <f>E233-E233</f>
        <v>0</v>
      </c>
    </row>
    <row r="234" spans="1:8" x14ac:dyDescent="0.2">
      <c r="A234" s="747">
        <f>A233+1</f>
        <v>132</v>
      </c>
      <c r="C234" s="726" t="s">
        <v>209</v>
      </c>
      <c r="D234" s="754">
        <v>2012</v>
      </c>
      <c r="E234" s="1042">
        <v>0</v>
      </c>
      <c r="F234" s="1042">
        <v>0</v>
      </c>
      <c r="G234" s="7">
        <f t="shared" si="25"/>
        <v>0</v>
      </c>
      <c r="H234" s="7">
        <f>E234-E233</f>
        <v>0</v>
      </c>
    </row>
    <row r="235" spans="1:8" x14ac:dyDescent="0.2">
      <c r="A235" s="747">
        <f t="shared" ref="A235:A245" si="26">A234+1</f>
        <v>133</v>
      </c>
      <c r="C235" s="724" t="s">
        <v>210</v>
      </c>
      <c r="D235" s="754">
        <v>2012</v>
      </c>
      <c r="E235" s="1042">
        <v>0</v>
      </c>
      <c r="F235" s="1042">
        <v>0</v>
      </c>
      <c r="G235" s="7">
        <f t="shared" si="25"/>
        <v>0</v>
      </c>
      <c r="H235" s="7">
        <f t="shared" ref="H235:H245" si="27">E235-E234</f>
        <v>0</v>
      </c>
    </row>
    <row r="236" spans="1:8" x14ac:dyDescent="0.2">
      <c r="A236" s="747">
        <f t="shared" si="26"/>
        <v>134</v>
      </c>
      <c r="C236" s="724" t="s">
        <v>223</v>
      </c>
      <c r="D236" s="754">
        <v>2012</v>
      </c>
      <c r="E236" s="1042">
        <v>0</v>
      </c>
      <c r="F236" s="1042">
        <v>0</v>
      </c>
      <c r="G236" s="7">
        <f t="shared" si="25"/>
        <v>0</v>
      </c>
      <c r="H236" s="7">
        <f t="shared" si="27"/>
        <v>0</v>
      </c>
    </row>
    <row r="237" spans="1:8" x14ac:dyDescent="0.2">
      <c r="A237" s="747">
        <f t="shared" si="26"/>
        <v>135</v>
      </c>
      <c r="C237" s="726" t="s">
        <v>211</v>
      </c>
      <c r="D237" s="754">
        <v>2012</v>
      </c>
      <c r="E237" s="1042">
        <v>0</v>
      </c>
      <c r="F237" s="1042">
        <v>0</v>
      </c>
      <c r="G237" s="7">
        <f t="shared" si="25"/>
        <v>0</v>
      </c>
      <c r="H237" s="7">
        <f t="shared" si="27"/>
        <v>0</v>
      </c>
    </row>
    <row r="238" spans="1:8" x14ac:dyDescent="0.2">
      <c r="A238" s="747">
        <f t="shared" si="26"/>
        <v>136</v>
      </c>
      <c r="C238" s="724" t="s">
        <v>212</v>
      </c>
      <c r="D238" s="754">
        <v>2012</v>
      </c>
      <c r="E238" s="1042">
        <v>0</v>
      </c>
      <c r="F238" s="1042">
        <v>0</v>
      </c>
      <c r="G238" s="7">
        <f t="shared" si="25"/>
        <v>0</v>
      </c>
      <c r="H238" s="7">
        <f t="shared" si="27"/>
        <v>0</v>
      </c>
    </row>
    <row r="239" spans="1:8" x14ac:dyDescent="0.2">
      <c r="A239" s="747">
        <f t="shared" si="26"/>
        <v>137</v>
      </c>
      <c r="C239" s="724" t="s">
        <v>213</v>
      </c>
      <c r="D239" s="754">
        <v>2012</v>
      </c>
      <c r="E239" s="1042">
        <v>0</v>
      </c>
      <c r="F239" s="1042">
        <v>0</v>
      </c>
      <c r="G239" s="7">
        <f t="shared" si="25"/>
        <v>0</v>
      </c>
      <c r="H239" s="7">
        <f t="shared" si="27"/>
        <v>0</v>
      </c>
    </row>
    <row r="240" spans="1:8" x14ac:dyDescent="0.2">
      <c r="A240" s="747">
        <f t="shared" si="26"/>
        <v>138</v>
      </c>
      <c r="C240" s="726" t="s">
        <v>214</v>
      </c>
      <c r="D240" s="754">
        <v>2012</v>
      </c>
      <c r="E240" s="1042">
        <v>0</v>
      </c>
      <c r="F240" s="1042">
        <v>0</v>
      </c>
      <c r="G240" s="7">
        <f t="shared" si="25"/>
        <v>0</v>
      </c>
      <c r="H240" s="7">
        <f t="shared" si="27"/>
        <v>0</v>
      </c>
    </row>
    <row r="241" spans="1:8" x14ac:dyDescent="0.2">
      <c r="A241" s="747">
        <f t="shared" si="26"/>
        <v>139</v>
      </c>
      <c r="C241" s="724" t="s">
        <v>215</v>
      </c>
      <c r="D241" s="754">
        <v>2012</v>
      </c>
      <c r="E241" s="1042">
        <v>0</v>
      </c>
      <c r="F241" s="1042">
        <v>0</v>
      </c>
      <c r="G241" s="7">
        <f t="shared" si="25"/>
        <v>0</v>
      </c>
      <c r="H241" s="7">
        <f t="shared" si="27"/>
        <v>0</v>
      </c>
    </row>
    <row r="242" spans="1:8" x14ac:dyDescent="0.2">
      <c r="A242" s="747">
        <f t="shared" si="26"/>
        <v>140</v>
      </c>
      <c r="C242" s="724" t="s">
        <v>216</v>
      </c>
      <c r="D242" s="754">
        <v>2012</v>
      </c>
      <c r="E242" s="1042">
        <v>0</v>
      </c>
      <c r="F242" s="1042">
        <v>0</v>
      </c>
      <c r="G242" s="7">
        <f t="shared" si="25"/>
        <v>0</v>
      </c>
      <c r="H242" s="7">
        <f t="shared" si="27"/>
        <v>0</v>
      </c>
    </row>
    <row r="243" spans="1:8" x14ac:dyDescent="0.2">
      <c r="A243" s="747">
        <f t="shared" si="26"/>
        <v>141</v>
      </c>
      <c r="C243" s="726" t="s">
        <v>217</v>
      </c>
      <c r="D243" s="754">
        <v>2012</v>
      </c>
      <c r="E243" s="1042">
        <v>0</v>
      </c>
      <c r="F243" s="1042">
        <v>0</v>
      </c>
      <c r="G243" s="7">
        <f t="shared" si="25"/>
        <v>0</v>
      </c>
      <c r="H243" s="7">
        <f t="shared" si="27"/>
        <v>0</v>
      </c>
    </row>
    <row r="244" spans="1:8" x14ac:dyDescent="0.2">
      <c r="A244" s="747">
        <f t="shared" si="26"/>
        <v>142</v>
      </c>
      <c r="C244" s="726" t="s">
        <v>218</v>
      </c>
      <c r="D244" s="754">
        <v>2012</v>
      </c>
      <c r="E244" s="1042">
        <v>2466098.7599999998</v>
      </c>
      <c r="F244" s="1042">
        <v>0</v>
      </c>
      <c r="G244" s="7">
        <f t="shared" si="25"/>
        <v>2466098.7599999998</v>
      </c>
      <c r="H244" s="7">
        <f t="shared" si="27"/>
        <v>2466098.7599999998</v>
      </c>
    </row>
    <row r="245" spans="1:8" x14ac:dyDescent="0.2">
      <c r="A245" s="747">
        <f t="shared" si="26"/>
        <v>143</v>
      </c>
      <c r="C245" s="726" t="s">
        <v>208</v>
      </c>
      <c r="D245" s="754">
        <v>2012</v>
      </c>
      <c r="E245" s="1042">
        <v>2696326.1399999997</v>
      </c>
      <c r="F245" s="1042">
        <v>5384.3156260000005</v>
      </c>
      <c r="G245" s="7">
        <f t="shared" si="25"/>
        <v>2690941.8243739996</v>
      </c>
      <c r="H245" s="7">
        <f t="shared" si="27"/>
        <v>230227.37999999989</v>
      </c>
    </row>
    <row r="247" spans="1:8" x14ac:dyDescent="0.2">
      <c r="C247" s="221" t="s">
        <v>2013</v>
      </c>
      <c r="H247" s="99" t="s">
        <v>402</v>
      </c>
    </row>
    <row r="248" spans="1:8" x14ac:dyDescent="0.2">
      <c r="E248" s="99" t="s">
        <v>417</v>
      </c>
      <c r="F248" s="99" t="s">
        <v>400</v>
      </c>
      <c r="G248" s="99" t="s">
        <v>401</v>
      </c>
      <c r="H248" s="693" t="s">
        <v>2138</v>
      </c>
    </row>
    <row r="249" spans="1:8" x14ac:dyDescent="0.2">
      <c r="C249" s="747" t="s">
        <v>648</v>
      </c>
      <c r="G249" s="693" t="s">
        <v>2137</v>
      </c>
      <c r="H249" s="684" t="s">
        <v>2139</v>
      </c>
    </row>
    <row r="250" spans="1:8" x14ac:dyDescent="0.2">
      <c r="C250" s="747" t="s">
        <v>221</v>
      </c>
      <c r="E250" s="747" t="s">
        <v>439</v>
      </c>
      <c r="F250" s="747" t="s">
        <v>1962</v>
      </c>
      <c r="G250" s="747" t="s">
        <v>1181</v>
      </c>
      <c r="H250" s="747" t="s">
        <v>1370</v>
      </c>
    </row>
    <row r="251" spans="1:8" x14ac:dyDescent="0.2">
      <c r="C251" s="25" t="s">
        <v>220</v>
      </c>
      <c r="D251" s="25" t="s">
        <v>221</v>
      </c>
      <c r="E251" s="3" t="s">
        <v>1963</v>
      </c>
      <c r="F251" s="3" t="s">
        <v>1316</v>
      </c>
      <c r="G251" s="3" t="s">
        <v>3</v>
      </c>
      <c r="H251" s="3" t="s">
        <v>1958</v>
      </c>
    </row>
    <row r="252" spans="1:8" x14ac:dyDescent="0.2">
      <c r="A252" s="747">
        <f>A245+1</f>
        <v>144</v>
      </c>
      <c r="C252" s="726" t="s">
        <v>208</v>
      </c>
      <c r="D252" s="752">
        <v>2011</v>
      </c>
      <c r="E252" s="1043">
        <v>0</v>
      </c>
      <c r="F252" s="1043">
        <v>0</v>
      </c>
      <c r="G252" s="7">
        <f t="shared" ref="G252:G264" si="28">E252-F252</f>
        <v>0</v>
      </c>
      <c r="H252" s="7">
        <f>E252-E252</f>
        <v>0</v>
      </c>
    </row>
    <row r="253" spans="1:8" x14ac:dyDescent="0.2">
      <c r="A253" s="747">
        <f>A252+1</f>
        <v>145</v>
      </c>
      <c r="C253" s="726" t="s">
        <v>209</v>
      </c>
      <c r="D253" s="754">
        <v>2012</v>
      </c>
      <c r="E253" s="1043">
        <v>0</v>
      </c>
      <c r="F253" s="1043">
        <v>0</v>
      </c>
      <c r="G253" s="7">
        <f t="shared" si="28"/>
        <v>0</v>
      </c>
      <c r="H253" s="7">
        <f>E253-E252</f>
        <v>0</v>
      </c>
    </row>
    <row r="254" spans="1:8" x14ac:dyDescent="0.2">
      <c r="A254" s="747">
        <f t="shared" ref="A254:A264" si="29">A253+1</f>
        <v>146</v>
      </c>
      <c r="C254" s="724" t="s">
        <v>210</v>
      </c>
      <c r="D254" s="754">
        <v>2012</v>
      </c>
      <c r="E254" s="1043">
        <v>0</v>
      </c>
      <c r="F254" s="1043">
        <v>0</v>
      </c>
      <c r="G254" s="7">
        <f t="shared" si="28"/>
        <v>0</v>
      </c>
      <c r="H254" s="7">
        <f t="shared" ref="H254:H264" si="30">E254-E253</f>
        <v>0</v>
      </c>
    </row>
    <row r="255" spans="1:8" x14ac:dyDescent="0.2">
      <c r="A255" s="747">
        <f t="shared" si="29"/>
        <v>147</v>
      </c>
      <c r="C255" s="724" t="s">
        <v>223</v>
      </c>
      <c r="D255" s="754">
        <v>2012</v>
      </c>
      <c r="E255" s="1043">
        <v>0</v>
      </c>
      <c r="F255" s="1043">
        <v>0</v>
      </c>
      <c r="G255" s="7">
        <f t="shared" si="28"/>
        <v>0</v>
      </c>
      <c r="H255" s="7">
        <f t="shared" si="30"/>
        <v>0</v>
      </c>
    </row>
    <row r="256" spans="1:8" x14ac:dyDescent="0.2">
      <c r="A256" s="747">
        <f t="shared" si="29"/>
        <v>148</v>
      </c>
      <c r="C256" s="726" t="s">
        <v>211</v>
      </c>
      <c r="D256" s="754">
        <v>2012</v>
      </c>
      <c r="E256" s="1043">
        <v>0</v>
      </c>
      <c r="F256" s="1043">
        <v>0</v>
      </c>
      <c r="G256" s="7">
        <f t="shared" si="28"/>
        <v>0</v>
      </c>
      <c r="H256" s="7">
        <f t="shared" si="30"/>
        <v>0</v>
      </c>
    </row>
    <row r="257" spans="1:8" x14ac:dyDescent="0.2">
      <c r="A257" s="747">
        <f t="shared" si="29"/>
        <v>149</v>
      </c>
      <c r="C257" s="724" t="s">
        <v>212</v>
      </c>
      <c r="D257" s="754">
        <v>2012</v>
      </c>
      <c r="E257" s="1043">
        <v>0</v>
      </c>
      <c r="F257" s="1043">
        <v>0</v>
      </c>
      <c r="G257" s="7">
        <f t="shared" si="28"/>
        <v>0</v>
      </c>
      <c r="H257" s="7">
        <f t="shared" si="30"/>
        <v>0</v>
      </c>
    </row>
    <row r="258" spans="1:8" x14ac:dyDescent="0.2">
      <c r="A258" s="747">
        <f t="shared" si="29"/>
        <v>150</v>
      </c>
      <c r="C258" s="724" t="s">
        <v>213</v>
      </c>
      <c r="D258" s="754">
        <v>2012</v>
      </c>
      <c r="E258" s="1043">
        <v>0</v>
      </c>
      <c r="F258" s="1043">
        <v>0</v>
      </c>
      <c r="G258" s="7">
        <f t="shared" si="28"/>
        <v>0</v>
      </c>
      <c r="H258" s="7">
        <f t="shared" si="30"/>
        <v>0</v>
      </c>
    </row>
    <row r="259" spans="1:8" x14ac:dyDescent="0.2">
      <c r="A259" s="747">
        <f t="shared" si="29"/>
        <v>151</v>
      </c>
      <c r="C259" s="726" t="s">
        <v>214</v>
      </c>
      <c r="D259" s="754">
        <v>2012</v>
      </c>
      <c r="E259" s="1043">
        <v>0</v>
      </c>
      <c r="F259" s="1043">
        <v>0</v>
      </c>
      <c r="G259" s="7">
        <f t="shared" si="28"/>
        <v>0</v>
      </c>
      <c r="H259" s="7">
        <f t="shared" si="30"/>
        <v>0</v>
      </c>
    </row>
    <row r="260" spans="1:8" x14ac:dyDescent="0.2">
      <c r="A260" s="747">
        <f t="shared" si="29"/>
        <v>152</v>
      </c>
      <c r="C260" s="724" t="s">
        <v>215</v>
      </c>
      <c r="D260" s="754">
        <v>2012</v>
      </c>
      <c r="E260" s="1043">
        <v>0</v>
      </c>
      <c r="F260" s="1043">
        <v>0</v>
      </c>
      <c r="G260" s="7">
        <f t="shared" si="28"/>
        <v>0</v>
      </c>
      <c r="H260" s="7">
        <f t="shared" si="30"/>
        <v>0</v>
      </c>
    </row>
    <row r="261" spans="1:8" x14ac:dyDescent="0.2">
      <c r="A261" s="747">
        <f t="shared" si="29"/>
        <v>153</v>
      </c>
      <c r="C261" s="724" t="s">
        <v>216</v>
      </c>
      <c r="D261" s="754">
        <v>2012</v>
      </c>
      <c r="E261" s="1043">
        <v>0</v>
      </c>
      <c r="F261" s="1043">
        <v>0</v>
      </c>
      <c r="G261" s="7">
        <f t="shared" si="28"/>
        <v>0</v>
      </c>
      <c r="H261" s="7">
        <f t="shared" si="30"/>
        <v>0</v>
      </c>
    </row>
    <row r="262" spans="1:8" x14ac:dyDescent="0.2">
      <c r="A262" s="747">
        <f t="shared" si="29"/>
        <v>154</v>
      </c>
      <c r="C262" s="726" t="s">
        <v>217</v>
      </c>
      <c r="D262" s="754">
        <v>2012</v>
      </c>
      <c r="E262" s="1043">
        <v>0</v>
      </c>
      <c r="F262" s="1043">
        <v>0</v>
      </c>
      <c r="G262" s="7">
        <f t="shared" si="28"/>
        <v>0</v>
      </c>
      <c r="H262" s="7">
        <f t="shared" si="30"/>
        <v>0</v>
      </c>
    </row>
    <row r="263" spans="1:8" x14ac:dyDescent="0.2">
      <c r="A263" s="747">
        <f t="shared" si="29"/>
        <v>155</v>
      </c>
      <c r="C263" s="726" t="s">
        <v>218</v>
      </c>
      <c r="D263" s="754">
        <v>2012</v>
      </c>
      <c r="E263" s="1043">
        <v>0</v>
      </c>
      <c r="F263" s="1043">
        <v>0</v>
      </c>
      <c r="G263" s="7">
        <f t="shared" si="28"/>
        <v>0</v>
      </c>
      <c r="H263" s="7">
        <f t="shared" si="30"/>
        <v>0</v>
      </c>
    </row>
    <row r="264" spans="1:8" x14ac:dyDescent="0.2">
      <c r="A264" s="747">
        <f t="shared" si="29"/>
        <v>156</v>
      </c>
      <c r="C264" s="726" t="s">
        <v>208</v>
      </c>
      <c r="D264" s="754">
        <v>2012</v>
      </c>
      <c r="E264" s="1043">
        <v>0</v>
      </c>
      <c r="F264" s="1043">
        <v>0</v>
      </c>
      <c r="G264" s="7">
        <f t="shared" si="28"/>
        <v>0</v>
      </c>
      <c r="H264" s="7">
        <f t="shared" si="30"/>
        <v>0</v>
      </c>
    </row>
    <row r="266" spans="1:8" x14ac:dyDescent="0.2">
      <c r="C266" s="221" t="s">
        <v>1969</v>
      </c>
      <c r="E266" s="99" t="s">
        <v>417</v>
      </c>
      <c r="F266" s="99" t="s">
        <v>400</v>
      </c>
      <c r="G266" s="99" t="s">
        <v>401</v>
      </c>
      <c r="H266" s="99" t="s">
        <v>402</v>
      </c>
    </row>
    <row r="267" spans="1:8" x14ac:dyDescent="0.2">
      <c r="G267" s="693" t="s">
        <v>2137</v>
      </c>
      <c r="H267" s="693" t="s">
        <v>2138</v>
      </c>
    </row>
    <row r="268" spans="1:8" x14ac:dyDescent="0.2">
      <c r="C268" s="747" t="s">
        <v>648</v>
      </c>
      <c r="H268" s="684" t="s">
        <v>2139</v>
      </c>
    </row>
    <row r="269" spans="1:8" x14ac:dyDescent="0.2">
      <c r="C269" s="747" t="s">
        <v>221</v>
      </c>
      <c r="E269" s="747" t="s">
        <v>439</v>
      </c>
      <c r="F269" s="747" t="s">
        <v>1962</v>
      </c>
      <c r="G269" s="747" t="s">
        <v>1181</v>
      </c>
      <c r="H269" s="747" t="s">
        <v>1370</v>
      </c>
    </row>
    <row r="270" spans="1:8" x14ac:dyDescent="0.2">
      <c r="C270" s="25" t="s">
        <v>220</v>
      </c>
      <c r="D270" s="25" t="s">
        <v>221</v>
      </c>
      <c r="E270" s="3" t="s">
        <v>1963</v>
      </c>
      <c r="F270" s="3" t="s">
        <v>1316</v>
      </c>
      <c r="G270" s="3" t="s">
        <v>3</v>
      </c>
      <c r="H270" s="3" t="s">
        <v>1958</v>
      </c>
    </row>
    <row r="271" spans="1:8" x14ac:dyDescent="0.2">
      <c r="A271" s="747">
        <f>A264+1</f>
        <v>157</v>
      </c>
      <c r="C271" s="726" t="s">
        <v>208</v>
      </c>
      <c r="D271" s="752">
        <v>2011</v>
      </c>
      <c r="E271" s="1044">
        <v>0</v>
      </c>
      <c r="F271" s="1044">
        <v>0</v>
      </c>
      <c r="G271" s="7">
        <f t="shared" ref="G271:G283" si="31">E271-F271</f>
        <v>0</v>
      </c>
      <c r="H271" s="7">
        <f>E271-E271</f>
        <v>0</v>
      </c>
    </row>
    <row r="272" spans="1:8" x14ac:dyDescent="0.2">
      <c r="A272" s="747">
        <f>A271+1</f>
        <v>158</v>
      </c>
      <c r="C272" s="726" t="s">
        <v>209</v>
      </c>
      <c r="D272" s="754">
        <v>2012</v>
      </c>
      <c r="E272" s="1044">
        <v>0</v>
      </c>
      <c r="F272" s="1044">
        <v>0</v>
      </c>
      <c r="G272" s="7">
        <f t="shared" si="31"/>
        <v>0</v>
      </c>
      <c r="H272" s="7">
        <f>E272-E271</f>
        <v>0</v>
      </c>
    </row>
    <row r="273" spans="1:8" x14ac:dyDescent="0.2">
      <c r="A273" s="747">
        <f t="shared" ref="A273:A283" si="32">A272+1</f>
        <v>159</v>
      </c>
      <c r="C273" s="724" t="s">
        <v>210</v>
      </c>
      <c r="D273" s="754">
        <v>2012</v>
      </c>
      <c r="E273" s="1044">
        <v>0</v>
      </c>
      <c r="F273" s="1044">
        <v>0</v>
      </c>
      <c r="G273" s="7">
        <f t="shared" si="31"/>
        <v>0</v>
      </c>
      <c r="H273" s="7">
        <f t="shared" ref="H273:H283" si="33">E273-E272</f>
        <v>0</v>
      </c>
    </row>
    <row r="274" spans="1:8" x14ac:dyDescent="0.2">
      <c r="A274" s="747">
        <f t="shared" si="32"/>
        <v>160</v>
      </c>
      <c r="C274" s="724" t="s">
        <v>223</v>
      </c>
      <c r="D274" s="754">
        <v>2012</v>
      </c>
      <c r="E274" s="1044">
        <v>0</v>
      </c>
      <c r="F274" s="1044">
        <v>0</v>
      </c>
      <c r="G274" s="7">
        <f t="shared" si="31"/>
        <v>0</v>
      </c>
      <c r="H274" s="7">
        <f t="shared" si="33"/>
        <v>0</v>
      </c>
    </row>
    <row r="275" spans="1:8" x14ac:dyDescent="0.2">
      <c r="A275" s="747">
        <f t="shared" si="32"/>
        <v>161</v>
      </c>
      <c r="C275" s="726" t="s">
        <v>211</v>
      </c>
      <c r="D275" s="754">
        <v>2012</v>
      </c>
      <c r="E275" s="1044">
        <v>0</v>
      </c>
      <c r="F275" s="1044">
        <v>0</v>
      </c>
      <c r="G275" s="7">
        <f t="shared" si="31"/>
        <v>0</v>
      </c>
      <c r="H275" s="7">
        <f t="shared" si="33"/>
        <v>0</v>
      </c>
    </row>
    <row r="276" spans="1:8" x14ac:dyDescent="0.2">
      <c r="A276" s="747">
        <f t="shared" si="32"/>
        <v>162</v>
      </c>
      <c r="C276" s="724" t="s">
        <v>212</v>
      </c>
      <c r="D276" s="754">
        <v>2012</v>
      </c>
      <c r="E276" s="1044">
        <v>0</v>
      </c>
      <c r="F276" s="1044">
        <v>0</v>
      </c>
      <c r="G276" s="7">
        <f t="shared" si="31"/>
        <v>0</v>
      </c>
      <c r="H276" s="7">
        <f t="shared" si="33"/>
        <v>0</v>
      </c>
    </row>
    <row r="277" spans="1:8" x14ac:dyDescent="0.2">
      <c r="A277" s="747">
        <f t="shared" si="32"/>
        <v>163</v>
      </c>
      <c r="C277" s="724" t="s">
        <v>213</v>
      </c>
      <c r="D277" s="754">
        <v>2012</v>
      </c>
      <c r="E277" s="1044">
        <v>0</v>
      </c>
      <c r="F277" s="1044">
        <v>0</v>
      </c>
      <c r="G277" s="7">
        <f t="shared" si="31"/>
        <v>0</v>
      </c>
      <c r="H277" s="7">
        <f t="shared" si="33"/>
        <v>0</v>
      </c>
    </row>
    <row r="278" spans="1:8" x14ac:dyDescent="0.2">
      <c r="A278" s="747">
        <f t="shared" si="32"/>
        <v>164</v>
      </c>
      <c r="C278" s="726" t="s">
        <v>214</v>
      </c>
      <c r="D278" s="754">
        <v>2012</v>
      </c>
      <c r="E278" s="1044">
        <v>0</v>
      </c>
      <c r="F278" s="1044">
        <v>0</v>
      </c>
      <c r="G278" s="7">
        <f t="shared" si="31"/>
        <v>0</v>
      </c>
      <c r="H278" s="7">
        <f t="shared" si="33"/>
        <v>0</v>
      </c>
    </row>
    <row r="279" spans="1:8" x14ac:dyDescent="0.2">
      <c r="A279" s="747">
        <f t="shared" si="32"/>
        <v>165</v>
      </c>
      <c r="C279" s="724" t="s">
        <v>215</v>
      </c>
      <c r="D279" s="754">
        <v>2012</v>
      </c>
      <c r="E279" s="1044">
        <v>0</v>
      </c>
      <c r="F279" s="1044">
        <v>0</v>
      </c>
      <c r="G279" s="7">
        <f t="shared" si="31"/>
        <v>0</v>
      </c>
      <c r="H279" s="7">
        <f t="shared" si="33"/>
        <v>0</v>
      </c>
    </row>
    <row r="280" spans="1:8" x14ac:dyDescent="0.2">
      <c r="A280" s="747">
        <f t="shared" si="32"/>
        <v>166</v>
      </c>
      <c r="C280" s="724" t="s">
        <v>216</v>
      </c>
      <c r="D280" s="754">
        <v>2012</v>
      </c>
      <c r="E280" s="1044">
        <v>0</v>
      </c>
      <c r="F280" s="1044">
        <v>0</v>
      </c>
      <c r="G280" s="7">
        <f t="shared" si="31"/>
        <v>0</v>
      </c>
      <c r="H280" s="7">
        <f t="shared" si="33"/>
        <v>0</v>
      </c>
    </row>
    <row r="281" spans="1:8" x14ac:dyDescent="0.2">
      <c r="A281" s="747">
        <f t="shared" si="32"/>
        <v>167</v>
      </c>
      <c r="C281" s="726" t="s">
        <v>217</v>
      </c>
      <c r="D281" s="754">
        <v>2012</v>
      </c>
      <c r="E281" s="1044">
        <v>0</v>
      </c>
      <c r="F281" s="1044">
        <v>0</v>
      </c>
      <c r="G281" s="7">
        <f t="shared" si="31"/>
        <v>0</v>
      </c>
      <c r="H281" s="7">
        <f t="shared" si="33"/>
        <v>0</v>
      </c>
    </row>
    <row r="282" spans="1:8" x14ac:dyDescent="0.2">
      <c r="A282" s="747">
        <f t="shared" si="32"/>
        <v>168</v>
      </c>
      <c r="C282" s="726" t="s">
        <v>218</v>
      </c>
      <c r="D282" s="754">
        <v>2012</v>
      </c>
      <c r="E282" s="1044">
        <v>0</v>
      </c>
      <c r="F282" s="1044">
        <v>0</v>
      </c>
      <c r="G282" s="7">
        <f t="shared" si="31"/>
        <v>0</v>
      </c>
      <c r="H282" s="7">
        <f t="shared" si="33"/>
        <v>0</v>
      </c>
    </row>
    <row r="283" spans="1:8" x14ac:dyDescent="0.2">
      <c r="A283" s="747">
        <f t="shared" si="32"/>
        <v>169</v>
      </c>
      <c r="C283" s="726" t="s">
        <v>208</v>
      </c>
      <c r="D283" s="754">
        <v>2012</v>
      </c>
      <c r="E283" s="1044">
        <v>0</v>
      </c>
      <c r="F283" s="1044">
        <v>0</v>
      </c>
      <c r="G283" s="7">
        <f t="shared" si="31"/>
        <v>0</v>
      </c>
      <c r="H283" s="7">
        <f t="shared" si="33"/>
        <v>0</v>
      </c>
    </row>
    <row r="285" spans="1:8" x14ac:dyDescent="0.2">
      <c r="C285" s="221" t="s">
        <v>1970</v>
      </c>
      <c r="E285" s="99" t="s">
        <v>417</v>
      </c>
      <c r="F285" s="99" t="s">
        <v>400</v>
      </c>
      <c r="G285" s="99" t="s">
        <v>401</v>
      </c>
      <c r="H285" s="99" t="s">
        <v>402</v>
      </c>
    </row>
    <row r="286" spans="1:8" x14ac:dyDescent="0.2">
      <c r="G286" s="693" t="s">
        <v>2137</v>
      </c>
      <c r="H286" s="693" t="s">
        <v>2138</v>
      </c>
    </row>
    <row r="287" spans="1:8" x14ac:dyDescent="0.2">
      <c r="C287" s="747" t="s">
        <v>648</v>
      </c>
      <c r="H287" s="684" t="s">
        <v>2139</v>
      </c>
    </row>
    <row r="288" spans="1:8" x14ac:dyDescent="0.2">
      <c r="C288" s="747" t="s">
        <v>221</v>
      </c>
      <c r="E288" s="747" t="s">
        <v>439</v>
      </c>
      <c r="F288" s="747" t="s">
        <v>1962</v>
      </c>
      <c r="G288" s="747" t="s">
        <v>1181</v>
      </c>
      <c r="H288" s="747" t="s">
        <v>1370</v>
      </c>
    </row>
    <row r="289" spans="1:8" x14ac:dyDescent="0.2">
      <c r="C289" s="25" t="s">
        <v>220</v>
      </c>
      <c r="D289" s="25" t="s">
        <v>221</v>
      </c>
      <c r="E289" s="3" t="s">
        <v>1963</v>
      </c>
      <c r="F289" s="3" t="s">
        <v>1316</v>
      </c>
      <c r="G289" s="3" t="s">
        <v>3</v>
      </c>
      <c r="H289" s="3" t="s">
        <v>1958</v>
      </c>
    </row>
    <row r="290" spans="1:8" x14ac:dyDescent="0.2">
      <c r="A290" s="747">
        <f>A283+1</f>
        <v>170</v>
      </c>
      <c r="C290" s="726" t="s">
        <v>208</v>
      </c>
      <c r="D290" s="752">
        <v>2011</v>
      </c>
      <c r="E290" s="1045">
        <v>0</v>
      </c>
      <c r="F290" s="1045">
        <v>0</v>
      </c>
      <c r="G290" s="7">
        <f t="shared" ref="G290:G302" si="34">E290-F290</f>
        <v>0</v>
      </c>
      <c r="H290" s="7">
        <f>E290-E290</f>
        <v>0</v>
      </c>
    </row>
    <row r="291" spans="1:8" x14ac:dyDescent="0.2">
      <c r="A291" s="747">
        <f>A290+1</f>
        <v>171</v>
      </c>
      <c r="C291" s="726" t="s">
        <v>209</v>
      </c>
      <c r="D291" s="754">
        <v>2012</v>
      </c>
      <c r="E291" s="1045">
        <v>0</v>
      </c>
      <c r="F291" s="1045">
        <v>0</v>
      </c>
      <c r="G291" s="7">
        <f t="shared" si="34"/>
        <v>0</v>
      </c>
      <c r="H291" s="7">
        <f>E291-E290</f>
        <v>0</v>
      </c>
    </row>
    <row r="292" spans="1:8" x14ac:dyDescent="0.2">
      <c r="A292" s="747">
        <f t="shared" ref="A292:A302" si="35">A291+1</f>
        <v>172</v>
      </c>
      <c r="C292" s="724" t="s">
        <v>210</v>
      </c>
      <c r="D292" s="754">
        <v>2012</v>
      </c>
      <c r="E292" s="1045">
        <v>0</v>
      </c>
      <c r="F292" s="1045">
        <v>0</v>
      </c>
      <c r="G292" s="7">
        <f t="shared" si="34"/>
        <v>0</v>
      </c>
      <c r="H292" s="7">
        <f t="shared" ref="H292:H302" si="36">E292-E291</f>
        <v>0</v>
      </c>
    </row>
    <row r="293" spans="1:8" x14ac:dyDescent="0.2">
      <c r="A293" s="747">
        <f t="shared" si="35"/>
        <v>173</v>
      </c>
      <c r="C293" s="724" t="s">
        <v>223</v>
      </c>
      <c r="D293" s="754">
        <v>2012</v>
      </c>
      <c r="E293" s="1045">
        <v>0</v>
      </c>
      <c r="F293" s="1045">
        <v>0</v>
      </c>
      <c r="G293" s="7">
        <f t="shared" si="34"/>
        <v>0</v>
      </c>
      <c r="H293" s="7">
        <f t="shared" si="36"/>
        <v>0</v>
      </c>
    </row>
    <row r="294" spans="1:8" x14ac:dyDescent="0.2">
      <c r="A294" s="747">
        <f t="shared" si="35"/>
        <v>174</v>
      </c>
      <c r="C294" s="726" t="s">
        <v>211</v>
      </c>
      <c r="D294" s="754">
        <v>2012</v>
      </c>
      <c r="E294" s="1045">
        <v>0</v>
      </c>
      <c r="F294" s="1045">
        <v>0</v>
      </c>
      <c r="G294" s="7">
        <f t="shared" si="34"/>
        <v>0</v>
      </c>
      <c r="H294" s="7">
        <f t="shared" si="36"/>
        <v>0</v>
      </c>
    </row>
    <row r="295" spans="1:8" x14ac:dyDescent="0.2">
      <c r="A295" s="747">
        <f t="shared" si="35"/>
        <v>175</v>
      </c>
      <c r="C295" s="724" t="s">
        <v>212</v>
      </c>
      <c r="D295" s="754">
        <v>2012</v>
      </c>
      <c r="E295" s="1045">
        <v>0</v>
      </c>
      <c r="F295" s="1045">
        <v>0</v>
      </c>
      <c r="G295" s="7">
        <f t="shared" si="34"/>
        <v>0</v>
      </c>
      <c r="H295" s="7">
        <f t="shared" si="36"/>
        <v>0</v>
      </c>
    </row>
    <row r="296" spans="1:8" x14ac:dyDescent="0.2">
      <c r="A296" s="747">
        <f t="shared" si="35"/>
        <v>176</v>
      </c>
      <c r="C296" s="724" t="s">
        <v>213</v>
      </c>
      <c r="D296" s="754">
        <v>2012</v>
      </c>
      <c r="E296" s="1045">
        <v>0</v>
      </c>
      <c r="F296" s="1045">
        <v>0</v>
      </c>
      <c r="G296" s="7">
        <f t="shared" si="34"/>
        <v>0</v>
      </c>
      <c r="H296" s="7">
        <f t="shared" si="36"/>
        <v>0</v>
      </c>
    </row>
    <row r="297" spans="1:8" x14ac:dyDescent="0.2">
      <c r="A297" s="747">
        <f t="shared" si="35"/>
        <v>177</v>
      </c>
      <c r="C297" s="726" t="s">
        <v>214</v>
      </c>
      <c r="D297" s="754">
        <v>2012</v>
      </c>
      <c r="E297" s="1045">
        <v>0</v>
      </c>
      <c r="F297" s="1045">
        <v>0</v>
      </c>
      <c r="G297" s="7">
        <f t="shared" si="34"/>
        <v>0</v>
      </c>
      <c r="H297" s="7">
        <f t="shared" si="36"/>
        <v>0</v>
      </c>
    </row>
    <row r="298" spans="1:8" x14ac:dyDescent="0.2">
      <c r="A298" s="747">
        <f t="shared" si="35"/>
        <v>178</v>
      </c>
      <c r="C298" s="724" t="s">
        <v>215</v>
      </c>
      <c r="D298" s="754">
        <v>2012</v>
      </c>
      <c r="E298" s="1045">
        <v>0</v>
      </c>
      <c r="F298" s="1045">
        <v>0</v>
      </c>
      <c r="G298" s="7">
        <f t="shared" si="34"/>
        <v>0</v>
      </c>
      <c r="H298" s="7">
        <f t="shared" si="36"/>
        <v>0</v>
      </c>
    </row>
    <row r="299" spans="1:8" x14ac:dyDescent="0.2">
      <c r="A299" s="747">
        <f t="shared" si="35"/>
        <v>179</v>
      </c>
      <c r="C299" s="724" t="s">
        <v>216</v>
      </c>
      <c r="D299" s="754">
        <v>2012</v>
      </c>
      <c r="E299" s="1045">
        <v>0</v>
      </c>
      <c r="F299" s="1045">
        <v>0</v>
      </c>
      <c r="G299" s="7">
        <f t="shared" si="34"/>
        <v>0</v>
      </c>
      <c r="H299" s="7">
        <f t="shared" si="36"/>
        <v>0</v>
      </c>
    </row>
    <row r="300" spans="1:8" x14ac:dyDescent="0.2">
      <c r="A300" s="747">
        <f t="shared" si="35"/>
        <v>180</v>
      </c>
      <c r="C300" s="726" t="s">
        <v>217</v>
      </c>
      <c r="D300" s="754">
        <v>2012</v>
      </c>
      <c r="E300" s="1045">
        <v>0</v>
      </c>
      <c r="F300" s="1045">
        <v>0</v>
      </c>
      <c r="G300" s="7">
        <f t="shared" si="34"/>
        <v>0</v>
      </c>
      <c r="H300" s="7">
        <f t="shared" si="36"/>
        <v>0</v>
      </c>
    </row>
    <row r="301" spans="1:8" x14ac:dyDescent="0.2">
      <c r="A301" s="747">
        <f t="shared" si="35"/>
        <v>181</v>
      </c>
      <c r="C301" s="726" t="s">
        <v>218</v>
      </c>
      <c r="D301" s="754">
        <v>2012</v>
      </c>
      <c r="E301" s="1045">
        <v>0</v>
      </c>
      <c r="F301" s="1045">
        <v>0</v>
      </c>
      <c r="G301" s="7">
        <f t="shared" si="34"/>
        <v>0</v>
      </c>
      <c r="H301" s="7">
        <f t="shared" si="36"/>
        <v>0</v>
      </c>
    </row>
    <row r="302" spans="1:8" x14ac:dyDescent="0.2">
      <c r="A302" s="747">
        <f t="shared" si="35"/>
        <v>182</v>
      </c>
      <c r="C302" s="726" t="s">
        <v>208</v>
      </c>
      <c r="D302" s="754">
        <v>2012</v>
      </c>
      <c r="E302" s="1045">
        <v>0</v>
      </c>
      <c r="F302" s="1045">
        <v>0</v>
      </c>
      <c r="G302" s="7">
        <f t="shared" si="34"/>
        <v>0</v>
      </c>
      <c r="H302" s="7">
        <f t="shared" si="36"/>
        <v>0</v>
      </c>
    </row>
    <row r="303" spans="1:8" x14ac:dyDescent="0.2">
      <c r="A303" s="747"/>
    </row>
    <row r="304" spans="1:8" x14ac:dyDescent="0.2">
      <c r="C304" s="755" t="s">
        <v>1971</v>
      </c>
    </row>
    <row r="305" spans="1:10" x14ac:dyDescent="0.2">
      <c r="C305" s="756" t="s">
        <v>1972</v>
      </c>
    </row>
    <row r="307" spans="1:10" x14ac:dyDescent="0.2">
      <c r="B307" s="1"/>
      <c r="C307" s="1" t="s">
        <v>1973</v>
      </c>
      <c r="D307" s="681"/>
      <c r="E307" s="7"/>
    </row>
    <row r="308" spans="1:10" x14ac:dyDescent="0.2">
      <c r="B308" s="1"/>
    </row>
    <row r="309" spans="1:10" x14ac:dyDescent="0.2">
      <c r="C309" s="482" t="s">
        <v>1338</v>
      </c>
      <c r="D309" s="113"/>
      <c r="E309" s="113"/>
      <c r="F309" s="113"/>
      <c r="G309" s="220" t="s">
        <v>1340</v>
      </c>
      <c r="H309" s="113"/>
      <c r="I309" s="113"/>
      <c r="J309" s="113"/>
    </row>
    <row r="310" spans="1:10" x14ac:dyDescent="0.2">
      <c r="A310" s="747">
        <f>A302+1</f>
        <v>183</v>
      </c>
      <c r="C310" s="757" t="s">
        <v>258</v>
      </c>
      <c r="D310" s="113"/>
      <c r="E310" s="483"/>
      <c r="F310" s="474" t="s">
        <v>259</v>
      </c>
      <c r="G310" s="694" t="s">
        <v>2376</v>
      </c>
      <c r="H310" s="113"/>
      <c r="I310" s="113"/>
      <c r="J310" s="113"/>
    </row>
    <row r="311" spans="1:10" x14ac:dyDescent="0.2">
      <c r="A311" s="747">
        <f>A310+1</f>
        <v>184</v>
      </c>
      <c r="C311" s="473" t="s">
        <v>260</v>
      </c>
      <c r="D311" s="113"/>
      <c r="E311" s="484"/>
      <c r="F311" s="475">
        <v>7.4999999999999997E-3</v>
      </c>
      <c r="G311" s="694" t="s">
        <v>2377</v>
      </c>
      <c r="H311" s="113"/>
      <c r="I311" s="113"/>
      <c r="J311" s="113"/>
    </row>
    <row r="312" spans="1:10" x14ac:dyDescent="0.2">
      <c r="A312" s="747">
        <f>A311+1</f>
        <v>185</v>
      </c>
      <c r="C312" s="473" t="s">
        <v>1337</v>
      </c>
      <c r="D312" s="113"/>
      <c r="E312" s="483"/>
      <c r="F312" s="474" t="s">
        <v>261</v>
      </c>
      <c r="G312" s="175" t="s">
        <v>2378</v>
      </c>
      <c r="H312" s="113"/>
      <c r="I312" s="113"/>
      <c r="J312" s="113"/>
    </row>
    <row r="313" spans="1:10" x14ac:dyDescent="0.2">
      <c r="C313" s="113"/>
      <c r="D313" s="113"/>
      <c r="E313" s="483"/>
      <c r="F313" s="476"/>
      <c r="G313" s="113"/>
      <c r="H313" s="113"/>
      <c r="I313" s="113"/>
      <c r="J313" s="113"/>
    </row>
    <row r="314" spans="1:10" x14ac:dyDescent="0.2">
      <c r="C314" s="482" t="s">
        <v>1339</v>
      </c>
      <c r="D314" s="113"/>
      <c r="E314" s="113"/>
      <c r="F314" s="476"/>
      <c r="G314" s="220" t="s">
        <v>1340</v>
      </c>
      <c r="H314" s="113"/>
      <c r="I314" s="113"/>
      <c r="J314" s="113"/>
    </row>
    <row r="315" spans="1:10" x14ac:dyDescent="0.2">
      <c r="A315" s="747">
        <f>A312+1</f>
        <v>186</v>
      </c>
      <c r="C315" s="757" t="s">
        <v>258</v>
      </c>
      <c r="D315" s="113"/>
      <c r="E315" s="483"/>
      <c r="F315" s="474" t="s">
        <v>259</v>
      </c>
      <c r="G315" s="694" t="s">
        <v>2376</v>
      </c>
      <c r="H315" s="113"/>
      <c r="I315" s="113"/>
      <c r="J315" s="113"/>
    </row>
    <row r="316" spans="1:10" x14ac:dyDescent="0.2">
      <c r="A316" s="747">
        <f>A315+1</f>
        <v>187</v>
      </c>
      <c r="C316" s="473" t="s">
        <v>260</v>
      </c>
      <c r="D316" s="113"/>
      <c r="E316" s="484"/>
      <c r="F316" s="475">
        <v>1.2500000000000001E-2</v>
      </c>
      <c r="G316" s="694" t="s">
        <v>2377</v>
      </c>
      <c r="H316" s="113"/>
      <c r="I316" s="113"/>
      <c r="J316" s="113"/>
    </row>
    <row r="317" spans="1:10" x14ac:dyDescent="0.2">
      <c r="A317" s="747">
        <f>A316+1</f>
        <v>188</v>
      </c>
      <c r="C317" s="473" t="s">
        <v>1337</v>
      </c>
      <c r="D317" s="113"/>
      <c r="E317" s="483"/>
      <c r="F317" s="474" t="s">
        <v>259</v>
      </c>
      <c r="G317" s="694" t="s">
        <v>2379</v>
      </c>
      <c r="H317" s="113"/>
      <c r="I317" s="113"/>
      <c r="J317" s="113"/>
    </row>
    <row r="318" spans="1:10" x14ac:dyDescent="0.2">
      <c r="C318" s="473"/>
      <c r="D318" s="113"/>
      <c r="E318" s="483"/>
      <c r="F318" s="474"/>
      <c r="G318" s="113"/>
      <c r="H318" s="113"/>
      <c r="I318" s="113"/>
      <c r="J318" s="113"/>
    </row>
    <row r="319" spans="1:10" x14ac:dyDescent="0.2">
      <c r="C319" s="482" t="s">
        <v>1341</v>
      </c>
      <c r="D319" s="113"/>
      <c r="E319" s="694"/>
      <c r="F319" s="474"/>
      <c r="G319" s="220" t="s">
        <v>1340</v>
      </c>
      <c r="H319" s="113"/>
      <c r="I319" s="113"/>
      <c r="J319" s="113"/>
    </row>
    <row r="320" spans="1:10" x14ac:dyDescent="0.2">
      <c r="A320" s="747">
        <f>A317+1</f>
        <v>189</v>
      </c>
      <c r="C320" s="757" t="s">
        <v>258</v>
      </c>
      <c r="D320" s="113"/>
      <c r="E320" s="483"/>
      <c r="F320" s="474" t="s">
        <v>259</v>
      </c>
      <c r="G320" s="694" t="s">
        <v>2376</v>
      </c>
      <c r="H320" s="113"/>
      <c r="I320" s="113"/>
      <c r="J320" s="113"/>
    </row>
    <row r="321" spans="1:10" x14ac:dyDescent="0.2">
      <c r="A321" s="747">
        <f>A320+1</f>
        <v>190</v>
      </c>
      <c r="C321" s="473" t="s">
        <v>260</v>
      </c>
      <c r="D321" s="113"/>
      <c r="E321" s="484"/>
      <c r="F321" s="475">
        <v>0.01</v>
      </c>
      <c r="G321" s="694" t="s">
        <v>2380</v>
      </c>
      <c r="H321" s="113"/>
      <c r="I321" s="113"/>
      <c r="J321" s="113"/>
    </row>
    <row r="322" spans="1:10" x14ac:dyDescent="0.2">
      <c r="A322" s="747">
        <f>A321+1</f>
        <v>191</v>
      </c>
      <c r="C322" s="473"/>
      <c r="D322" s="113"/>
      <c r="E322" s="484"/>
      <c r="F322" s="475"/>
      <c r="G322" s="694" t="s">
        <v>2381</v>
      </c>
      <c r="H322" s="113"/>
      <c r="I322" s="113"/>
      <c r="J322" s="113"/>
    </row>
    <row r="323" spans="1:10" x14ac:dyDescent="0.2">
      <c r="A323" s="747">
        <f>A322+1</f>
        <v>192</v>
      </c>
      <c r="C323" s="473" t="s">
        <v>1337</v>
      </c>
      <c r="D323" s="113"/>
      <c r="E323" s="483"/>
      <c r="F323" s="474" t="s">
        <v>259</v>
      </c>
      <c r="G323" s="694" t="s">
        <v>2379</v>
      </c>
      <c r="H323" s="113"/>
      <c r="I323" s="113"/>
      <c r="J323" s="113"/>
    </row>
    <row r="324" spans="1:10" x14ac:dyDescent="0.2">
      <c r="C324" s="473"/>
      <c r="D324" s="113"/>
      <c r="E324" s="483"/>
      <c r="F324" s="474"/>
      <c r="G324" s="113"/>
      <c r="H324" s="113"/>
      <c r="I324" s="113"/>
      <c r="J324" s="113"/>
    </row>
    <row r="325" spans="1:10" x14ac:dyDescent="0.2">
      <c r="C325" s="482" t="s">
        <v>1342</v>
      </c>
      <c r="D325" s="113"/>
      <c r="E325" s="694"/>
      <c r="F325" s="474"/>
      <c r="G325" s="220" t="s">
        <v>1340</v>
      </c>
      <c r="H325" s="113"/>
      <c r="I325" s="113"/>
      <c r="J325" s="113"/>
    </row>
    <row r="326" spans="1:10" x14ac:dyDescent="0.2">
      <c r="A326" s="747">
        <f>A323+1</f>
        <v>193</v>
      </c>
      <c r="C326" s="757" t="s">
        <v>258</v>
      </c>
      <c r="D326" s="113"/>
      <c r="E326" s="483"/>
      <c r="F326" s="474" t="s">
        <v>261</v>
      </c>
      <c r="G326" s="694" t="s">
        <v>2382</v>
      </c>
      <c r="H326" s="113"/>
      <c r="I326" s="113"/>
      <c r="J326" s="113"/>
    </row>
    <row r="327" spans="1:10" x14ac:dyDescent="0.2">
      <c r="A327" s="747">
        <f>A326+1</f>
        <v>194</v>
      </c>
      <c r="C327" s="757"/>
      <c r="D327" s="113"/>
      <c r="E327" s="483"/>
      <c r="F327" s="474"/>
      <c r="G327" s="113" t="s">
        <v>2383</v>
      </c>
      <c r="H327" s="113"/>
      <c r="I327" s="113"/>
      <c r="J327" s="113"/>
    </row>
    <row r="328" spans="1:10" x14ac:dyDescent="0.2">
      <c r="A328" s="747">
        <f>A327+1</f>
        <v>195</v>
      </c>
      <c r="C328" s="473" t="s">
        <v>260</v>
      </c>
      <c r="D328" s="113"/>
      <c r="E328" s="484"/>
      <c r="F328" s="475">
        <v>0</v>
      </c>
      <c r="G328" s="694" t="s">
        <v>2384</v>
      </c>
      <c r="H328" s="113"/>
      <c r="I328" s="113"/>
      <c r="J328" s="113"/>
    </row>
    <row r="329" spans="1:10" x14ac:dyDescent="0.2">
      <c r="A329" s="747">
        <f>A328+1</f>
        <v>196</v>
      </c>
      <c r="C329" s="473"/>
      <c r="D329" s="113"/>
      <c r="E329" s="484"/>
      <c r="F329" s="475"/>
      <c r="G329" s="694" t="s">
        <v>2385</v>
      </c>
      <c r="H329" s="113"/>
      <c r="I329" s="113"/>
      <c r="J329" s="113"/>
    </row>
    <row r="330" spans="1:10" x14ac:dyDescent="0.2">
      <c r="A330" s="747">
        <f>A329+1</f>
        <v>197</v>
      </c>
      <c r="C330" s="473" t="s">
        <v>1337</v>
      </c>
      <c r="D330" s="113"/>
      <c r="E330" s="483"/>
      <c r="F330" s="474" t="s">
        <v>259</v>
      </c>
      <c r="G330" s="694" t="s">
        <v>2379</v>
      </c>
      <c r="H330" s="113"/>
      <c r="I330" s="113"/>
      <c r="J330" s="113"/>
    </row>
    <row r="331" spans="1:10" x14ac:dyDescent="0.2">
      <c r="C331" s="473"/>
      <c r="D331" s="113"/>
      <c r="E331" s="483"/>
      <c r="F331" s="474"/>
      <c r="G331" s="113"/>
      <c r="H331" s="113"/>
      <c r="I331" s="113"/>
      <c r="J331" s="113"/>
    </row>
    <row r="332" spans="1:10" x14ac:dyDescent="0.2">
      <c r="C332" s="482" t="s">
        <v>1343</v>
      </c>
      <c r="D332" s="113"/>
      <c r="E332" s="113"/>
      <c r="F332" s="474"/>
      <c r="G332" s="220" t="s">
        <v>1340</v>
      </c>
      <c r="H332" s="113"/>
      <c r="I332" s="113"/>
      <c r="J332" s="113"/>
    </row>
    <row r="333" spans="1:10" x14ac:dyDescent="0.2">
      <c r="A333" s="747">
        <f>A330+1</f>
        <v>198</v>
      </c>
      <c r="C333" s="757" t="s">
        <v>258</v>
      </c>
      <c r="D333" s="113"/>
      <c r="E333" s="483"/>
      <c r="F333" s="474" t="s">
        <v>259</v>
      </c>
      <c r="G333" s="694" t="s">
        <v>2386</v>
      </c>
      <c r="H333" s="113"/>
      <c r="I333" s="113"/>
      <c r="J333" s="113"/>
    </row>
    <row r="334" spans="1:10" x14ac:dyDescent="0.2">
      <c r="A334" s="747">
        <f>A333+1</f>
        <v>199</v>
      </c>
      <c r="C334" s="473" t="s">
        <v>260</v>
      </c>
      <c r="D334" s="113"/>
      <c r="E334" s="484"/>
      <c r="F334" s="475">
        <v>0</v>
      </c>
      <c r="G334" s="694" t="s">
        <v>2387</v>
      </c>
      <c r="H334" s="113"/>
      <c r="I334" s="113"/>
      <c r="J334" s="113"/>
    </row>
    <row r="335" spans="1:10" x14ac:dyDescent="0.2">
      <c r="A335" s="747">
        <f>A334+1</f>
        <v>200</v>
      </c>
      <c r="C335" s="473" t="s">
        <v>1337</v>
      </c>
      <c r="D335" s="113"/>
      <c r="E335" s="483"/>
      <c r="F335" s="474" t="s">
        <v>259</v>
      </c>
      <c r="G335" s="694" t="s">
        <v>2388</v>
      </c>
      <c r="H335" s="113"/>
      <c r="I335" s="113"/>
      <c r="J335" s="113"/>
    </row>
    <row r="336" spans="1:10" x14ac:dyDescent="0.2">
      <c r="C336" s="473"/>
      <c r="D336" s="113"/>
      <c r="E336" s="483"/>
      <c r="F336" s="474"/>
      <c r="G336" s="757"/>
      <c r="H336" s="113"/>
      <c r="I336" s="113"/>
      <c r="J336" s="113"/>
    </row>
    <row r="337" spans="1:10" x14ac:dyDescent="0.2">
      <c r="C337" s="482" t="s">
        <v>1344</v>
      </c>
      <c r="D337" s="113"/>
      <c r="E337" s="694"/>
      <c r="F337" s="474"/>
      <c r="G337" s="220" t="s">
        <v>1340</v>
      </c>
      <c r="H337" s="113"/>
      <c r="I337" s="113"/>
      <c r="J337" s="113"/>
    </row>
    <row r="338" spans="1:10" x14ac:dyDescent="0.2">
      <c r="A338" s="747">
        <f>A335+1</f>
        <v>201</v>
      </c>
      <c r="C338" s="757" t="s">
        <v>258</v>
      </c>
      <c r="D338" s="113"/>
      <c r="E338" s="483"/>
      <c r="F338" s="474" t="s">
        <v>259</v>
      </c>
      <c r="G338" s="694" t="s">
        <v>2389</v>
      </c>
      <c r="H338" s="113"/>
      <c r="I338" s="694"/>
      <c r="J338" s="694"/>
    </row>
    <row r="339" spans="1:10" x14ac:dyDescent="0.2">
      <c r="A339" s="747">
        <f>A338+1</f>
        <v>202</v>
      </c>
      <c r="C339" s="473" t="s">
        <v>260</v>
      </c>
      <c r="D339" s="113"/>
      <c r="E339" s="484"/>
      <c r="F339" s="475">
        <v>0</v>
      </c>
      <c r="G339" s="694" t="s">
        <v>2390</v>
      </c>
      <c r="H339" s="113"/>
      <c r="I339" s="694"/>
      <c r="J339" s="694"/>
    </row>
    <row r="340" spans="1:10" x14ac:dyDescent="0.2">
      <c r="A340" s="747">
        <f>A339+1</f>
        <v>203</v>
      </c>
      <c r="C340" s="473" t="s">
        <v>1337</v>
      </c>
      <c r="D340" s="113"/>
      <c r="E340" s="483"/>
      <c r="F340" s="474" t="s">
        <v>259</v>
      </c>
      <c r="G340" s="694" t="s">
        <v>2391</v>
      </c>
      <c r="H340" s="113"/>
      <c r="I340" s="694"/>
      <c r="J340" s="694"/>
    </row>
    <row r="341" spans="1:10" x14ac:dyDescent="0.2">
      <c r="C341" s="473"/>
      <c r="D341" s="113"/>
      <c r="E341" s="484"/>
      <c r="F341" s="474"/>
      <c r="G341" s="694"/>
      <c r="H341" s="113"/>
      <c r="I341" s="694"/>
      <c r="J341" s="694"/>
    </row>
    <row r="342" spans="1:10" x14ac:dyDescent="0.2">
      <c r="C342" s="482" t="s">
        <v>1345</v>
      </c>
      <c r="D342" s="113"/>
      <c r="E342" s="694"/>
      <c r="F342" s="474"/>
      <c r="G342" s="220" t="s">
        <v>1340</v>
      </c>
      <c r="H342" s="113"/>
      <c r="I342" s="694"/>
      <c r="J342" s="694"/>
    </row>
    <row r="343" spans="1:10" x14ac:dyDescent="0.2">
      <c r="A343" s="747">
        <f>A340+1</f>
        <v>204</v>
      </c>
      <c r="C343" s="757" t="s">
        <v>258</v>
      </c>
      <c r="D343" s="113"/>
      <c r="E343" s="483"/>
      <c r="F343" s="474" t="s">
        <v>259</v>
      </c>
      <c r="G343" s="694" t="s">
        <v>2389</v>
      </c>
      <c r="H343" s="113"/>
      <c r="I343" s="694"/>
      <c r="J343" s="694"/>
    </row>
    <row r="344" spans="1:10" x14ac:dyDescent="0.2">
      <c r="A344" s="747">
        <f>A343+1</f>
        <v>205</v>
      </c>
      <c r="C344" s="473" t="s">
        <v>260</v>
      </c>
      <c r="D344" s="113"/>
      <c r="E344" s="484"/>
      <c r="F344" s="475">
        <v>0</v>
      </c>
      <c r="G344" s="694" t="s">
        <v>2390</v>
      </c>
      <c r="H344" s="113"/>
      <c r="I344" s="694"/>
      <c r="J344" s="694"/>
    </row>
    <row r="345" spans="1:10" x14ac:dyDescent="0.2">
      <c r="A345" s="747">
        <f>A344+1</f>
        <v>206</v>
      </c>
      <c r="C345" s="473" t="s">
        <v>1337</v>
      </c>
      <c r="D345" s="113"/>
      <c r="E345" s="483"/>
      <c r="F345" s="474" t="s">
        <v>259</v>
      </c>
      <c r="G345" s="694" t="s">
        <v>2391</v>
      </c>
      <c r="H345" s="113"/>
      <c r="I345" s="694"/>
      <c r="J345" s="694"/>
    </row>
    <row r="346" spans="1:10" x14ac:dyDescent="0.2">
      <c r="C346" s="113"/>
      <c r="D346" s="113"/>
      <c r="E346" s="113"/>
      <c r="F346" s="475"/>
      <c r="G346" s="113"/>
      <c r="H346" s="113"/>
      <c r="I346" s="113"/>
      <c r="J346" s="113"/>
    </row>
    <row r="347" spans="1:10" x14ac:dyDescent="0.2">
      <c r="C347" s="482" t="s">
        <v>1346</v>
      </c>
      <c r="D347" s="113"/>
      <c r="E347" s="694"/>
      <c r="F347" s="474"/>
      <c r="G347" s="220" t="s">
        <v>1340</v>
      </c>
      <c r="H347" s="113"/>
      <c r="I347" s="113"/>
      <c r="J347" s="113"/>
    </row>
    <row r="348" spans="1:10" x14ac:dyDescent="0.2">
      <c r="A348" s="747">
        <f>A345+1</f>
        <v>207</v>
      </c>
      <c r="C348" s="757" t="s">
        <v>258</v>
      </c>
      <c r="D348" s="113"/>
      <c r="E348" s="483"/>
      <c r="F348" s="474" t="s">
        <v>259</v>
      </c>
      <c r="G348" s="758" t="s">
        <v>2392</v>
      </c>
      <c r="H348" s="113"/>
      <c r="I348" s="113"/>
      <c r="J348" s="113"/>
    </row>
    <row r="349" spans="1:10" x14ac:dyDescent="0.2">
      <c r="A349" s="747">
        <f>A348+1</f>
        <v>208</v>
      </c>
      <c r="C349" s="473" t="s">
        <v>260</v>
      </c>
      <c r="D349" s="113"/>
      <c r="E349" s="484"/>
      <c r="F349" s="475">
        <v>0</v>
      </c>
      <c r="G349" s="759" t="s">
        <v>92</v>
      </c>
      <c r="H349" s="113"/>
      <c r="I349" s="113"/>
      <c r="J349" s="113"/>
    </row>
    <row r="350" spans="1:10" x14ac:dyDescent="0.2">
      <c r="A350" s="747">
        <f>A349+1</f>
        <v>209</v>
      </c>
      <c r="C350" s="473" t="s">
        <v>1337</v>
      </c>
      <c r="D350" s="113"/>
      <c r="E350" s="483"/>
      <c r="F350" s="474" t="s">
        <v>259</v>
      </c>
      <c r="G350" s="758" t="s">
        <v>2392</v>
      </c>
      <c r="H350" s="113"/>
      <c r="I350" s="113"/>
      <c r="J350" s="113"/>
    </row>
    <row r="351" spans="1:10" x14ac:dyDescent="0.2">
      <c r="C351" s="113"/>
      <c r="D351" s="113"/>
      <c r="E351" s="113"/>
      <c r="F351" s="475"/>
      <c r="G351" s="113"/>
      <c r="H351" s="113"/>
      <c r="I351" s="113"/>
      <c r="J351" s="113"/>
    </row>
    <row r="352" spans="1:10" x14ac:dyDescent="0.2">
      <c r="C352" s="482" t="s">
        <v>1347</v>
      </c>
      <c r="D352" s="113"/>
      <c r="E352" s="694"/>
      <c r="F352" s="474"/>
      <c r="G352" s="220" t="s">
        <v>1340</v>
      </c>
      <c r="H352" s="113"/>
      <c r="I352" s="113"/>
      <c r="J352" s="113"/>
    </row>
    <row r="353" spans="1:10" x14ac:dyDescent="0.2">
      <c r="A353" s="747">
        <f>A350+1</f>
        <v>210</v>
      </c>
      <c r="C353" s="757" t="s">
        <v>258</v>
      </c>
      <c r="D353" s="113"/>
      <c r="E353" s="483"/>
      <c r="F353" s="474" t="s">
        <v>259</v>
      </c>
      <c r="G353" s="758" t="s">
        <v>2392</v>
      </c>
      <c r="H353" s="113"/>
      <c r="I353" s="113"/>
      <c r="J353" s="113"/>
    </row>
    <row r="354" spans="1:10" x14ac:dyDescent="0.2">
      <c r="A354" s="747">
        <f>A353+1</f>
        <v>211</v>
      </c>
      <c r="C354" s="473" t="s">
        <v>260</v>
      </c>
      <c r="D354" s="113"/>
      <c r="E354" s="484"/>
      <c r="F354" s="475">
        <v>0</v>
      </c>
      <c r="G354" s="759" t="s">
        <v>92</v>
      </c>
      <c r="H354" s="113"/>
      <c r="I354" s="113"/>
      <c r="J354" s="113"/>
    </row>
    <row r="355" spans="1:10" x14ac:dyDescent="0.2">
      <c r="A355" s="747">
        <f>A354+1</f>
        <v>212</v>
      </c>
      <c r="C355" s="473" t="s">
        <v>1337</v>
      </c>
      <c r="D355" s="113"/>
      <c r="E355" s="483"/>
      <c r="F355" s="474" t="s">
        <v>259</v>
      </c>
      <c r="G355" s="758" t="s">
        <v>2392</v>
      </c>
      <c r="H355" s="113"/>
      <c r="I355" s="113"/>
      <c r="J355" s="113"/>
    </row>
    <row r="356" spans="1:10" x14ac:dyDescent="0.2">
      <c r="C356" s="113"/>
      <c r="D356" s="113"/>
      <c r="E356" s="113"/>
      <c r="F356" s="475"/>
      <c r="G356" s="113"/>
      <c r="H356" s="113"/>
      <c r="I356" s="113"/>
      <c r="J356" s="113"/>
    </row>
    <row r="357" spans="1:10" x14ac:dyDescent="0.2">
      <c r="C357" s="482" t="s">
        <v>1348</v>
      </c>
      <c r="D357" s="113"/>
      <c r="E357" s="694"/>
      <c r="F357" s="474"/>
      <c r="G357" s="220" t="s">
        <v>1340</v>
      </c>
      <c r="H357" s="113"/>
      <c r="I357" s="113"/>
      <c r="J357" s="113"/>
    </row>
    <row r="358" spans="1:10" x14ac:dyDescent="0.2">
      <c r="A358" s="747">
        <f>A355+1</f>
        <v>213</v>
      </c>
      <c r="C358" s="757" t="s">
        <v>258</v>
      </c>
      <c r="D358" s="113"/>
      <c r="E358" s="483"/>
      <c r="F358" s="474" t="s">
        <v>259</v>
      </c>
      <c r="G358" s="758" t="s">
        <v>2392</v>
      </c>
      <c r="H358" s="113"/>
      <c r="I358" s="113"/>
      <c r="J358" s="113"/>
    </row>
    <row r="359" spans="1:10" x14ac:dyDescent="0.2">
      <c r="A359" s="747">
        <f>A358+1</f>
        <v>214</v>
      </c>
      <c r="C359" s="473" t="s">
        <v>260</v>
      </c>
      <c r="D359" s="113"/>
      <c r="E359" s="484"/>
      <c r="F359" s="475">
        <v>0</v>
      </c>
      <c r="G359" s="759" t="s">
        <v>92</v>
      </c>
      <c r="H359" s="113"/>
      <c r="I359" s="113"/>
      <c r="J359" s="113"/>
    </row>
    <row r="360" spans="1:10" x14ac:dyDescent="0.2">
      <c r="A360" s="747">
        <f>A359+1</f>
        <v>215</v>
      </c>
      <c r="C360" s="473" t="s">
        <v>1337</v>
      </c>
      <c r="D360" s="113"/>
      <c r="E360" s="483"/>
      <c r="F360" s="474" t="s">
        <v>259</v>
      </c>
      <c r="G360" s="758" t="s">
        <v>2392</v>
      </c>
      <c r="H360" s="113"/>
      <c r="I360" s="113"/>
      <c r="J360" s="113"/>
    </row>
    <row r="361" spans="1:10" x14ac:dyDescent="0.2">
      <c r="C361" s="113"/>
      <c r="D361" s="113"/>
      <c r="E361" s="113"/>
      <c r="F361" s="475"/>
      <c r="G361" s="113"/>
      <c r="H361" s="113"/>
      <c r="I361" s="113"/>
      <c r="J361" s="113"/>
    </row>
    <row r="362" spans="1:10" x14ac:dyDescent="0.2">
      <c r="C362" s="482" t="s">
        <v>1349</v>
      </c>
      <c r="D362" s="113"/>
      <c r="E362" s="694"/>
      <c r="F362" s="474"/>
      <c r="G362" s="220" t="s">
        <v>1340</v>
      </c>
      <c r="H362" s="113"/>
      <c r="I362" s="113"/>
      <c r="J362" s="113"/>
    </row>
    <row r="363" spans="1:10" x14ac:dyDescent="0.2">
      <c r="A363" s="747">
        <f>A360+1</f>
        <v>216</v>
      </c>
      <c r="C363" s="757" t="s">
        <v>258</v>
      </c>
      <c r="D363" s="113"/>
      <c r="E363" s="483"/>
      <c r="F363" s="474" t="s">
        <v>259</v>
      </c>
      <c r="G363" s="758" t="s">
        <v>2392</v>
      </c>
      <c r="H363" s="113"/>
      <c r="I363" s="113"/>
      <c r="J363" s="113"/>
    </row>
    <row r="364" spans="1:10" x14ac:dyDescent="0.2">
      <c r="A364" s="747">
        <f>A363+1</f>
        <v>217</v>
      </c>
      <c r="C364" s="473" t="s">
        <v>260</v>
      </c>
      <c r="D364" s="113"/>
      <c r="E364" s="484"/>
      <c r="F364" s="475">
        <v>0</v>
      </c>
      <c r="G364" s="759" t="s">
        <v>92</v>
      </c>
      <c r="H364" s="113"/>
      <c r="I364" s="113"/>
      <c r="J364" s="113"/>
    </row>
    <row r="365" spans="1:10" x14ac:dyDescent="0.2">
      <c r="A365" s="747">
        <f>A364+1</f>
        <v>218</v>
      </c>
      <c r="C365" s="473" t="s">
        <v>1337</v>
      </c>
      <c r="D365" s="113"/>
      <c r="E365" s="483"/>
      <c r="F365" s="474" t="s">
        <v>259</v>
      </c>
      <c r="G365" s="758" t="s">
        <v>2392</v>
      </c>
      <c r="H365" s="113"/>
      <c r="I365" s="113"/>
      <c r="J365" s="113"/>
    </row>
    <row r="366" spans="1:10" x14ac:dyDescent="0.2">
      <c r="C366" s="113"/>
      <c r="D366" s="113"/>
      <c r="E366" s="113"/>
      <c r="F366" s="475"/>
      <c r="G366" s="113"/>
      <c r="H366" s="113"/>
      <c r="I366" s="113"/>
      <c r="J366" s="113"/>
    </row>
    <row r="367" spans="1:10" x14ac:dyDescent="0.2">
      <c r="C367" s="477" t="s">
        <v>1350</v>
      </c>
      <c r="D367" s="113"/>
      <c r="E367" s="113"/>
      <c r="F367" s="474"/>
      <c r="G367" s="220" t="s">
        <v>1340</v>
      </c>
      <c r="H367" s="113"/>
      <c r="I367" s="113"/>
      <c r="J367" s="113"/>
    </row>
    <row r="368" spans="1:10" x14ac:dyDescent="0.2">
      <c r="A368" s="747">
        <f>A365+1</f>
        <v>219</v>
      </c>
      <c r="C368" s="757" t="s">
        <v>258</v>
      </c>
      <c r="D368" s="113"/>
      <c r="E368" s="113"/>
      <c r="F368" s="113"/>
      <c r="G368" s="113"/>
      <c r="H368" s="113"/>
      <c r="I368" s="113"/>
      <c r="J368" s="113"/>
    </row>
    <row r="369" spans="1:10" x14ac:dyDescent="0.2">
      <c r="A369" s="747">
        <f>A368+1</f>
        <v>220</v>
      </c>
      <c r="C369" s="473" t="s">
        <v>260</v>
      </c>
      <c r="D369" s="113"/>
      <c r="E369" s="113"/>
      <c r="F369" s="113"/>
      <c r="G369" s="113"/>
      <c r="H369" s="113"/>
      <c r="I369" s="113"/>
      <c r="J369" s="113"/>
    </row>
    <row r="370" spans="1:10" x14ac:dyDescent="0.2">
      <c r="A370" s="747">
        <f>A369+1</f>
        <v>221</v>
      </c>
      <c r="C370" s="473" t="s">
        <v>1337</v>
      </c>
      <c r="D370" s="113"/>
      <c r="E370" s="113"/>
      <c r="F370" s="113"/>
      <c r="G370" s="113"/>
      <c r="H370" s="113"/>
      <c r="I370" s="113"/>
      <c r="J370" s="113"/>
    </row>
    <row r="371" spans="1:10" x14ac:dyDescent="0.2">
      <c r="C371" s="478" t="s">
        <v>617</v>
      </c>
    </row>
    <row r="373" spans="1:10" x14ac:dyDescent="0.2">
      <c r="B373" s="479" t="s">
        <v>445</v>
      </c>
    </row>
    <row r="374" spans="1:10" x14ac:dyDescent="0.2">
      <c r="C374" s="683" t="s">
        <v>1464</v>
      </c>
    </row>
    <row r="375" spans="1:10" x14ac:dyDescent="0.2">
      <c r="C375" t="s">
        <v>1351</v>
      </c>
    </row>
  </sheetData>
  <phoneticPr fontId="8" type="noConversion"/>
  <pageMargins left="0.75" right="0.75" top="1" bottom="1" header="0.5" footer="0.5"/>
  <pageSetup scale="70" orientation="portrait" r:id="rId1"/>
  <headerFooter alignWithMargins="0">
    <oddHeader>&amp;CSchedule 14
Incentive Plant&amp;RDkt. No. ER11-3697
2014 Draft Informational Filing</oddHeader>
    <oddFooter>&amp;R&amp;A</oddFooter>
  </headerFooter>
  <rowBreaks count="5" manualBreakCount="5">
    <brk id="66" max="16383" man="1"/>
    <brk id="131" max="16383" man="1"/>
    <brk id="189" max="16383" man="1"/>
    <brk id="246" max="16383" man="1"/>
    <brk id="30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opLeftCell="A79" zoomScaleNormal="100" workbookViewId="0">
      <selection activeCell="E27" sqref="E27"/>
    </sheetView>
  </sheetViews>
  <sheetFormatPr defaultRowHeight="12.75" x14ac:dyDescent="0.2"/>
  <cols>
    <col min="1" max="2" width="4.7109375" customWidth="1"/>
    <col min="3" max="4" width="10.7109375" customWidth="1"/>
    <col min="5" max="9" width="15.7109375" customWidth="1"/>
  </cols>
  <sheetData>
    <row r="1" spans="1:9" x14ac:dyDescent="0.2">
      <c r="A1" s="1" t="s">
        <v>174</v>
      </c>
      <c r="B1" s="1"/>
    </row>
    <row r="2" spans="1:9" x14ac:dyDescent="0.2">
      <c r="A2" s="1"/>
      <c r="B2" s="1"/>
      <c r="G2" s="111" t="s">
        <v>286</v>
      </c>
      <c r="H2" s="111"/>
    </row>
    <row r="3" spans="1:9" x14ac:dyDescent="0.2">
      <c r="A3" s="1"/>
      <c r="B3" s="12" t="s">
        <v>1161</v>
      </c>
    </row>
    <row r="4" spans="1:9" x14ac:dyDescent="0.2">
      <c r="A4" s="1"/>
      <c r="B4" s="13" t="s">
        <v>1162</v>
      </c>
    </row>
    <row r="5" spans="1:9" x14ac:dyDescent="0.2">
      <c r="A5" s="1"/>
      <c r="B5" s="687" t="s">
        <v>1892</v>
      </c>
    </row>
    <row r="7" spans="1:9" ht="13.5" customHeight="1" x14ac:dyDescent="0.2">
      <c r="B7" s="1" t="s">
        <v>316</v>
      </c>
    </row>
    <row r="8" spans="1:9" x14ac:dyDescent="0.2">
      <c r="A8" s="1"/>
      <c r="B8" s="1"/>
    </row>
    <row r="9" spans="1:9" x14ac:dyDescent="0.2">
      <c r="A9" s="1"/>
      <c r="B9" s="1"/>
      <c r="C9" s="12" t="s">
        <v>345</v>
      </c>
    </row>
    <row r="10" spans="1:9" x14ac:dyDescent="0.2">
      <c r="A10" s="1"/>
      <c r="B10" s="1"/>
      <c r="C10" s="12" t="s">
        <v>1367</v>
      </c>
    </row>
    <row r="11" spans="1:9" x14ac:dyDescent="0.2">
      <c r="A11" s="1"/>
      <c r="B11" s="1"/>
      <c r="C11" s="12"/>
    </row>
    <row r="12" spans="1:9" x14ac:dyDescent="0.2">
      <c r="A12" s="1"/>
      <c r="B12" s="1"/>
      <c r="C12" s="683" t="s">
        <v>1853</v>
      </c>
    </row>
    <row r="13" spans="1:9" x14ac:dyDescent="0.2">
      <c r="A13" s="1"/>
      <c r="B13" s="1"/>
    </row>
    <row r="14" spans="1:9" x14ac:dyDescent="0.2">
      <c r="A14" s="53" t="s">
        <v>380</v>
      </c>
      <c r="B14" s="1"/>
      <c r="C14" s="12" t="s">
        <v>422</v>
      </c>
      <c r="G14" s="140" t="s">
        <v>199</v>
      </c>
      <c r="I14" s="3" t="s">
        <v>207</v>
      </c>
    </row>
    <row r="15" spans="1:9" x14ac:dyDescent="0.2">
      <c r="A15" s="2">
        <v>1</v>
      </c>
      <c r="B15" s="1"/>
      <c r="C15" s="13" t="s">
        <v>423</v>
      </c>
      <c r="G15" s="8">
        <f>BaseTRR!K80</f>
        <v>0.48699299014464159</v>
      </c>
      <c r="I15" s="12" t="str">
        <f>"BaseTRR WS, L "&amp;BaseTRR!A80&amp;""</f>
        <v>BaseTRR WS, L 46</v>
      </c>
    </row>
    <row r="16" spans="1:9" x14ac:dyDescent="0.2">
      <c r="A16" s="2">
        <v>2</v>
      </c>
      <c r="B16" s="1"/>
      <c r="C16" s="13" t="s">
        <v>253</v>
      </c>
      <c r="G16" s="8">
        <f>BaseTRR!K102</f>
        <v>0.39936028204298801</v>
      </c>
      <c r="I16" s="12" t="str">
        <f>"BaseTRR WS, L "&amp;BaseTRR!A102&amp;""</f>
        <v>BaseTRR WS, L 58</v>
      </c>
    </row>
    <row r="17" spans="1:9" x14ac:dyDescent="0.2">
      <c r="A17" s="2">
        <v>3</v>
      </c>
      <c r="B17" s="1"/>
      <c r="F17" s="110" t="s">
        <v>596</v>
      </c>
      <c r="G17" s="7">
        <f>G15*(1/(1-G16))* 10000</f>
        <v>8107.9052148112505</v>
      </c>
      <c r="I17" s="12" t="s">
        <v>424</v>
      </c>
    </row>
    <row r="19" spans="1:9" x14ac:dyDescent="0.2">
      <c r="B19" s="1" t="s">
        <v>317</v>
      </c>
    </row>
    <row r="20" spans="1:9" x14ac:dyDescent="0.2">
      <c r="A20" s="1"/>
      <c r="B20" s="1"/>
      <c r="C20" s="12" t="s">
        <v>350</v>
      </c>
    </row>
    <row r="21" spans="1:9" x14ac:dyDescent="0.2">
      <c r="A21" s="1"/>
      <c r="B21" s="1"/>
      <c r="C21" s="12" t="s">
        <v>597</v>
      </c>
    </row>
    <row r="22" spans="1:9" x14ac:dyDescent="0.2">
      <c r="A22" s="1"/>
      <c r="B22" s="1"/>
    </row>
    <row r="23" spans="1:9" x14ac:dyDescent="0.2">
      <c r="A23" s="1"/>
      <c r="B23" s="1"/>
      <c r="F23" s="2" t="s">
        <v>319</v>
      </c>
    </row>
    <row r="24" spans="1:9" x14ac:dyDescent="0.2">
      <c r="A24" s="53" t="s">
        <v>380</v>
      </c>
      <c r="B24" s="53"/>
      <c r="E24" s="3" t="s">
        <v>9</v>
      </c>
      <c r="F24" s="3" t="s">
        <v>38</v>
      </c>
      <c r="G24" s="3" t="s">
        <v>207</v>
      </c>
    </row>
    <row r="25" spans="1:9" x14ac:dyDescent="0.2">
      <c r="A25" s="2">
        <f>A17+1</f>
        <v>4</v>
      </c>
      <c r="B25" s="2"/>
      <c r="C25" t="s">
        <v>264</v>
      </c>
      <c r="E25" s="43">
        <f>IncentivePlant!F311</f>
        <v>7.4999999999999997E-3</v>
      </c>
      <c r="F25" s="114">
        <f>E25/0.01</f>
        <v>0.75</v>
      </c>
      <c r="G25" s="13" t="str">
        <f>"IncentivePlant WS, L "&amp;IncentivePlant!A311&amp;""</f>
        <v>IncentivePlant WS, L 184</v>
      </c>
    </row>
    <row r="26" spans="1:9" x14ac:dyDescent="0.2">
      <c r="A26" s="2">
        <f>A25+1</f>
        <v>5</v>
      </c>
      <c r="B26" s="2"/>
      <c r="C26" t="s">
        <v>265</v>
      </c>
      <c r="E26" s="43">
        <f>IncentivePlant!F316</f>
        <v>1.2500000000000001E-2</v>
      </c>
      <c r="F26" s="114">
        <f>E26/0.01</f>
        <v>1.25</v>
      </c>
      <c r="G26" s="13" t="str">
        <f>"IncentivePlant WS, L "&amp;IncentivePlant!A316&amp;""</f>
        <v>IncentivePlant WS, L 187</v>
      </c>
    </row>
    <row r="27" spans="1:9" x14ac:dyDescent="0.2">
      <c r="A27" s="2">
        <f>A26+1</f>
        <v>6</v>
      </c>
      <c r="B27" s="2"/>
      <c r="C27" s="12" t="s">
        <v>595</v>
      </c>
      <c r="E27" s="43">
        <f>IncentivePlant!F321</f>
        <v>0.01</v>
      </c>
      <c r="F27" s="114">
        <f>E27/0.01</f>
        <v>1</v>
      </c>
      <c r="G27" s="13" t="str">
        <f>"IncentivePlant WS, L "&amp;IncentivePlant!A321&amp;""</f>
        <v>IncentivePlant WS, L 190</v>
      </c>
    </row>
    <row r="28" spans="1:9" x14ac:dyDescent="0.2">
      <c r="A28" s="2">
        <f>A27+1</f>
        <v>7</v>
      </c>
      <c r="B28" s="2"/>
      <c r="C28" s="137" t="s">
        <v>1180</v>
      </c>
      <c r="D28" s="113"/>
      <c r="E28" s="43"/>
      <c r="F28" s="114"/>
    </row>
    <row r="29" spans="1:9" x14ac:dyDescent="0.2">
      <c r="A29" s="2">
        <f>A28+1</f>
        <v>8</v>
      </c>
      <c r="B29" s="2"/>
      <c r="C29" s="218" t="s">
        <v>617</v>
      </c>
      <c r="E29" s="43"/>
      <c r="F29" s="114"/>
    </row>
    <row r="31" spans="1:9" x14ac:dyDescent="0.2">
      <c r="B31" s="1" t="s">
        <v>318</v>
      </c>
    </row>
    <row r="32" spans="1:9" x14ac:dyDescent="0.2">
      <c r="A32" s="1"/>
      <c r="B32" s="1"/>
      <c r="C32" s="12" t="s">
        <v>1784</v>
      </c>
    </row>
    <row r="33" spans="1:9" x14ac:dyDescent="0.2">
      <c r="A33" s="1"/>
      <c r="B33" s="1"/>
      <c r="C33" s="12" t="s">
        <v>598</v>
      </c>
    </row>
    <row r="34" spans="1:9" x14ac:dyDescent="0.2">
      <c r="A34" s="1"/>
      <c r="B34" s="1"/>
      <c r="C34" s="12" t="s">
        <v>599</v>
      </c>
    </row>
    <row r="35" spans="1:9" x14ac:dyDescent="0.2">
      <c r="E35" s="2"/>
      <c r="G35" s="2"/>
    </row>
    <row r="36" spans="1:9" x14ac:dyDescent="0.2">
      <c r="E36" s="2" t="s">
        <v>79</v>
      </c>
      <c r="G36" s="2" t="s">
        <v>79</v>
      </c>
    </row>
    <row r="37" spans="1:9" x14ac:dyDescent="0.2">
      <c r="E37" s="2" t="s">
        <v>8</v>
      </c>
      <c r="F37" s="2" t="s">
        <v>319</v>
      </c>
      <c r="G37" s="2" t="s">
        <v>8</v>
      </c>
    </row>
    <row r="38" spans="1:9" x14ac:dyDescent="0.2">
      <c r="A38" s="53" t="s">
        <v>380</v>
      </c>
      <c r="B38" s="53"/>
      <c r="E38" s="3" t="s">
        <v>201</v>
      </c>
      <c r="F38" s="3" t="s">
        <v>38</v>
      </c>
      <c r="G38" s="3" t="s">
        <v>320</v>
      </c>
      <c r="H38" s="3" t="s">
        <v>207</v>
      </c>
    </row>
    <row r="39" spans="1:9" x14ac:dyDescent="0.2">
      <c r="A39" s="2">
        <f>A29+1</f>
        <v>9</v>
      </c>
      <c r="B39" s="2"/>
      <c r="C39" t="s">
        <v>264</v>
      </c>
      <c r="E39" s="7">
        <f>IncentivePlant!E46</f>
        <v>173712851.64426255</v>
      </c>
      <c r="F39" s="114">
        <f>F25</f>
        <v>0.75</v>
      </c>
      <c r="G39" s="7">
        <f>(E39/1000000)*(F39*$G$17)</f>
        <v>1056335.501794687</v>
      </c>
      <c r="H39" s="13" t="str">
        <f>"IncentivePlant WS, L "&amp;IncentivePlant!A46&amp;", Col. 1"</f>
        <v>IncentivePlant WS, L 13, Col. 1</v>
      </c>
    </row>
    <row r="40" spans="1:9" x14ac:dyDescent="0.2">
      <c r="A40" s="2">
        <f>A39+1</f>
        <v>10</v>
      </c>
      <c r="B40" s="2"/>
      <c r="C40" t="s">
        <v>265</v>
      </c>
      <c r="E40" s="7">
        <f>IncentivePlant!E47</f>
        <v>1811255047.50792</v>
      </c>
      <c r="F40" s="114">
        <f>F26</f>
        <v>1.25</v>
      </c>
      <c r="G40" s="7">
        <f>(E40/1000000)*(F40*$G$17)</f>
        <v>18356855.30630333</v>
      </c>
      <c r="H40" s="13" t="str">
        <f>"IncentivePlant WS, L "&amp;IncentivePlant!A47&amp;", Col. 1"</f>
        <v>IncentivePlant WS, L 14, Col. 1</v>
      </c>
    </row>
    <row r="41" spans="1:9" x14ac:dyDescent="0.2">
      <c r="A41" s="2">
        <f>A40+1</f>
        <v>11</v>
      </c>
      <c r="B41" s="2"/>
      <c r="C41" s="12" t="s">
        <v>595</v>
      </c>
      <c r="E41" s="7">
        <f>IncentivePlant!E48</f>
        <v>537340673.84000003</v>
      </c>
      <c r="F41" s="114">
        <f>F27</f>
        <v>1</v>
      </c>
      <c r="G41" s="7">
        <f>(E41/1000000)*(F41*$G$17)</f>
        <v>4356707.2515575271</v>
      </c>
      <c r="H41" s="13" t="str">
        <f>"IncentivePlant WS, L "&amp;IncentivePlant!A48&amp;", Col. 1"</f>
        <v>IncentivePlant WS, L 15, Col. 1</v>
      </c>
    </row>
    <row r="42" spans="1:9" x14ac:dyDescent="0.2">
      <c r="A42" s="2">
        <f>A41+1</f>
        <v>12</v>
      </c>
      <c r="B42" s="2"/>
      <c r="C42" s="137" t="s">
        <v>1180</v>
      </c>
      <c r="D42" s="113"/>
    </row>
    <row r="43" spans="1:9" x14ac:dyDescent="0.2">
      <c r="A43" s="2">
        <f>A42+1</f>
        <v>13</v>
      </c>
      <c r="B43" s="2"/>
      <c r="C43" s="218" t="s">
        <v>617</v>
      </c>
    </row>
    <row r="44" spans="1:9" x14ac:dyDescent="0.2">
      <c r="A44" s="2">
        <f>A43+1</f>
        <v>14</v>
      </c>
      <c r="F44" s="37" t="s">
        <v>94</v>
      </c>
      <c r="G44" s="7">
        <f>SUM(G39:G42)</f>
        <v>23769898.059655547</v>
      </c>
      <c r="H44" s="687" t="s">
        <v>2144</v>
      </c>
    </row>
    <row r="45" spans="1:9" x14ac:dyDescent="0.2">
      <c r="H45" s="687" t="s">
        <v>2145</v>
      </c>
      <c r="I45" s="7"/>
    </row>
    <row r="46" spans="1:9" x14ac:dyDescent="0.2">
      <c r="B46" s="1" t="s">
        <v>1834</v>
      </c>
    </row>
    <row r="47" spans="1:9" x14ac:dyDescent="0.2">
      <c r="A47" s="1"/>
      <c r="B47" s="1"/>
      <c r="C47" s="683" t="s">
        <v>1835</v>
      </c>
    </row>
    <row r="48" spans="1:9" x14ac:dyDescent="0.2">
      <c r="A48" s="1"/>
      <c r="B48" s="1"/>
      <c r="C48" s="683" t="s">
        <v>1893</v>
      </c>
    </row>
    <row r="49" spans="1:9" x14ac:dyDescent="0.2">
      <c r="A49" s="1"/>
      <c r="B49" s="1"/>
      <c r="C49" s="683" t="s">
        <v>2143</v>
      </c>
    </row>
    <row r="51" spans="1:9" x14ac:dyDescent="0.2">
      <c r="E51" s="2" t="s">
        <v>0</v>
      </c>
      <c r="G51" s="2" t="s">
        <v>0</v>
      </c>
    </row>
    <row r="52" spans="1:9" x14ac:dyDescent="0.2">
      <c r="E52" s="2" t="s">
        <v>8</v>
      </c>
      <c r="F52" s="2" t="s">
        <v>319</v>
      </c>
      <c r="G52" s="2" t="s">
        <v>8</v>
      </c>
    </row>
    <row r="53" spans="1:9" x14ac:dyDescent="0.2">
      <c r="A53" s="53" t="s">
        <v>380</v>
      </c>
      <c r="B53" s="53"/>
      <c r="E53" s="3" t="s">
        <v>1181</v>
      </c>
      <c r="F53" s="3" t="s">
        <v>38</v>
      </c>
      <c r="G53" s="3" t="s">
        <v>320</v>
      </c>
      <c r="H53" s="3" t="s">
        <v>207</v>
      </c>
    </row>
    <row r="54" spans="1:9" x14ac:dyDescent="0.2">
      <c r="A54" s="2">
        <f>A44+1</f>
        <v>15</v>
      </c>
      <c r="B54" s="2"/>
      <c r="C54" t="s">
        <v>264</v>
      </c>
      <c r="E54" s="7">
        <f>IncentivePlant!E60</f>
        <v>176653936.20118392</v>
      </c>
      <c r="F54" s="114">
        <f>F25</f>
        <v>0.75</v>
      </c>
      <c r="G54" s="7">
        <f>(E54/1000000)*(F54*$G$17)</f>
        <v>1074220.0279068847</v>
      </c>
      <c r="H54" s="13" t="str">
        <f>"IncentivePlant WS, L "&amp;IncentivePlant!A60&amp;", Col. 1"</f>
        <v>IncentivePlant WS, L 19, Col. 1</v>
      </c>
    </row>
    <row r="55" spans="1:9" x14ac:dyDescent="0.2">
      <c r="A55" s="2">
        <f>A54+1</f>
        <v>16</v>
      </c>
      <c r="B55" s="2"/>
      <c r="C55" t="s">
        <v>265</v>
      </c>
      <c r="E55" s="7">
        <f>IncentivePlant!E61</f>
        <v>1612646793.7673101</v>
      </c>
      <c r="F55" s="114">
        <f>F26</f>
        <v>1.25</v>
      </c>
      <c r="G55" s="7">
        <f>(E55/1000000)*(F55*$G$17)</f>
        <v>16343984.18604327</v>
      </c>
      <c r="H55" s="13" t="str">
        <f>"IncentivePlant WS, L "&amp;IncentivePlant!A61&amp;", Col. 1"</f>
        <v>IncentivePlant WS, L 20, Col. 1</v>
      </c>
    </row>
    <row r="56" spans="1:9" x14ac:dyDescent="0.2">
      <c r="A56" s="2">
        <f>A55+1</f>
        <v>17</v>
      </c>
      <c r="B56" s="2"/>
      <c r="C56" s="12" t="s">
        <v>595</v>
      </c>
      <c r="E56" s="7">
        <f>IncentivePlant!E62</f>
        <v>305945176.07943881</v>
      </c>
      <c r="F56" s="114">
        <f>F27</f>
        <v>1</v>
      </c>
      <c r="G56" s="7">
        <f>(E56/1000000)*(F56*$G$17)</f>
        <v>2480574.4885808281</v>
      </c>
      <c r="H56" s="13" t="str">
        <f>"IncentivePlant WS, L "&amp;IncentivePlant!A62&amp;", Col. 1"</f>
        <v>IncentivePlant WS, L 21, Col. 1</v>
      </c>
    </row>
    <row r="57" spans="1:9" x14ac:dyDescent="0.2">
      <c r="A57" s="2">
        <f>A56+1</f>
        <v>18</v>
      </c>
      <c r="B57" s="2"/>
      <c r="C57" s="137" t="s">
        <v>1180</v>
      </c>
      <c r="D57" s="113"/>
    </row>
    <row r="58" spans="1:9" x14ac:dyDescent="0.2">
      <c r="A58" s="2">
        <f>A57+1</f>
        <v>19</v>
      </c>
      <c r="B58" s="2"/>
      <c r="C58" s="218" t="s">
        <v>617</v>
      </c>
    </row>
    <row r="59" spans="1:9" x14ac:dyDescent="0.2">
      <c r="A59" s="2">
        <f>A58+1</f>
        <v>20</v>
      </c>
      <c r="F59" s="681" t="s">
        <v>1836</v>
      </c>
      <c r="G59" s="7">
        <f>SUM(G54:G57)</f>
        <v>19898778.70253098</v>
      </c>
      <c r="H59" s="687" t="s">
        <v>2144</v>
      </c>
    </row>
    <row r="60" spans="1:9" x14ac:dyDescent="0.2">
      <c r="H60" s="687" t="s">
        <v>2145</v>
      </c>
      <c r="I60" s="7"/>
    </row>
    <row r="61" spans="1:9" x14ac:dyDescent="0.2">
      <c r="B61" s="1" t="s">
        <v>1908</v>
      </c>
    </row>
    <row r="63" spans="1:9" x14ac:dyDescent="0.2">
      <c r="C63" s="1" t="s">
        <v>1909</v>
      </c>
    </row>
    <row r="65" spans="1:7" x14ac:dyDescent="0.2">
      <c r="E65" s="717" t="s">
        <v>10</v>
      </c>
    </row>
    <row r="66" spans="1:7" x14ac:dyDescent="0.2">
      <c r="C66" s="717" t="s">
        <v>8</v>
      </c>
      <c r="E66" s="717" t="s">
        <v>348</v>
      </c>
    </row>
    <row r="67" spans="1:7" x14ac:dyDescent="0.2">
      <c r="A67" s="53" t="s">
        <v>380</v>
      </c>
      <c r="C67" s="3" t="s">
        <v>263</v>
      </c>
      <c r="E67" s="3" t="s">
        <v>3</v>
      </c>
      <c r="F67" s="3" t="s">
        <v>207</v>
      </c>
    </row>
    <row r="68" spans="1:7" x14ac:dyDescent="0.2">
      <c r="A68" s="717">
        <f>A59+1</f>
        <v>21</v>
      </c>
      <c r="C68" t="s">
        <v>264</v>
      </c>
      <c r="E68" s="7">
        <f>IncentivePlant!G60</f>
        <v>176653936.20118392</v>
      </c>
      <c r="F68" s="687" t="str">
        <f>"IncentivePlant WS, L "&amp;IncentivePlant!A60&amp;", Col. 3"</f>
        <v>IncentivePlant WS, L 19, Col. 3</v>
      </c>
    </row>
    <row r="69" spans="1:7" x14ac:dyDescent="0.2">
      <c r="A69" s="717">
        <f t="shared" ref="A69:A71" si="0">A68+1</f>
        <v>22</v>
      </c>
      <c r="C69" t="s">
        <v>265</v>
      </c>
      <c r="E69" s="7">
        <f>IncentivePlant!G61</f>
        <v>684478332.757231</v>
      </c>
      <c r="F69" s="687" t="str">
        <f>"IncentivePlant WS, L "&amp;IncentivePlant!A61&amp;", Col. 3"</f>
        <v>IncentivePlant WS, L 20, Col. 3</v>
      </c>
    </row>
    <row r="70" spans="1:7" x14ac:dyDescent="0.2">
      <c r="A70" s="717">
        <f t="shared" si="0"/>
        <v>23</v>
      </c>
      <c r="C70" s="683" t="s">
        <v>660</v>
      </c>
      <c r="E70" s="7">
        <f>IncentivePlant!G62</f>
        <v>0</v>
      </c>
      <c r="F70" s="687" t="str">
        <f>"IncentivePlant WS, L "&amp;IncentivePlant!A62&amp;", Col. 3"</f>
        <v>IncentivePlant WS, L 21, Col. 3</v>
      </c>
    </row>
    <row r="71" spans="1:7" x14ac:dyDescent="0.2">
      <c r="A71" s="717">
        <f t="shared" si="0"/>
        <v>24</v>
      </c>
      <c r="C71" s="694" t="s">
        <v>1180</v>
      </c>
      <c r="F71" s="687" t="s">
        <v>436</v>
      </c>
    </row>
    <row r="72" spans="1:7" x14ac:dyDescent="0.2">
      <c r="C72" s="718" t="s">
        <v>617</v>
      </c>
    </row>
    <row r="73" spans="1:7" x14ac:dyDescent="0.2">
      <c r="C73" s="718"/>
    </row>
    <row r="74" spans="1:7" x14ac:dyDescent="0.2">
      <c r="C74" s="1" t="s">
        <v>1910</v>
      </c>
    </row>
    <row r="75" spans="1:7" x14ac:dyDescent="0.2">
      <c r="C75" s="1"/>
    </row>
    <row r="76" spans="1:7" x14ac:dyDescent="0.2">
      <c r="E76" s="3" t="s">
        <v>417</v>
      </c>
      <c r="F76" s="3" t="s">
        <v>400</v>
      </c>
    </row>
    <row r="77" spans="1:7" x14ac:dyDescent="0.2">
      <c r="E77" s="3"/>
      <c r="F77" s="717" t="s">
        <v>1911</v>
      </c>
    </row>
    <row r="78" spans="1:7" x14ac:dyDescent="0.2">
      <c r="E78" s="717" t="s">
        <v>324</v>
      </c>
      <c r="F78" s="717" t="s">
        <v>324</v>
      </c>
    </row>
    <row r="79" spans="1:7" x14ac:dyDescent="0.2">
      <c r="C79" s="717" t="s">
        <v>8</v>
      </c>
      <c r="E79" s="717" t="s">
        <v>8</v>
      </c>
      <c r="F79" s="717" t="s">
        <v>8</v>
      </c>
    </row>
    <row r="80" spans="1:7" x14ac:dyDescent="0.2">
      <c r="A80" s="53" t="s">
        <v>380</v>
      </c>
      <c r="C80" s="3" t="s">
        <v>263</v>
      </c>
      <c r="E80" s="3" t="s">
        <v>320</v>
      </c>
      <c r="F80" s="3" t="s">
        <v>320</v>
      </c>
      <c r="G80" s="3" t="s">
        <v>207</v>
      </c>
    </row>
    <row r="81" spans="1:7" x14ac:dyDescent="0.2">
      <c r="A81" s="717">
        <f>A71+1</f>
        <v>25</v>
      </c>
      <c r="C81" t="s">
        <v>264</v>
      </c>
      <c r="E81" s="7">
        <f>(E68/1000000)*(F54*$G$17)</f>
        <v>1074220.0279068847</v>
      </c>
      <c r="F81" s="7">
        <f>E81*(1-$G$16)</f>
        <v>645219.2145857648</v>
      </c>
      <c r="G81" s="687" t="s">
        <v>247</v>
      </c>
    </row>
    <row r="82" spans="1:7" x14ac:dyDescent="0.2">
      <c r="A82" s="717">
        <f t="shared" ref="A82:A86" si="1">A81+1</f>
        <v>26</v>
      </c>
      <c r="C82" t="s">
        <v>265</v>
      </c>
      <c r="E82" s="7">
        <f>(E69/1000000)*(F55*$G$17)</f>
        <v>6937106.8044845788</v>
      </c>
      <c r="F82" s="7">
        <f>E82*(1-$G$16)</f>
        <v>4166701.8744832859</v>
      </c>
      <c r="G82" s="687" t="s">
        <v>247</v>
      </c>
    </row>
    <row r="83" spans="1:7" x14ac:dyDescent="0.2">
      <c r="A83" s="717">
        <f t="shared" si="1"/>
        <v>27</v>
      </c>
      <c r="C83" s="683" t="s">
        <v>660</v>
      </c>
      <c r="E83" s="7">
        <f>(E70/1000000)*(F56*$G$17)</f>
        <v>0</v>
      </c>
      <c r="F83" s="7">
        <f>E83*(1-$G$16)</f>
        <v>0</v>
      </c>
      <c r="G83" s="687" t="s">
        <v>247</v>
      </c>
    </row>
    <row r="84" spans="1:7" x14ac:dyDescent="0.2">
      <c r="A84" s="717">
        <f t="shared" si="1"/>
        <v>28</v>
      </c>
      <c r="C84" s="694" t="s">
        <v>1180</v>
      </c>
      <c r="E84" s="7"/>
      <c r="F84" s="7"/>
      <c r="G84" s="687" t="s">
        <v>247</v>
      </c>
    </row>
    <row r="85" spans="1:7" x14ac:dyDescent="0.2">
      <c r="A85" s="717">
        <f t="shared" si="1"/>
        <v>29</v>
      </c>
      <c r="C85" s="718" t="s">
        <v>617</v>
      </c>
      <c r="E85" s="7"/>
      <c r="F85" s="7"/>
    </row>
    <row r="86" spans="1:7" x14ac:dyDescent="0.2">
      <c r="A86" s="717">
        <f t="shared" si="1"/>
        <v>30</v>
      </c>
      <c r="E86" s="681" t="s">
        <v>4</v>
      </c>
      <c r="F86" s="7">
        <f>SUM(F81:F85)</f>
        <v>4811921.0890690507</v>
      </c>
    </row>
    <row r="88" spans="1:7" x14ac:dyDescent="0.2">
      <c r="C88" s="1" t="s">
        <v>1912</v>
      </c>
    </row>
    <row r="89" spans="1:7" x14ac:dyDescent="0.2">
      <c r="A89" s="53" t="s">
        <v>380</v>
      </c>
      <c r="F89" s="3" t="s">
        <v>203</v>
      </c>
      <c r="G89" s="3" t="s">
        <v>207</v>
      </c>
    </row>
    <row r="90" spans="1:7" x14ac:dyDescent="0.2">
      <c r="A90" s="717">
        <f>A86+1</f>
        <v>31</v>
      </c>
      <c r="E90" s="681" t="s">
        <v>1913</v>
      </c>
      <c r="F90" s="7">
        <f>TUTRR!J28</f>
        <v>3599546754.7050748</v>
      </c>
      <c r="G90" s="687" t="str">
        <f>"TUTRR WS, Line "&amp;TUTRR!A28&amp;""</f>
        <v>TUTRR WS, Line 17</v>
      </c>
    </row>
    <row r="91" spans="1:7" x14ac:dyDescent="0.2">
      <c r="A91" s="717">
        <f t="shared" ref="A91:A94" si="2">A90+1</f>
        <v>32</v>
      </c>
      <c r="E91" s="681" t="s">
        <v>1914</v>
      </c>
      <c r="F91" s="107">
        <f>TUTRR!J24</f>
        <v>1419476950.0603337</v>
      </c>
      <c r="G91" s="687" t="str">
        <f>"TUTRR WS, Line "&amp;TUTRR!A24&amp;""</f>
        <v>TUTRR WS, Line 14</v>
      </c>
    </row>
    <row r="92" spans="1:7" x14ac:dyDescent="0.2">
      <c r="A92" s="717">
        <f t="shared" si="2"/>
        <v>33</v>
      </c>
      <c r="E92" s="681" t="s">
        <v>1915</v>
      </c>
      <c r="F92" s="7">
        <f>F90-F91</f>
        <v>2180069804.6447411</v>
      </c>
      <c r="G92" s="16" t="str">
        <f>"Line "&amp;A90&amp;" - Line "&amp;A91&amp;""</f>
        <v>Line 31 - Line 32</v>
      </c>
    </row>
    <row r="93" spans="1:7" x14ac:dyDescent="0.2">
      <c r="A93" s="717">
        <f t="shared" si="2"/>
        <v>34</v>
      </c>
      <c r="E93" s="681" t="s">
        <v>1916</v>
      </c>
      <c r="F93" s="8">
        <f>BaseTRR!K80</f>
        <v>0.48699299014464159</v>
      </c>
      <c r="G93" s="687" t="str">
        <f>"BaseTRR WS, Line "&amp;BaseTRR!A80&amp;""</f>
        <v>BaseTRR WS, Line 46</v>
      </c>
    </row>
    <row r="94" spans="1:7" x14ac:dyDescent="0.2">
      <c r="A94" s="717">
        <f t="shared" si="2"/>
        <v>35</v>
      </c>
      <c r="E94" s="681" t="s">
        <v>1917</v>
      </c>
      <c r="F94" s="7">
        <f>F92*F93</f>
        <v>1061678712.8879871</v>
      </c>
      <c r="G94" s="16" t="str">
        <f>"Line "&amp;A92&amp;" * Line "&amp;A93&amp;""</f>
        <v>Line 33 * Line 34</v>
      </c>
    </row>
    <row r="96" spans="1:7" x14ac:dyDescent="0.2">
      <c r="C96" s="1" t="s">
        <v>1918</v>
      </c>
    </row>
    <row r="97" spans="1:7" x14ac:dyDescent="0.2">
      <c r="A97" s="53" t="s">
        <v>380</v>
      </c>
    </row>
    <row r="98" spans="1:7" x14ac:dyDescent="0.2">
      <c r="A98" s="717">
        <f>A94+1</f>
        <v>36</v>
      </c>
      <c r="E98" s="681" t="s">
        <v>1919</v>
      </c>
      <c r="F98" s="43">
        <f>F86/F94</f>
        <v>4.532370321318418E-3</v>
      </c>
      <c r="G98" s="16" t="str">
        <f>"Line "&amp;A86&amp;" * Line "&amp;A94&amp;""</f>
        <v>Line 30 * Line 35</v>
      </c>
    </row>
    <row r="99" spans="1:7" x14ac:dyDescent="0.2">
      <c r="A99" s="717">
        <f t="shared" ref="A99:A101" si="3">A98+1</f>
        <v>37</v>
      </c>
      <c r="E99" s="681" t="s">
        <v>1920</v>
      </c>
    </row>
    <row r="100" spans="1:7" x14ac:dyDescent="0.2">
      <c r="A100" s="717">
        <f t="shared" si="3"/>
        <v>38</v>
      </c>
      <c r="E100" s="681" t="s">
        <v>1921</v>
      </c>
      <c r="F100" s="719">
        <f>BaseTRR!K85</f>
        <v>0.1043</v>
      </c>
      <c r="G100" s="687" t="str">
        <f>"BaseTRR WS, Line "&amp;BaseTRR!A85&amp;""</f>
        <v>BaseTRR WS, Line 49</v>
      </c>
    </row>
    <row r="101" spans="1:7" x14ac:dyDescent="0.2">
      <c r="A101" s="717">
        <f t="shared" si="3"/>
        <v>39</v>
      </c>
      <c r="E101" s="681" t="s">
        <v>1922</v>
      </c>
      <c r="F101" s="43">
        <f>F98+F100</f>
        <v>0.10883237032131843</v>
      </c>
      <c r="G101" s="16" t="str">
        <f>"Line "&amp;A98&amp;" + Line "&amp;A100&amp;""</f>
        <v>Line 36 + Line 38</v>
      </c>
    </row>
    <row r="103" spans="1:7" x14ac:dyDescent="0.2">
      <c r="B103" s="1" t="s">
        <v>445</v>
      </c>
    </row>
    <row r="104" spans="1:7" x14ac:dyDescent="0.2">
      <c r="B104" s="683" t="s">
        <v>646</v>
      </c>
    </row>
    <row r="105" spans="1:7" x14ac:dyDescent="0.2">
      <c r="B105" s="683" t="s">
        <v>647</v>
      </c>
    </row>
    <row r="107" spans="1:7" x14ac:dyDescent="0.2">
      <c r="B107" s="1" t="s">
        <v>269</v>
      </c>
    </row>
    <row r="108" spans="1:7" x14ac:dyDescent="0.2">
      <c r="B108" s="683" t="str">
        <f>"1) Column 1: The True Up Incentive Adder for each Incentive Project equals the IREF on Line "&amp;A17&amp;","</f>
        <v>1) Column 1: The True Up Incentive Adder for each Incentive Project equals the IREF on Line 3,</v>
      </c>
    </row>
    <row r="109" spans="1:7" x14ac:dyDescent="0.2">
      <c r="B109" s="683" t="str">
        <f>"times the applicable Multiplicative Factor on Lines "&amp;A54&amp;" to "&amp;A57&amp;", times the million $ of"</f>
        <v>times the applicable Multiplicative Factor on Lines 15 to 18, times the million $ of</v>
      </c>
    </row>
    <row r="110" spans="1:7" x14ac:dyDescent="0.2">
      <c r="B110" s="683" t="str">
        <f>"TIP Net Plant In Service on Lines "&amp;A68&amp;" to "&amp;A71&amp;"."</f>
        <v>TIP Net Plant In Service on Lines 21 to 24.</v>
      </c>
    </row>
    <row r="111" spans="1:7" x14ac:dyDescent="0.2">
      <c r="B111" s="683" t="s">
        <v>1923</v>
      </c>
    </row>
    <row r="112" spans="1:7" x14ac:dyDescent="0.2">
      <c r="B112" s="683" t="str">
        <f>"Column 1 by (1 - CTR) (Where the CTR is on Line "&amp;A16&amp;")."</f>
        <v>Column 1 by (1 - CTR) (Where the CTR is on Line 2).</v>
      </c>
    </row>
  </sheetData>
  <phoneticPr fontId="8" type="noConversion"/>
  <pageMargins left="0.75" right="0.75" top="1" bottom="1" header="0.5" footer="0.5"/>
  <pageSetup scale="75" orientation="portrait" r:id="rId1"/>
  <headerFooter alignWithMargins="0">
    <oddHeader>&amp;CSchedule 15
Incentive Adders&amp;RDkt. No. ER11-3697
2014 Draft Informational Filing</oddHeader>
    <oddFooter>&amp;R&amp;A</oddFooter>
  </headerFooter>
  <rowBreaks count="1" manualBreakCount="1">
    <brk id="6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selection activeCell="G80" sqref="G80:G82"/>
    </sheetView>
  </sheetViews>
  <sheetFormatPr defaultRowHeight="12.75" x14ac:dyDescent="0.2"/>
  <cols>
    <col min="1" max="1" width="4.7109375" customWidth="1"/>
    <col min="2" max="2" width="6" customWidth="1"/>
    <col min="3" max="3" width="16.42578125" customWidth="1"/>
    <col min="4" max="4" width="11" customWidth="1"/>
    <col min="5" max="10" width="14.7109375" customWidth="1"/>
  </cols>
  <sheetData>
    <row r="1" spans="1:10" x14ac:dyDescent="0.2">
      <c r="A1" s="1" t="s">
        <v>1785</v>
      </c>
    </row>
    <row r="2" spans="1:10" x14ac:dyDescent="0.2">
      <c r="G2" s="137" t="s">
        <v>406</v>
      </c>
      <c r="H2" s="113"/>
    </row>
    <row r="3" spans="1:10" x14ac:dyDescent="0.2">
      <c r="B3" s="12" t="s">
        <v>1787</v>
      </c>
    </row>
    <row r="4" spans="1:10" x14ac:dyDescent="0.2">
      <c r="B4" s="12" t="s">
        <v>1786</v>
      </c>
    </row>
    <row r="5" spans="1:10" x14ac:dyDescent="0.2">
      <c r="B5" s="12" t="s">
        <v>395</v>
      </c>
    </row>
    <row r="6" spans="1:10" x14ac:dyDescent="0.2">
      <c r="B6" s="12"/>
    </row>
    <row r="7" spans="1:10" x14ac:dyDescent="0.2">
      <c r="B7" s="12"/>
      <c r="E7" s="99" t="s">
        <v>417</v>
      </c>
      <c r="F7" s="99" t="s">
        <v>400</v>
      </c>
      <c r="G7" s="99" t="s">
        <v>401</v>
      </c>
      <c r="H7" s="99" t="s">
        <v>402</v>
      </c>
    </row>
    <row r="8" spans="1:10" x14ac:dyDescent="0.2">
      <c r="B8" s="12"/>
      <c r="E8" s="693" t="s">
        <v>2044</v>
      </c>
      <c r="H8" s="131" t="s">
        <v>2041</v>
      </c>
    </row>
    <row r="9" spans="1:10" x14ac:dyDescent="0.2">
      <c r="F9" s="131" t="s">
        <v>228</v>
      </c>
      <c r="G9" s="805" t="s">
        <v>228</v>
      </c>
      <c r="H9" s="805" t="s">
        <v>1962</v>
      </c>
    </row>
    <row r="10" spans="1:10" x14ac:dyDescent="0.2">
      <c r="C10" s="2" t="s">
        <v>228</v>
      </c>
      <c r="E10" s="2" t="s">
        <v>228</v>
      </c>
      <c r="F10" s="805" t="s">
        <v>225</v>
      </c>
      <c r="G10" s="805" t="s">
        <v>2043</v>
      </c>
      <c r="H10" s="805" t="s">
        <v>1316</v>
      </c>
      <c r="I10" s="131"/>
      <c r="J10" s="2"/>
    </row>
    <row r="11" spans="1:10" x14ac:dyDescent="0.2">
      <c r="B11" s="1"/>
      <c r="C11" s="2" t="s">
        <v>229</v>
      </c>
      <c r="E11" s="2" t="s">
        <v>1194</v>
      </c>
      <c r="F11" s="805" t="s">
        <v>2040</v>
      </c>
      <c r="G11" s="805" t="s">
        <v>2040</v>
      </c>
      <c r="H11" s="805" t="s">
        <v>2042</v>
      </c>
      <c r="I11" s="131"/>
      <c r="J11" s="2"/>
    </row>
    <row r="12" spans="1:10" x14ac:dyDescent="0.2">
      <c r="A12" s="53" t="s">
        <v>380</v>
      </c>
      <c r="C12" s="25" t="s">
        <v>220</v>
      </c>
      <c r="D12" s="25" t="s">
        <v>221</v>
      </c>
      <c r="E12" s="3" t="s">
        <v>1195</v>
      </c>
      <c r="F12" s="3" t="s">
        <v>1195</v>
      </c>
      <c r="G12" s="3" t="s">
        <v>1195</v>
      </c>
      <c r="H12" s="146" t="s">
        <v>1195</v>
      </c>
      <c r="I12" s="146"/>
      <c r="J12" s="2"/>
    </row>
    <row r="13" spans="1:10" x14ac:dyDescent="0.2">
      <c r="A13" s="2">
        <v>1</v>
      </c>
      <c r="C13" s="20" t="s">
        <v>209</v>
      </c>
      <c r="D13" s="171">
        <v>2013</v>
      </c>
      <c r="E13" s="125">
        <f>F13-H13</f>
        <v>31996235.392655805</v>
      </c>
      <c r="F13" s="806">
        <v>31996235.392655805</v>
      </c>
      <c r="G13" s="753">
        <v>0</v>
      </c>
      <c r="H13" s="806">
        <v>0</v>
      </c>
      <c r="I13" s="47"/>
      <c r="J13" s="2"/>
    </row>
    <row r="14" spans="1:10" x14ac:dyDescent="0.2">
      <c r="A14" s="2">
        <f>A13+1</f>
        <v>2</v>
      </c>
      <c r="C14" s="21" t="s">
        <v>210</v>
      </c>
      <c r="D14" s="171">
        <v>2013</v>
      </c>
      <c r="E14" s="125">
        <f t="shared" ref="E14:E33" si="0">F14-H14</f>
        <v>62590693.95388303</v>
      </c>
      <c r="F14" s="806">
        <v>62661819.979863055</v>
      </c>
      <c r="G14" s="753">
        <v>0</v>
      </c>
      <c r="H14" s="806">
        <v>71126.025980028848</v>
      </c>
      <c r="I14" s="47"/>
      <c r="J14" s="2"/>
    </row>
    <row r="15" spans="1:10" x14ac:dyDescent="0.2">
      <c r="A15" s="2">
        <f t="shared" ref="A15:A34" si="1">A14+1</f>
        <v>3</v>
      </c>
      <c r="C15" s="21" t="s">
        <v>223</v>
      </c>
      <c r="D15" s="171">
        <v>2013</v>
      </c>
      <c r="E15" s="125">
        <f t="shared" si="0"/>
        <v>70102862.386808559</v>
      </c>
      <c r="F15" s="806">
        <v>70313282.494768828</v>
      </c>
      <c r="G15" s="753">
        <v>0</v>
      </c>
      <c r="H15" s="806">
        <v>210420.10796026807</v>
      </c>
      <c r="I15" s="131"/>
      <c r="J15" s="2"/>
    </row>
    <row r="16" spans="1:10" x14ac:dyDescent="0.2">
      <c r="A16" s="2">
        <f t="shared" si="1"/>
        <v>4</v>
      </c>
      <c r="C16" s="20" t="s">
        <v>211</v>
      </c>
      <c r="D16" s="171">
        <v>2013</v>
      </c>
      <c r="E16" s="125">
        <f t="shared" si="0"/>
        <v>97832919.681706399</v>
      </c>
      <c r="F16" s="806">
        <v>98199642.688932493</v>
      </c>
      <c r="G16" s="753">
        <v>0</v>
      </c>
      <c r="H16" s="806">
        <v>366723.00722609716</v>
      </c>
      <c r="I16" s="131"/>
      <c r="J16" s="2"/>
    </row>
    <row r="17" spans="1:10" x14ac:dyDescent="0.2">
      <c r="A17" s="2">
        <f t="shared" si="1"/>
        <v>5</v>
      </c>
      <c r="C17" s="21" t="s">
        <v>212</v>
      </c>
      <c r="D17" s="171">
        <v>2013</v>
      </c>
      <c r="E17" s="125">
        <f t="shared" si="0"/>
        <v>721480988.44321632</v>
      </c>
      <c r="F17" s="806">
        <v>722066004.32932043</v>
      </c>
      <c r="G17" s="753">
        <v>0</v>
      </c>
      <c r="H17" s="806">
        <v>585015.88610414625</v>
      </c>
      <c r="I17" s="131"/>
      <c r="J17" s="2"/>
    </row>
    <row r="18" spans="1:10" x14ac:dyDescent="0.2">
      <c r="A18" s="2">
        <f t="shared" si="1"/>
        <v>6</v>
      </c>
      <c r="C18" s="21" t="s">
        <v>213</v>
      </c>
      <c r="D18" s="171">
        <v>2013</v>
      </c>
      <c r="E18" s="125">
        <f t="shared" si="0"/>
        <v>1049736470.397769</v>
      </c>
      <c r="F18" s="806">
        <v>1051926602.7843915</v>
      </c>
      <c r="G18" s="753">
        <v>3282990.9254561998</v>
      </c>
      <c r="H18" s="806">
        <v>2190132.3866225523</v>
      </c>
      <c r="I18" s="131"/>
      <c r="J18" s="2"/>
    </row>
    <row r="19" spans="1:10" x14ac:dyDescent="0.2">
      <c r="A19" s="2">
        <f t="shared" si="1"/>
        <v>7</v>
      </c>
      <c r="C19" s="20" t="s">
        <v>214</v>
      </c>
      <c r="D19" s="171">
        <v>2013</v>
      </c>
      <c r="E19" s="125">
        <f t="shared" si="0"/>
        <v>1267274265.1530769</v>
      </c>
      <c r="F19" s="806">
        <v>1271802777.6009955</v>
      </c>
      <c r="G19" s="753">
        <v>3537658.4254561998</v>
      </c>
      <c r="H19" s="806">
        <v>4528512.4479187503</v>
      </c>
      <c r="I19" s="131"/>
      <c r="J19" s="2"/>
    </row>
    <row r="20" spans="1:10" x14ac:dyDescent="0.2">
      <c r="A20" s="2">
        <f t="shared" si="1"/>
        <v>8</v>
      </c>
      <c r="C20" s="21" t="s">
        <v>215</v>
      </c>
      <c r="D20" s="171">
        <v>2013</v>
      </c>
      <c r="E20" s="125">
        <f t="shared" si="0"/>
        <v>1301258535.2868657</v>
      </c>
      <c r="F20" s="806">
        <v>1308614201.5011892</v>
      </c>
      <c r="G20" s="753">
        <v>3537658.4254561998</v>
      </c>
      <c r="H20" s="806">
        <v>7355666.2143235449</v>
      </c>
      <c r="I20" s="131"/>
      <c r="J20" s="2"/>
    </row>
    <row r="21" spans="1:10" x14ac:dyDescent="0.2">
      <c r="A21" s="2">
        <f t="shared" si="1"/>
        <v>9</v>
      </c>
      <c r="C21" s="21" t="s">
        <v>216</v>
      </c>
      <c r="D21" s="171">
        <v>2013</v>
      </c>
      <c r="E21" s="125">
        <f t="shared" si="0"/>
        <v>1543480895.3037779</v>
      </c>
      <c r="F21" s="806">
        <v>1553745545.2329535</v>
      </c>
      <c r="G21" s="753">
        <v>3537658.4254561998</v>
      </c>
      <c r="H21" s="806">
        <v>10264649.929175586</v>
      </c>
      <c r="I21" s="131"/>
      <c r="J21" s="2"/>
    </row>
    <row r="22" spans="1:10" x14ac:dyDescent="0.2">
      <c r="A22" s="2">
        <f t="shared" si="1"/>
        <v>10</v>
      </c>
      <c r="C22" s="20" t="s">
        <v>217</v>
      </c>
      <c r="D22" s="171">
        <v>2013</v>
      </c>
      <c r="E22" s="125">
        <f t="shared" si="0"/>
        <v>1565723460.234318</v>
      </c>
      <c r="F22" s="806">
        <v>1579442008.556864</v>
      </c>
      <c r="G22" s="753">
        <v>3537658.4254561998</v>
      </c>
      <c r="H22" s="806">
        <v>13718548.322545927</v>
      </c>
    </row>
    <row r="23" spans="1:10" x14ac:dyDescent="0.2">
      <c r="A23" s="2">
        <f t="shared" si="1"/>
        <v>11</v>
      </c>
      <c r="C23" s="20" t="s">
        <v>218</v>
      </c>
      <c r="D23" s="171">
        <v>2013</v>
      </c>
      <c r="E23" s="125">
        <f t="shared" si="0"/>
        <v>1796256004.6683788</v>
      </c>
      <c r="F23" s="806">
        <v>1813485573.333035</v>
      </c>
      <c r="G23" s="753">
        <v>3537658.4254561998</v>
      </c>
      <c r="H23" s="806">
        <v>17229568.66465624</v>
      </c>
      <c r="I23" s="131"/>
      <c r="J23" s="2"/>
    </row>
    <row r="24" spans="1:10" x14ac:dyDescent="0.2">
      <c r="A24" s="2">
        <f t="shared" si="1"/>
        <v>12</v>
      </c>
      <c r="C24" s="20" t="s">
        <v>208</v>
      </c>
      <c r="D24" s="171">
        <v>2013</v>
      </c>
      <c r="E24" s="125">
        <f t="shared" si="0"/>
        <v>1977783482.2309864</v>
      </c>
      <c r="F24" s="806">
        <v>1999044338.3399429</v>
      </c>
      <c r="G24" s="753">
        <v>3537658.4254561998</v>
      </c>
      <c r="H24" s="806">
        <v>21260856.108956624</v>
      </c>
      <c r="I24" s="131"/>
      <c r="J24" s="2"/>
    </row>
    <row r="25" spans="1:10" x14ac:dyDescent="0.2">
      <c r="A25" s="2">
        <f t="shared" si="1"/>
        <v>13</v>
      </c>
      <c r="C25" s="20" t="s">
        <v>209</v>
      </c>
      <c r="D25" s="171">
        <v>2014</v>
      </c>
      <c r="E25" s="125">
        <f t="shared" si="0"/>
        <v>1994677309.5265374</v>
      </c>
      <c r="F25" s="806">
        <v>2020381940.9046507</v>
      </c>
      <c r="G25" s="753">
        <v>3537658.4254561998</v>
      </c>
      <c r="H25" s="806">
        <v>25704631.378113206</v>
      </c>
      <c r="I25" s="131"/>
      <c r="J25" s="2"/>
    </row>
    <row r="26" spans="1:10" x14ac:dyDescent="0.2">
      <c r="A26" s="2">
        <f t="shared" si="1"/>
        <v>14</v>
      </c>
      <c r="C26" s="21" t="s">
        <v>210</v>
      </c>
      <c r="D26" s="171">
        <v>2014</v>
      </c>
      <c r="E26" s="125">
        <f t="shared" si="0"/>
        <v>2008128379.1121259</v>
      </c>
      <c r="F26" s="806">
        <v>2038324218.1793582</v>
      </c>
      <c r="G26" s="753">
        <v>3537658.4254561998</v>
      </c>
      <c r="H26" s="806">
        <v>30195839.067232456</v>
      </c>
      <c r="I26" s="131"/>
      <c r="J26" s="2"/>
    </row>
    <row r="27" spans="1:10" x14ac:dyDescent="0.2">
      <c r="A27" s="2">
        <f t="shared" si="1"/>
        <v>15</v>
      </c>
      <c r="C27" s="21" t="s">
        <v>223</v>
      </c>
      <c r="D27" s="171">
        <v>2014</v>
      </c>
      <c r="E27" s="125">
        <f t="shared" si="0"/>
        <v>2211901803.0537982</v>
      </c>
      <c r="F27" s="806">
        <v>2246628734.5923414</v>
      </c>
      <c r="G27" s="753">
        <v>3537658.4254561998</v>
      </c>
      <c r="H27" s="806">
        <v>34726931.538543135</v>
      </c>
      <c r="I27" s="131"/>
      <c r="J27" s="2"/>
    </row>
    <row r="28" spans="1:10" x14ac:dyDescent="0.2">
      <c r="A28" s="2">
        <f t="shared" si="1"/>
        <v>16</v>
      </c>
      <c r="C28" s="20" t="s">
        <v>211</v>
      </c>
      <c r="D28" s="171">
        <v>2014</v>
      </c>
      <c r="E28" s="125">
        <f t="shared" si="0"/>
        <v>2268977335.4989176</v>
      </c>
      <c r="F28" s="806">
        <v>2308698409.9978156</v>
      </c>
      <c r="G28" s="753">
        <v>3537658.4254561998</v>
      </c>
      <c r="H28" s="806">
        <v>39721074.498898156</v>
      </c>
      <c r="I28" s="2"/>
    </row>
    <row r="29" spans="1:10" x14ac:dyDescent="0.2">
      <c r="A29" s="2">
        <f t="shared" si="1"/>
        <v>17</v>
      </c>
      <c r="C29" s="21" t="s">
        <v>212</v>
      </c>
      <c r="D29" s="171">
        <v>2014</v>
      </c>
      <c r="E29" s="125">
        <f t="shared" si="0"/>
        <v>2273527726.1168361</v>
      </c>
      <c r="F29" s="806">
        <v>2318380921.3503895</v>
      </c>
      <c r="G29" s="753">
        <v>3537658.4254561998</v>
      </c>
      <c r="H29" s="806">
        <v>44853195.233553305</v>
      </c>
      <c r="I29" s="2"/>
      <c r="J29" s="2"/>
    </row>
    <row r="30" spans="1:10" x14ac:dyDescent="0.2">
      <c r="A30" s="2">
        <f t="shared" si="1"/>
        <v>18</v>
      </c>
      <c r="C30" s="21" t="s">
        <v>213</v>
      </c>
      <c r="D30" s="171">
        <v>2014</v>
      </c>
      <c r="E30" s="125">
        <f t="shared" si="0"/>
        <v>2283190085.4753366</v>
      </c>
      <c r="F30" s="806">
        <v>2333196925.1804962</v>
      </c>
      <c r="G30" s="753">
        <v>5765261.1293146154</v>
      </c>
      <c r="H30" s="806">
        <v>50006839.7051595</v>
      </c>
    </row>
    <row r="31" spans="1:10" x14ac:dyDescent="0.2">
      <c r="A31" s="2">
        <f t="shared" si="1"/>
        <v>19</v>
      </c>
      <c r="C31" s="20" t="s">
        <v>214</v>
      </c>
      <c r="D31" s="171">
        <v>2014</v>
      </c>
      <c r="E31" s="125">
        <f t="shared" si="0"/>
        <v>2287893230.7414641</v>
      </c>
      <c r="F31" s="807">
        <v>2343086650.1514034</v>
      </c>
      <c r="G31" s="753">
        <v>5765261.1293146154</v>
      </c>
      <c r="H31" s="806">
        <v>55193419.409939483</v>
      </c>
    </row>
    <row r="32" spans="1:10" x14ac:dyDescent="0.2">
      <c r="A32" s="2">
        <f t="shared" si="1"/>
        <v>20</v>
      </c>
      <c r="C32" s="21" t="s">
        <v>215</v>
      </c>
      <c r="D32" s="171">
        <v>2014</v>
      </c>
      <c r="E32" s="125">
        <f t="shared" si="0"/>
        <v>2290324759.6601629</v>
      </c>
      <c r="F32" s="806">
        <v>2350726743.137311</v>
      </c>
      <c r="G32" s="753">
        <v>5765261.1293146154</v>
      </c>
      <c r="H32" s="806">
        <v>60401983.47714784</v>
      </c>
    </row>
    <row r="33" spans="1:8" x14ac:dyDescent="0.2">
      <c r="A33" s="2">
        <f t="shared" si="1"/>
        <v>21</v>
      </c>
      <c r="C33" s="21" t="s">
        <v>216</v>
      </c>
      <c r="D33" s="171">
        <v>2014</v>
      </c>
      <c r="E33" s="427">
        <f t="shared" si="0"/>
        <v>2292066894.5354695</v>
      </c>
      <c r="F33" s="166">
        <v>2357694425.623219</v>
      </c>
      <c r="G33" s="509">
        <v>5765261.1293146154</v>
      </c>
      <c r="H33" s="166">
        <v>65627531.087749258</v>
      </c>
    </row>
    <row r="34" spans="1:8" x14ac:dyDescent="0.2">
      <c r="A34" s="2">
        <f t="shared" si="1"/>
        <v>22</v>
      </c>
      <c r="D34" s="809" t="s">
        <v>2045</v>
      </c>
      <c r="E34" s="7">
        <f>SUM(E21:E33)/13</f>
        <v>2061071643.5506239</v>
      </c>
      <c r="F34" s="7">
        <f t="shared" ref="F34:H34" si="2">SUM(F21:F33)/13</f>
        <v>2097141264.1984446</v>
      </c>
      <c r="G34" s="7">
        <f t="shared" si="2"/>
        <v>4223074.6420280198</v>
      </c>
      <c r="H34" s="7">
        <f t="shared" si="2"/>
        <v>36069620.647820815</v>
      </c>
    </row>
    <row r="35" spans="1:8" x14ac:dyDescent="0.2">
      <c r="A35" s="2"/>
      <c r="D35" s="808"/>
    </row>
    <row r="36" spans="1:8" x14ac:dyDescent="0.2">
      <c r="A36" s="2"/>
      <c r="B36" s="1"/>
      <c r="C36" s="810" t="str">
        <f>"Forecast Plant Additions is amount on Line "&amp;A34&amp;", Column 1."</f>
        <v>Forecast Plant Additions is amount on Line 22, Column 1.</v>
      </c>
    </row>
    <row r="37" spans="1:8" x14ac:dyDescent="0.2">
      <c r="A37" s="2"/>
    </row>
    <row r="38" spans="1:8" x14ac:dyDescent="0.2">
      <c r="A38" s="2"/>
    </row>
    <row r="39" spans="1:8" x14ac:dyDescent="0.2">
      <c r="A39" s="2"/>
      <c r="B39" s="52"/>
      <c r="H39" s="12"/>
    </row>
    <row r="40" spans="1:8" x14ac:dyDescent="0.2">
      <c r="A40" s="2"/>
      <c r="B40" s="52"/>
      <c r="D40" s="1052"/>
      <c r="H40" s="12"/>
    </row>
    <row r="41" spans="1:8" x14ac:dyDescent="0.2">
      <c r="A41" s="2"/>
      <c r="B41" s="12"/>
      <c r="D41" s="1052"/>
    </row>
    <row r="42" spans="1:8" x14ac:dyDescent="0.2">
      <c r="A42" s="2"/>
      <c r="B42" s="12"/>
      <c r="D42" s="1052"/>
    </row>
    <row r="43" spans="1:8" x14ac:dyDescent="0.2">
      <c r="A43" s="2"/>
      <c r="B43" s="12"/>
      <c r="D43" s="1052"/>
    </row>
    <row r="44" spans="1:8" x14ac:dyDescent="0.2">
      <c r="D44" s="1052"/>
    </row>
    <row r="45" spans="1:8" x14ac:dyDescent="0.2">
      <c r="D45" s="1052"/>
    </row>
    <row r="46" spans="1:8" x14ac:dyDescent="0.2">
      <c r="A46" s="2"/>
      <c r="B46" s="1"/>
      <c r="D46" s="1052"/>
    </row>
    <row r="47" spans="1:8" x14ac:dyDescent="0.2">
      <c r="A47" s="2"/>
      <c r="B47" s="12"/>
      <c r="D47" s="1052"/>
    </row>
    <row r="48" spans="1:8" x14ac:dyDescent="0.2">
      <c r="A48" s="2"/>
      <c r="B48" s="12"/>
      <c r="D48" s="1052"/>
    </row>
    <row r="49" spans="1:4" x14ac:dyDescent="0.2">
      <c r="A49" s="2"/>
      <c r="B49" s="12"/>
      <c r="D49" s="1052"/>
    </row>
    <row r="50" spans="1:4" x14ac:dyDescent="0.2">
      <c r="A50" s="2"/>
      <c r="D50" s="1052"/>
    </row>
    <row r="51" spans="1:4" x14ac:dyDescent="0.2">
      <c r="A51" s="2"/>
      <c r="B51" s="1"/>
      <c r="D51" s="1052"/>
    </row>
    <row r="52" spans="1:4" x14ac:dyDescent="0.2">
      <c r="A52" s="2"/>
      <c r="B52" s="12"/>
      <c r="D52" s="1052"/>
    </row>
    <row r="53" spans="1:4" x14ac:dyDescent="0.2">
      <c r="B53" s="12"/>
      <c r="D53" s="1052"/>
    </row>
    <row r="54" spans="1:4" x14ac:dyDescent="0.2">
      <c r="B54" s="12"/>
      <c r="D54" s="1052"/>
    </row>
    <row r="55" spans="1:4" x14ac:dyDescent="0.2">
      <c r="B55" s="12"/>
      <c r="D55" s="1052"/>
    </row>
    <row r="56" spans="1:4" x14ac:dyDescent="0.2">
      <c r="B56" s="12"/>
      <c r="D56" s="1052"/>
    </row>
    <row r="57" spans="1:4" x14ac:dyDescent="0.2">
      <c r="B57" s="12"/>
      <c r="D57" s="1052"/>
    </row>
    <row r="58" spans="1:4" x14ac:dyDescent="0.2">
      <c r="D58" s="1052"/>
    </row>
    <row r="59" spans="1:4" x14ac:dyDescent="0.2">
      <c r="D59" s="1052"/>
    </row>
  </sheetData>
  <pageMargins left="0.7" right="0.7" top="0.75" bottom="0.75" header="0.3" footer="0.3"/>
  <pageSetup scale="90" orientation="landscape" r:id="rId1"/>
  <headerFooter>
    <oddHeader>&amp;CSchedule 16
Plant Additions&amp;RDkt. No. ER11-3697
2014 Draft Informational Filing</oddHeader>
    <oddFooter>&amp;RPlantAdditions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B45" sqref="B45"/>
    </sheetView>
  </sheetViews>
  <sheetFormatPr defaultRowHeight="12.75" x14ac:dyDescent="0.2"/>
  <cols>
    <col min="1" max="1" width="3.7109375" customWidth="1"/>
    <col min="2" max="2" width="45.7109375" customWidth="1"/>
    <col min="3" max="3" width="13.42578125" customWidth="1"/>
  </cols>
  <sheetData>
    <row r="1" spans="1:5" x14ac:dyDescent="0.2">
      <c r="A1" s="1" t="s">
        <v>1778</v>
      </c>
    </row>
    <row r="3" spans="1:5" x14ac:dyDescent="0.2">
      <c r="A3" s="683" t="s">
        <v>2121</v>
      </c>
    </row>
    <row r="5" spans="1:5" x14ac:dyDescent="0.2">
      <c r="B5" s="3" t="s">
        <v>202</v>
      </c>
      <c r="C5" s="3" t="s">
        <v>203</v>
      </c>
    </row>
    <row r="6" spans="1:5" x14ac:dyDescent="0.2">
      <c r="B6" t="s">
        <v>113</v>
      </c>
      <c r="C6" s="7">
        <f>BaseTRR!K140</f>
        <v>736682730.092875</v>
      </c>
    </row>
    <row r="7" spans="1:5" x14ac:dyDescent="0.2">
      <c r="B7" t="s">
        <v>368</v>
      </c>
      <c r="C7" s="7">
        <f>BaseTRR!K146</f>
        <v>274180465.72962672</v>
      </c>
    </row>
    <row r="8" spans="1:5" x14ac:dyDescent="0.2">
      <c r="B8" t="s">
        <v>114</v>
      </c>
      <c r="C8" s="120">
        <f>BaseTRR!K147</f>
        <v>-103092737.50408728</v>
      </c>
      <c r="E8" s="1"/>
    </row>
    <row r="9" spans="1:5" x14ac:dyDescent="0.2">
      <c r="B9" s="683" t="s">
        <v>1865</v>
      </c>
      <c r="C9" s="120">
        <f>BaseTRR!K149</f>
        <v>0</v>
      </c>
      <c r="E9" s="1"/>
    </row>
    <row r="10" spans="1:5" x14ac:dyDescent="0.2">
      <c r="B10" t="s">
        <v>2122</v>
      </c>
      <c r="C10" s="7">
        <f>SUM(C6:C9)</f>
        <v>907770458.31841433</v>
      </c>
    </row>
    <row r="12" spans="1:5" x14ac:dyDescent="0.2">
      <c r="A12" t="s">
        <v>667</v>
      </c>
    </row>
    <row r="14" spans="1:5" x14ac:dyDescent="0.2">
      <c r="B14" t="s">
        <v>233</v>
      </c>
    </row>
    <row r="15" spans="1:5" x14ac:dyDescent="0.2">
      <c r="B15" s="16" t="s">
        <v>664</v>
      </c>
    </row>
    <row r="16" spans="1:5" x14ac:dyDescent="0.2">
      <c r="B16" s="16"/>
    </row>
    <row r="17" spans="2:2" x14ac:dyDescent="0.2">
      <c r="B17" t="s">
        <v>665</v>
      </c>
    </row>
    <row r="18" spans="2:2" x14ac:dyDescent="0.2">
      <c r="B18" t="s">
        <v>666</v>
      </c>
    </row>
    <row r="19" spans="2:2" x14ac:dyDescent="0.2">
      <c r="B19" s="16"/>
    </row>
    <row r="20" spans="2:2" x14ac:dyDescent="0.2">
      <c r="B20" s="69" t="s">
        <v>1472</v>
      </c>
    </row>
    <row r="21" spans="2:2" x14ac:dyDescent="0.2">
      <c r="B21" s="16" t="s">
        <v>2123</v>
      </c>
    </row>
    <row r="23" spans="2:2" x14ac:dyDescent="0.2">
      <c r="B23" s="683" t="s">
        <v>1866</v>
      </c>
    </row>
  </sheetData>
  <phoneticPr fontId="8" type="noConversion"/>
  <pageMargins left="0.75" right="0.75" top="1" bottom="1" header="0.5" footer="0.5"/>
  <pageSetup orientation="landscape" r:id="rId1"/>
  <headerFooter alignWithMargins="0">
    <oddHeader xml:space="preserve">&amp;COverview&amp;RDkt. No. ER11-3697
2014 Draft Informational Filing
</oddHeader>
    <oddFooter>&amp;ROverview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opLeftCell="C91" zoomScale="90" zoomScaleNormal="90" workbookViewId="0">
      <selection activeCell="K69" sqref="K69"/>
    </sheetView>
  </sheetViews>
  <sheetFormatPr defaultRowHeight="12.75" x14ac:dyDescent="0.2"/>
  <cols>
    <col min="1" max="1" width="4.7109375" customWidth="1"/>
    <col min="3" max="5" width="14.7109375" customWidth="1"/>
    <col min="6" max="6" width="16" customWidth="1"/>
    <col min="7" max="13" width="14.7109375" customWidth="1"/>
  </cols>
  <sheetData>
    <row r="1" spans="1:13" x14ac:dyDescent="0.2">
      <c r="A1" s="1" t="s">
        <v>290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x14ac:dyDescent="0.2">
      <c r="A2" s="264"/>
      <c r="B2" s="264"/>
      <c r="C2" s="264"/>
      <c r="D2" s="264"/>
      <c r="E2" s="264"/>
      <c r="F2" s="264"/>
      <c r="G2" s="264"/>
      <c r="H2" s="264"/>
      <c r="I2" s="200" t="s">
        <v>537</v>
      </c>
      <c r="J2" s="215"/>
      <c r="K2" s="264"/>
      <c r="L2" s="264"/>
      <c r="M2" s="264"/>
    </row>
    <row r="3" spans="1:13" x14ac:dyDescent="0.2">
      <c r="A3" s="264"/>
      <c r="B3" s="1" t="s">
        <v>1147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</row>
    <row r="4" spans="1:13" x14ac:dyDescent="0.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</row>
    <row r="5" spans="1:13" x14ac:dyDescent="0.2">
      <c r="A5" s="264"/>
      <c r="B5" s="12" t="s">
        <v>1150</v>
      </c>
      <c r="C5" s="264"/>
      <c r="D5" s="264"/>
      <c r="E5" s="264"/>
      <c r="F5" s="264"/>
      <c r="G5" s="264"/>
      <c r="H5" s="12" t="s">
        <v>1457</v>
      </c>
      <c r="I5" s="264"/>
      <c r="J5" s="264"/>
      <c r="K5" s="264"/>
      <c r="L5" s="264"/>
      <c r="M5" s="264"/>
    </row>
    <row r="6" spans="1:13" x14ac:dyDescent="0.2">
      <c r="A6" s="264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</row>
    <row r="7" spans="1:13" x14ac:dyDescent="0.2">
      <c r="A7" s="264"/>
      <c r="B7" s="99" t="s">
        <v>417</v>
      </c>
      <c r="C7" s="99" t="s">
        <v>400</v>
      </c>
      <c r="D7" s="99" t="s">
        <v>401</v>
      </c>
      <c r="E7" s="99" t="s">
        <v>402</v>
      </c>
      <c r="F7" s="99" t="s">
        <v>403</v>
      </c>
      <c r="G7" s="99" t="s">
        <v>404</v>
      </c>
      <c r="H7" s="99" t="s">
        <v>405</v>
      </c>
      <c r="I7" s="99" t="s">
        <v>654</v>
      </c>
      <c r="J7" s="99" t="s">
        <v>1128</v>
      </c>
      <c r="K7" s="99" t="s">
        <v>1145</v>
      </c>
      <c r="L7" s="99" t="s">
        <v>1148</v>
      </c>
      <c r="M7" s="99" t="s">
        <v>1166</v>
      </c>
    </row>
    <row r="8" spans="1:13" x14ac:dyDescent="0.2">
      <c r="A8" s="264"/>
      <c r="B8" s="286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</row>
    <row r="9" spans="1:13" x14ac:dyDescent="0.2">
      <c r="A9" s="264"/>
      <c r="B9" s="2" t="s">
        <v>473</v>
      </c>
      <c r="C9" s="287" t="s">
        <v>12</v>
      </c>
      <c r="D9" s="264"/>
      <c r="E9" s="264"/>
      <c r="F9" s="264"/>
      <c r="G9" s="264"/>
      <c r="H9" s="264"/>
      <c r="I9" s="264"/>
      <c r="J9" s="264"/>
      <c r="K9" s="264"/>
      <c r="L9" s="264"/>
      <c r="M9" s="264"/>
    </row>
    <row r="10" spans="1:13" x14ac:dyDescent="0.2">
      <c r="A10" s="264"/>
      <c r="B10" s="2" t="s">
        <v>221</v>
      </c>
      <c r="C10" s="287" t="s">
        <v>1146</v>
      </c>
      <c r="D10" s="264"/>
      <c r="E10" s="264"/>
      <c r="F10" s="264"/>
      <c r="G10" s="264"/>
      <c r="H10" s="264"/>
      <c r="I10" s="264"/>
      <c r="J10" s="264"/>
      <c r="K10" s="264"/>
      <c r="L10" s="264"/>
      <c r="M10" s="264"/>
    </row>
    <row r="11" spans="1:13" x14ac:dyDescent="0.2">
      <c r="A11" s="53" t="s">
        <v>380</v>
      </c>
      <c r="B11" s="3" t="s">
        <v>220</v>
      </c>
      <c r="C11" s="99">
        <v>350.1</v>
      </c>
      <c r="D11" s="99">
        <v>350.2</v>
      </c>
      <c r="E11" s="99">
        <v>352</v>
      </c>
      <c r="F11" s="99">
        <v>353</v>
      </c>
      <c r="G11" s="99">
        <v>354</v>
      </c>
      <c r="H11" s="99">
        <v>355</v>
      </c>
      <c r="I11" s="99">
        <v>356</v>
      </c>
      <c r="J11" s="99">
        <v>357</v>
      </c>
      <c r="K11" s="99">
        <v>358</v>
      </c>
      <c r="L11" s="99">
        <v>359</v>
      </c>
      <c r="M11" s="3" t="s">
        <v>225</v>
      </c>
    </row>
    <row r="12" spans="1:13" x14ac:dyDescent="0.2">
      <c r="A12" s="2">
        <v>1</v>
      </c>
      <c r="B12" s="21" t="s">
        <v>208</v>
      </c>
      <c r="C12" s="266">
        <f>PlantInService!C11</f>
        <v>74607469.009499431</v>
      </c>
      <c r="D12" s="266">
        <f>PlantInService!D11</f>
        <v>82090980.758505225</v>
      </c>
      <c r="E12" s="266">
        <f>PlantInService!E11</f>
        <v>170948030.48916146</v>
      </c>
      <c r="F12" s="266">
        <f>PlantInService!F11</f>
        <v>1756511618.714663</v>
      </c>
      <c r="G12" s="266">
        <f>PlantInService!G11</f>
        <v>550516805.02612746</v>
      </c>
      <c r="H12" s="266">
        <f>PlantInService!H11</f>
        <v>132075053.85948858</v>
      </c>
      <c r="I12" s="266">
        <f>PlantInService!I11</f>
        <v>421892563.22866398</v>
      </c>
      <c r="J12" s="266">
        <f>PlantInService!J11</f>
        <v>558943.06565385021</v>
      </c>
      <c r="K12" s="266">
        <f>PlantInService!K11</f>
        <v>3408604.13081415</v>
      </c>
      <c r="L12" s="266">
        <f>PlantInService!L11</f>
        <v>110352407.03253432</v>
      </c>
      <c r="M12" s="266">
        <f>PlantInService!M11</f>
        <v>3302962475.3151112</v>
      </c>
    </row>
    <row r="13" spans="1:13" x14ac:dyDescent="0.2">
      <c r="A13" s="2">
        <f>A12+1</f>
        <v>2</v>
      </c>
      <c r="B13" s="20" t="s">
        <v>209</v>
      </c>
      <c r="C13" s="266">
        <f>PlantInService!C12</f>
        <v>74607469.009499431</v>
      </c>
      <c r="D13" s="266">
        <f>PlantInService!D12</f>
        <v>82114068.971557155</v>
      </c>
      <c r="E13" s="266">
        <f>PlantInService!E12</f>
        <v>170638214.98660815</v>
      </c>
      <c r="F13" s="266">
        <f>PlantInService!F12</f>
        <v>1755136003.4198272</v>
      </c>
      <c r="G13" s="266">
        <f>PlantInService!G12</f>
        <v>551821882.6623522</v>
      </c>
      <c r="H13" s="266">
        <f>PlantInService!H12</f>
        <v>133197995.97501463</v>
      </c>
      <c r="I13" s="266">
        <f>PlantInService!I12</f>
        <v>422451624.35198289</v>
      </c>
      <c r="J13" s="266">
        <f>PlantInService!J12</f>
        <v>559031.50227763166</v>
      </c>
      <c r="K13" s="266">
        <f>PlantInService!K12</f>
        <v>3563547.0516500724</v>
      </c>
      <c r="L13" s="266">
        <f>PlantInService!L12</f>
        <v>110352311.10319923</v>
      </c>
      <c r="M13" s="266">
        <f>PlantInService!M12</f>
        <v>3304442149.0339689</v>
      </c>
    </row>
    <row r="14" spans="1:13" x14ac:dyDescent="0.2">
      <c r="A14" s="2">
        <f t="shared" ref="A14:A77" si="0">A13+1</f>
        <v>3</v>
      </c>
      <c r="B14" s="21" t="s">
        <v>210</v>
      </c>
      <c r="C14" s="266">
        <f>PlantInService!C13</f>
        <v>76951255.24949944</v>
      </c>
      <c r="D14" s="266">
        <f>PlantInService!D13</f>
        <v>98683946.747231871</v>
      </c>
      <c r="E14" s="266">
        <f>PlantInService!E13</f>
        <v>198222248.55916288</v>
      </c>
      <c r="F14" s="266">
        <f>PlantInService!F13</f>
        <v>1879654255.8333497</v>
      </c>
      <c r="G14" s="266">
        <f>PlantInService!G13</f>
        <v>552005909.5237416</v>
      </c>
      <c r="H14" s="266">
        <f>PlantInService!H13</f>
        <v>133590247.21783324</v>
      </c>
      <c r="I14" s="266">
        <f>PlantInService!I13</f>
        <v>422665307.62994456</v>
      </c>
      <c r="J14" s="266">
        <f>PlantInService!J13</f>
        <v>488561.08967930952</v>
      </c>
      <c r="K14" s="266">
        <f>PlantInService!K13</f>
        <v>3606876.6082688565</v>
      </c>
      <c r="L14" s="266">
        <f>PlantInService!L13</f>
        <v>110256873.69030032</v>
      </c>
      <c r="M14" s="266">
        <f>PlantInService!M13</f>
        <v>3476125482.1490116</v>
      </c>
    </row>
    <row r="15" spans="1:13" x14ac:dyDescent="0.2">
      <c r="A15" s="2">
        <f t="shared" si="0"/>
        <v>4</v>
      </c>
      <c r="B15" s="21" t="s">
        <v>223</v>
      </c>
      <c r="C15" s="266">
        <f>PlantInService!C14</f>
        <v>77010057.156291097</v>
      </c>
      <c r="D15" s="266">
        <f>PlantInService!D14</f>
        <v>99917864.427807212</v>
      </c>
      <c r="E15" s="266">
        <f>PlantInService!E14</f>
        <v>197774986.86393654</v>
      </c>
      <c r="F15" s="266">
        <f>PlantInService!F14</f>
        <v>1878034681.0448549</v>
      </c>
      <c r="G15" s="266">
        <f>PlantInService!G14</f>
        <v>552324735.86339402</v>
      </c>
      <c r="H15" s="266">
        <f>PlantInService!H14</f>
        <v>134386423.72416154</v>
      </c>
      <c r="I15" s="266">
        <f>PlantInService!I14</f>
        <v>422904165.12189299</v>
      </c>
      <c r="J15" s="266">
        <f>PlantInService!J14</f>
        <v>491674.94697555655</v>
      </c>
      <c r="K15" s="266">
        <f>PlantInService!K14</f>
        <v>3593326.6484524934</v>
      </c>
      <c r="L15" s="266">
        <f>PlantInService!L14</f>
        <v>109816174.65654455</v>
      </c>
      <c r="M15" s="266">
        <f>PlantInService!M14</f>
        <v>3476254090.4543114</v>
      </c>
    </row>
    <row r="16" spans="1:13" x14ac:dyDescent="0.2">
      <c r="A16" s="2">
        <f t="shared" si="0"/>
        <v>5</v>
      </c>
      <c r="B16" s="20" t="s">
        <v>211</v>
      </c>
      <c r="C16" s="266">
        <f>PlantInService!C15</f>
        <v>77010057.156291097</v>
      </c>
      <c r="D16" s="266">
        <f>PlantInService!D15</f>
        <v>99893146.763199896</v>
      </c>
      <c r="E16" s="266">
        <f>PlantInService!E15</f>
        <v>195533930.31360132</v>
      </c>
      <c r="F16" s="266">
        <f>PlantInService!F15</f>
        <v>1875057302.4781649</v>
      </c>
      <c r="G16" s="266">
        <f>PlantInService!G15</f>
        <v>622539764.31252241</v>
      </c>
      <c r="H16" s="266">
        <f>PlantInService!H15</f>
        <v>136227814.14444542</v>
      </c>
      <c r="I16" s="266">
        <f>PlantInService!I15</f>
        <v>463395861.08351469</v>
      </c>
      <c r="J16" s="266">
        <f>PlantInService!J15</f>
        <v>491640.98683250591</v>
      </c>
      <c r="K16" s="266">
        <f>PlantInService!K15</f>
        <v>3592336.3495748867</v>
      </c>
      <c r="L16" s="266">
        <f>PlantInService!L15</f>
        <v>123439530.78377408</v>
      </c>
      <c r="M16" s="266">
        <f>PlantInService!M15</f>
        <v>3597181384.3719211</v>
      </c>
    </row>
    <row r="17" spans="1:13" x14ac:dyDescent="0.2">
      <c r="A17" s="2">
        <f t="shared" si="0"/>
        <v>6</v>
      </c>
      <c r="B17" s="21" t="s">
        <v>212</v>
      </c>
      <c r="C17" s="266">
        <f>PlantInService!C16</f>
        <v>77010057.156291097</v>
      </c>
      <c r="D17" s="266">
        <f>PlantInService!D16</f>
        <v>99947265.165731654</v>
      </c>
      <c r="E17" s="266">
        <f>PlantInService!E16</f>
        <v>194066271.53866041</v>
      </c>
      <c r="F17" s="266">
        <f>PlantInService!F16</f>
        <v>1871853715.7852559</v>
      </c>
      <c r="G17" s="266">
        <f>PlantInService!G16</f>
        <v>621375793.44233572</v>
      </c>
      <c r="H17" s="266">
        <f>PlantInService!H16</f>
        <v>135958416.69195944</v>
      </c>
      <c r="I17" s="266">
        <f>PlantInService!I16</f>
        <v>462949294.3150956</v>
      </c>
      <c r="J17" s="266">
        <f>PlantInService!J16</f>
        <v>506887.09760325617</v>
      </c>
      <c r="K17" s="266">
        <f>PlantInService!K16</f>
        <v>3643218.8998833369</v>
      </c>
      <c r="L17" s="266">
        <f>PlantInService!L16</f>
        <v>123459817.11237542</v>
      </c>
      <c r="M17" s="266">
        <f>PlantInService!M16</f>
        <v>3590770737.2051911</v>
      </c>
    </row>
    <row r="18" spans="1:13" x14ac:dyDescent="0.2">
      <c r="A18" s="2">
        <f t="shared" si="0"/>
        <v>7</v>
      </c>
      <c r="B18" s="21" t="s">
        <v>213</v>
      </c>
      <c r="C18" s="266">
        <f>PlantInService!C17</f>
        <v>77163113.508182794</v>
      </c>
      <c r="D18" s="266">
        <f>PlantInService!D17</f>
        <v>99815695.507775024</v>
      </c>
      <c r="E18" s="266">
        <f>PlantInService!E17</f>
        <v>186932446.62280163</v>
      </c>
      <c r="F18" s="266">
        <f>PlantInService!F17</f>
        <v>1866151764.5644171</v>
      </c>
      <c r="G18" s="266">
        <f>PlantInService!G17</f>
        <v>621157064.1923281</v>
      </c>
      <c r="H18" s="266">
        <f>PlantInService!H17</f>
        <v>136522518.20265976</v>
      </c>
      <c r="I18" s="266">
        <f>PlantInService!I17</f>
        <v>463258656.37648147</v>
      </c>
      <c r="J18" s="266">
        <f>PlantInService!J17</f>
        <v>572626.96240722202</v>
      </c>
      <c r="K18" s="266">
        <f>PlantInService!K17</f>
        <v>3699721.4629070307</v>
      </c>
      <c r="L18" s="266">
        <f>PlantInService!L17</f>
        <v>123391128.36930695</v>
      </c>
      <c r="M18" s="266">
        <f>PlantInService!M17</f>
        <v>3578664735.7692666</v>
      </c>
    </row>
    <row r="19" spans="1:13" x14ac:dyDescent="0.2">
      <c r="A19" s="2">
        <f t="shared" si="0"/>
        <v>8</v>
      </c>
      <c r="B19" s="20" t="s">
        <v>214</v>
      </c>
      <c r="C19" s="266">
        <f>PlantInService!C18</f>
        <v>77163113.508182794</v>
      </c>
      <c r="D19" s="266">
        <f>PlantInService!D18</f>
        <v>99815700.206999257</v>
      </c>
      <c r="E19" s="266">
        <f>PlantInService!E18</f>
        <v>180183730.47790727</v>
      </c>
      <c r="F19" s="266">
        <f>PlantInService!F18</f>
        <v>1876101255.1084895</v>
      </c>
      <c r="G19" s="266">
        <f>PlantInService!G18</f>
        <v>621477563.69115055</v>
      </c>
      <c r="H19" s="266">
        <f>PlantInService!H18</f>
        <v>138561474.86434743</v>
      </c>
      <c r="I19" s="266">
        <f>PlantInService!I18</f>
        <v>468914923.58820379</v>
      </c>
      <c r="J19" s="266">
        <f>PlantInService!J18</f>
        <v>567366.29571710655</v>
      </c>
      <c r="K19" s="266">
        <f>PlantInService!K18</f>
        <v>3685095.6214977019</v>
      </c>
      <c r="L19" s="266">
        <f>PlantInService!L18</f>
        <v>123513137.79063374</v>
      </c>
      <c r="M19" s="266">
        <f>PlantInService!M18</f>
        <v>3589983361.1531296</v>
      </c>
    </row>
    <row r="20" spans="1:13" x14ac:dyDescent="0.2">
      <c r="A20" s="2">
        <f t="shared" si="0"/>
        <v>9</v>
      </c>
      <c r="B20" s="21" t="s">
        <v>215</v>
      </c>
      <c r="C20" s="266">
        <f>PlantInService!C19</f>
        <v>82750209.311013743</v>
      </c>
      <c r="D20" s="266">
        <f>PlantInService!D19</f>
        <v>103388434.63204607</v>
      </c>
      <c r="E20" s="266">
        <f>PlantInService!E19</f>
        <v>184762701.26890206</v>
      </c>
      <c r="F20" s="266">
        <f>PlantInService!F19</f>
        <v>1981916408.2817085</v>
      </c>
      <c r="G20" s="266">
        <f>PlantInService!G19</f>
        <v>626896210.14415586</v>
      </c>
      <c r="H20" s="266">
        <f>PlantInService!H19</f>
        <v>139807671.30420488</v>
      </c>
      <c r="I20" s="266">
        <f>PlantInService!I19</f>
        <v>460425307.73941052</v>
      </c>
      <c r="J20" s="266">
        <f>PlantInService!J19</f>
        <v>567362.40073128941</v>
      </c>
      <c r="K20" s="266">
        <f>PlantInService!K19</f>
        <v>3683455.0132770035</v>
      </c>
      <c r="L20" s="266">
        <f>PlantInService!L19</f>
        <v>123755751.44803847</v>
      </c>
      <c r="M20" s="266">
        <f>PlantInService!M19</f>
        <v>3707953511.5434885</v>
      </c>
    </row>
    <row r="21" spans="1:13" x14ac:dyDescent="0.2">
      <c r="A21" s="2">
        <f t="shared" si="0"/>
        <v>10</v>
      </c>
      <c r="B21" s="21" t="s">
        <v>216</v>
      </c>
      <c r="C21" s="266">
        <f>PlantInService!C20</f>
        <v>82749865.355037421</v>
      </c>
      <c r="D21" s="266">
        <f>PlantInService!D20</f>
        <v>103205717.35804583</v>
      </c>
      <c r="E21" s="266">
        <f>PlantInService!E20</f>
        <v>181190860.90376931</v>
      </c>
      <c r="F21" s="266">
        <f>PlantInService!F20</f>
        <v>1980711530.1653829</v>
      </c>
      <c r="G21" s="266">
        <f>PlantInService!G20</f>
        <v>628766042.32602262</v>
      </c>
      <c r="H21" s="266">
        <f>PlantInService!H20</f>
        <v>141784643.00930434</v>
      </c>
      <c r="I21" s="266">
        <f>PlantInService!I20</f>
        <v>460569257.01923853</v>
      </c>
      <c r="J21" s="266">
        <f>PlantInService!J20</f>
        <v>567908.57908896357</v>
      </c>
      <c r="K21" s="266">
        <f>PlantInService!K20</f>
        <v>3681832.2109009903</v>
      </c>
      <c r="L21" s="266">
        <f>PlantInService!L20</f>
        <v>123991684.484751</v>
      </c>
      <c r="M21" s="266">
        <f>PlantInService!M20</f>
        <v>3707219341.4115424</v>
      </c>
    </row>
    <row r="22" spans="1:13" x14ac:dyDescent="0.2">
      <c r="A22" s="2">
        <f t="shared" si="0"/>
        <v>11</v>
      </c>
      <c r="B22" s="20" t="s">
        <v>219</v>
      </c>
      <c r="C22" s="266">
        <f>PlantInService!C21</f>
        <v>82768342.17654182</v>
      </c>
      <c r="D22" s="266">
        <f>PlantInService!D21</f>
        <v>103190749.62371126</v>
      </c>
      <c r="E22" s="266">
        <f>PlantInService!E21</f>
        <v>176920205.0071604</v>
      </c>
      <c r="F22" s="266">
        <f>PlantInService!F21</f>
        <v>1992828591.6617224</v>
      </c>
      <c r="G22" s="266">
        <f>PlantInService!G21</f>
        <v>629749258.42286253</v>
      </c>
      <c r="H22" s="266">
        <f>PlantInService!H21</f>
        <v>142175029.4443914</v>
      </c>
      <c r="I22" s="266">
        <f>PlantInService!I21</f>
        <v>461076357.86379689</v>
      </c>
      <c r="J22" s="266">
        <f>PlantInService!J21</f>
        <v>568415.6586582124</v>
      </c>
      <c r="K22" s="266">
        <f>PlantInService!K21</f>
        <v>3697358.4644579729</v>
      </c>
      <c r="L22" s="266">
        <f>PlantInService!L21</f>
        <v>124348338.684751</v>
      </c>
      <c r="M22" s="266">
        <f>PlantInService!M21</f>
        <v>3717322647.0080533</v>
      </c>
    </row>
    <row r="23" spans="1:13" x14ac:dyDescent="0.2">
      <c r="A23" s="2">
        <f t="shared" si="0"/>
        <v>12</v>
      </c>
      <c r="B23" s="20" t="s">
        <v>218</v>
      </c>
      <c r="C23" s="266">
        <f>PlantInService!C22</f>
        <v>82757487.79537265</v>
      </c>
      <c r="D23" s="266">
        <f>PlantInService!D22</f>
        <v>103208837.3341651</v>
      </c>
      <c r="E23" s="266">
        <f>PlantInService!E22</f>
        <v>185090634.07295349</v>
      </c>
      <c r="F23" s="266">
        <f>PlantInService!F22</f>
        <v>1986742296.2933037</v>
      </c>
      <c r="G23" s="266">
        <f>PlantInService!G22</f>
        <v>631329718.31782162</v>
      </c>
      <c r="H23" s="266">
        <f>PlantInService!H22</f>
        <v>142847895.47067615</v>
      </c>
      <c r="I23" s="266">
        <f>PlantInService!I22</f>
        <v>461721256.04084218</v>
      </c>
      <c r="J23" s="266">
        <f>PlantInService!J22</f>
        <v>576146.66862075031</v>
      </c>
      <c r="K23" s="266">
        <f>PlantInService!K22</f>
        <v>3766909.8368726191</v>
      </c>
      <c r="L23" s="266">
        <f>PlantInService!L22</f>
        <v>124244609.16198161</v>
      </c>
      <c r="M23" s="266">
        <f>PlantInService!M22</f>
        <v>3722285790.9926095</v>
      </c>
    </row>
    <row r="24" spans="1:13" x14ac:dyDescent="0.2">
      <c r="A24" s="2">
        <f t="shared" si="0"/>
        <v>13</v>
      </c>
      <c r="B24" s="21" t="s">
        <v>208</v>
      </c>
      <c r="C24" s="266">
        <f>PlantInService!C23</f>
        <v>82755740.135617554</v>
      </c>
      <c r="D24" s="266">
        <f>PlantInService!D23</f>
        <v>103210254.99837291</v>
      </c>
      <c r="E24" s="266">
        <f>PlantInService!E23</f>
        <v>179247170.44292822</v>
      </c>
      <c r="F24" s="266">
        <f>PlantInService!F23</f>
        <v>2148172469.2107306</v>
      </c>
      <c r="G24" s="266">
        <f>PlantInService!G23</f>
        <v>728242650.16347945</v>
      </c>
      <c r="H24" s="266">
        <f>PlantInService!H23</f>
        <v>148632888.4820841</v>
      </c>
      <c r="I24" s="266">
        <f>PlantInService!I23</f>
        <v>494953932.48711836</v>
      </c>
      <c r="J24" s="266">
        <f>PlantInService!J23</f>
        <v>645861.64518965012</v>
      </c>
      <c r="K24" s="266">
        <f>PlantInService!K23</f>
        <v>3959306.6940610548</v>
      </c>
      <c r="L24" s="266">
        <f>PlantInService!L23</f>
        <v>38747355.238424651</v>
      </c>
      <c r="M24" s="266">
        <f>PlantInService!M23</f>
        <v>3928567629.4980068</v>
      </c>
    </row>
    <row r="25" spans="1:13" x14ac:dyDescent="0.2">
      <c r="A25" s="2">
        <f t="shared" si="0"/>
        <v>14</v>
      </c>
      <c r="B25" s="264"/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64"/>
    </row>
    <row r="26" spans="1:13" x14ac:dyDescent="0.2">
      <c r="A26" s="2">
        <f t="shared" si="0"/>
        <v>15</v>
      </c>
      <c r="B26" s="21" t="s">
        <v>1199</v>
      </c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</row>
    <row r="27" spans="1:13" x14ac:dyDescent="0.2">
      <c r="A27" s="2">
        <f t="shared" si="0"/>
        <v>16</v>
      </c>
      <c r="B27" s="264"/>
      <c r="C27" s="99">
        <v>350.1</v>
      </c>
      <c r="D27" s="99">
        <v>350.2</v>
      </c>
      <c r="E27" s="99">
        <v>352</v>
      </c>
      <c r="F27" s="99">
        <v>353</v>
      </c>
      <c r="G27" s="99">
        <v>354</v>
      </c>
      <c r="H27" s="99">
        <v>355</v>
      </c>
      <c r="I27" s="99">
        <v>356</v>
      </c>
      <c r="J27" s="99">
        <v>357</v>
      </c>
      <c r="K27" s="99">
        <v>358</v>
      </c>
      <c r="L27" s="99">
        <v>359</v>
      </c>
      <c r="M27" s="3"/>
    </row>
    <row r="28" spans="1:13" x14ac:dyDescent="0.2">
      <c r="A28" s="2">
        <f t="shared" si="0"/>
        <v>17</v>
      </c>
      <c r="B28" s="264"/>
      <c r="C28" s="429">
        <f>DepRates!$G6</f>
        <v>0</v>
      </c>
      <c r="D28" s="429">
        <f>DepRates!$G7</f>
        <v>1.66E-2</v>
      </c>
      <c r="E28" s="429">
        <f>DepRates!$G8</f>
        <v>2.5700000000000001E-2</v>
      </c>
      <c r="F28" s="429">
        <f>DepRates!$G9</f>
        <v>2.6200000000000001E-2</v>
      </c>
      <c r="G28" s="429">
        <f>DepRates!$G10</f>
        <v>2.53E-2</v>
      </c>
      <c r="H28" s="429">
        <f>DepRates!$G11</f>
        <v>3.8199999999999998E-2</v>
      </c>
      <c r="I28" s="429">
        <f>DepRates!$G12</f>
        <v>3.5000000000000003E-2</v>
      </c>
      <c r="J28" s="429">
        <f>DepRates!$G13</f>
        <v>1.6500000000000001E-2</v>
      </c>
      <c r="K28" s="429">
        <f>DepRates!$G14</f>
        <v>3.8699999999999998E-2</v>
      </c>
      <c r="L28" s="429">
        <f>DepRates!$G15</f>
        <v>1.5599999999999999E-2</v>
      </c>
      <c r="M28" s="264"/>
    </row>
    <row r="29" spans="1:13" x14ac:dyDescent="0.2">
      <c r="A29" s="2">
        <f t="shared" si="0"/>
        <v>18</v>
      </c>
      <c r="B29" s="264"/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264"/>
    </row>
    <row r="30" spans="1:13" x14ac:dyDescent="0.2">
      <c r="A30" s="2">
        <f t="shared" si="0"/>
        <v>19</v>
      </c>
      <c r="B30" s="12" t="s">
        <v>1149</v>
      </c>
      <c r="C30" s="429"/>
      <c r="D30" s="429"/>
      <c r="E30" s="429"/>
      <c r="F30" s="429"/>
      <c r="G30" s="288" t="s">
        <v>247</v>
      </c>
      <c r="H30" s="429"/>
      <c r="I30" s="429"/>
      <c r="J30" s="429"/>
      <c r="K30" s="429"/>
      <c r="L30" s="429"/>
      <c r="M30" s="264"/>
    </row>
    <row r="31" spans="1:13" x14ac:dyDescent="0.2">
      <c r="A31" s="2">
        <f t="shared" si="0"/>
        <v>20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</row>
    <row r="32" spans="1:13" x14ac:dyDescent="0.2">
      <c r="A32" s="2">
        <f t="shared" si="0"/>
        <v>21</v>
      </c>
      <c r="B32" s="2" t="s">
        <v>473</v>
      </c>
      <c r="C32" s="287" t="s">
        <v>12</v>
      </c>
      <c r="D32" s="264"/>
      <c r="E32" s="264"/>
      <c r="F32" s="264"/>
      <c r="G32" s="264"/>
      <c r="H32" s="264"/>
      <c r="I32" s="264"/>
      <c r="J32" s="264"/>
      <c r="K32" s="264"/>
      <c r="L32" s="264"/>
      <c r="M32" s="264"/>
    </row>
    <row r="33" spans="1:13" x14ac:dyDescent="0.2">
      <c r="A33" s="2">
        <f t="shared" si="0"/>
        <v>22</v>
      </c>
      <c r="B33" s="2" t="s">
        <v>221</v>
      </c>
      <c r="C33" s="287" t="s">
        <v>1146</v>
      </c>
      <c r="D33" s="264"/>
      <c r="E33" s="264"/>
      <c r="F33" s="264"/>
      <c r="G33" s="264"/>
      <c r="H33" s="264"/>
      <c r="I33" s="264"/>
      <c r="J33" s="264"/>
      <c r="K33" s="264"/>
      <c r="L33" s="264"/>
      <c r="M33" s="2" t="s">
        <v>220</v>
      </c>
    </row>
    <row r="34" spans="1:13" x14ac:dyDescent="0.2">
      <c r="A34" s="2">
        <f t="shared" si="0"/>
        <v>23</v>
      </c>
      <c r="B34" s="3" t="s">
        <v>220</v>
      </c>
      <c r="C34" s="99">
        <v>350.1</v>
      </c>
      <c r="D34" s="99">
        <v>350.2</v>
      </c>
      <c r="E34" s="99">
        <v>352</v>
      </c>
      <c r="F34" s="99">
        <v>353</v>
      </c>
      <c r="G34" s="99">
        <v>354</v>
      </c>
      <c r="H34" s="99">
        <v>355</v>
      </c>
      <c r="I34" s="99">
        <v>356</v>
      </c>
      <c r="J34" s="99">
        <v>357</v>
      </c>
      <c r="K34" s="99">
        <v>358</v>
      </c>
      <c r="L34" s="99">
        <v>359</v>
      </c>
      <c r="M34" s="3" t="s">
        <v>225</v>
      </c>
    </row>
    <row r="35" spans="1:13" x14ac:dyDescent="0.2">
      <c r="A35" s="2">
        <f t="shared" si="0"/>
        <v>24</v>
      </c>
      <c r="B35" s="20" t="s">
        <v>209</v>
      </c>
      <c r="C35" s="266">
        <f t="shared" ref="C35:C46" si="1">C12*$C$28/12</f>
        <v>0</v>
      </c>
      <c r="D35" s="266">
        <f t="shared" ref="D35:D46" si="2">D12*$D$28/12</f>
        <v>113559.19004926557</v>
      </c>
      <c r="E35" s="266">
        <f t="shared" ref="E35:E46" si="3">E12*$E$28/12</f>
        <v>366113.69863095414</v>
      </c>
      <c r="F35" s="266">
        <f t="shared" ref="F35:F46" si="4">F12*$F$28/12</f>
        <v>3835050.3675270141</v>
      </c>
      <c r="G35" s="266">
        <f t="shared" ref="G35:G46" si="5">G12*$G$28/12</f>
        <v>1160672.9305967521</v>
      </c>
      <c r="H35" s="266">
        <f t="shared" ref="H35:H46" si="6">H12*$H$28/12</f>
        <v>420438.92145270528</v>
      </c>
      <c r="I35" s="266">
        <f t="shared" ref="I35:I46" si="7">I12*$I$28/12</f>
        <v>1230519.9760836035</v>
      </c>
      <c r="J35" s="266">
        <f t="shared" ref="J35:J46" si="8">J12*$J$28/12</f>
        <v>768.546715274044</v>
      </c>
      <c r="K35" s="266">
        <f t="shared" ref="K35:K46" si="9">K12*$K$28/12</f>
        <v>10992.748321875633</v>
      </c>
      <c r="L35" s="266">
        <f t="shared" ref="L35:L46" si="10">L12*$L$28/12</f>
        <v>143458.12914229461</v>
      </c>
      <c r="M35" s="266">
        <f>SUM(C35:L35)</f>
        <v>7281574.5085197408</v>
      </c>
    </row>
    <row r="36" spans="1:13" x14ac:dyDescent="0.2">
      <c r="A36" s="2">
        <f t="shared" si="0"/>
        <v>25</v>
      </c>
      <c r="B36" s="21" t="s">
        <v>210</v>
      </c>
      <c r="C36" s="266">
        <f t="shared" si="1"/>
        <v>0</v>
      </c>
      <c r="D36" s="266">
        <f t="shared" si="2"/>
        <v>113591.1287439874</v>
      </c>
      <c r="E36" s="266">
        <f t="shared" si="3"/>
        <v>365450.17709631915</v>
      </c>
      <c r="F36" s="266">
        <f t="shared" si="4"/>
        <v>3832046.9407999567</v>
      </c>
      <c r="G36" s="266">
        <f t="shared" si="5"/>
        <v>1163424.4692797924</v>
      </c>
      <c r="H36" s="266">
        <f t="shared" si="6"/>
        <v>424013.62052046321</v>
      </c>
      <c r="I36" s="266">
        <f t="shared" si="7"/>
        <v>1232150.571026617</v>
      </c>
      <c r="J36" s="266">
        <f t="shared" si="8"/>
        <v>768.66831563174355</v>
      </c>
      <c r="K36" s="266">
        <f t="shared" si="9"/>
        <v>11492.439241571483</v>
      </c>
      <c r="L36" s="266">
        <f t="shared" si="10"/>
        <v>143458.004434159</v>
      </c>
      <c r="M36" s="266">
        <f t="shared" ref="M36:M46" si="11">SUM(C36:L36)</f>
        <v>7286396.0194584969</v>
      </c>
    </row>
    <row r="37" spans="1:13" x14ac:dyDescent="0.2">
      <c r="A37" s="2">
        <f t="shared" si="0"/>
        <v>26</v>
      </c>
      <c r="B37" s="21" t="s">
        <v>223</v>
      </c>
      <c r="C37" s="266">
        <f t="shared" si="1"/>
        <v>0</v>
      </c>
      <c r="D37" s="266">
        <f t="shared" si="2"/>
        <v>136512.79300033741</v>
      </c>
      <c r="E37" s="266">
        <f t="shared" si="3"/>
        <v>424525.98233087384</v>
      </c>
      <c r="F37" s="266">
        <f t="shared" si="4"/>
        <v>4103911.7919028136</v>
      </c>
      <c r="G37" s="266">
        <f t="shared" si="5"/>
        <v>1163812.4592458885</v>
      </c>
      <c r="H37" s="266">
        <f t="shared" si="6"/>
        <v>425262.2869767691</v>
      </c>
      <c r="I37" s="266">
        <f t="shared" si="7"/>
        <v>1232773.8139206718</v>
      </c>
      <c r="J37" s="266">
        <f t="shared" si="8"/>
        <v>671.77149830905057</v>
      </c>
      <c r="K37" s="266">
        <f t="shared" si="9"/>
        <v>11632.177061667062</v>
      </c>
      <c r="L37" s="266">
        <f t="shared" si="10"/>
        <v>143333.93579739041</v>
      </c>
      <c r="M37" s="266">
        <f t="shared" si="11"/>
        <v>7642437.0117347213</v>
      </c>
    </row>
    <row r="38" spans="1:13" x14ac:dyDescent="0.2">
      <c r="A38" s="2">
        <f t="shared" si="0"/>
        <v>27</v>
      </c>
      <c r="B38" s="20" t="s">
        <v>211</v>
      </c>
      <c r="C38" s="266">
        <f t="shared" si="1"/>
        <v>0</v>
      </c>
      <c r="D38" s="266">
        <f t="shared" si="2"/>
        <v>138219.71245846665</v>
      </c>
      <c r="E38" s="266">
        <f t="shared" si="3"/>
        <v>423568.09686693078</v>
      </c>
      <c r="F38" s="266">
        <f t="shared" si="4"/>
        <v>4100375.7202812671</v>
      </c>
      <c r="G38" s="266">
        <f t="shared" si="5"/>
        <v>1164484.6514453224</v>
      </c>
      <c r="H38" s="266">
        <f t="shared" si="6"/>
        <v>427796.78218858084</v>
      </c>
      <c r="I38" s="266">
        <f t="shared" si="7"/>
        <v>1233470.4816055214</v>
      </c>
      <c r="J38" s="266">
        <f t="shared" si="8"/>
        <v>676.05305209139033</v>
      </c>
      <c r="K38" s="266">
        <f t="shared" si="9"/>
        <v>11588.478441259291</v>
      </c>
      <c r="L38" s="266">
        <f t="shared" si="10"/>
        <v>142761.02705350792</v>
      </c>
      <c r="M38" s="266">
        <f t="shared" si="11"/>
        <v>7642941.0033929469</v>
      </c>
    </row>
    <row r="39" spans="1:13" x14ac:dyDescent="0.2">
      <c r="A39" s="2">
        <f t="shared" si="0"/>
        <v>28</v>
      </c>
      <c r="B39" s="21" t="s">
        <v>212</v>
      </c>
      <c r="C39" s="266">
        <f t="shared" si="1"/>
        <v>0</v>
      </c>
      <c r="D39" s="266">
        <f t="shared" si="2"/>
        <v>138185.5196890932</v>
      </c>
      <c r="E39" s="266">
        <f t="shared" si="3"/>
        <v>418768.50075496285</v>
      </c>
      <c r="F39" s="266">
        <f t="shared" si="4"/>
        <v>4093875.1104106605</v>
      </c>
      <c r="G39" s="266">
        <f t="shared" si="5"/>
        <v>1312521.3364255682</v>
      </c>
      <c r="H39" s="266">
        <f t="shared" si="6"/>
        <v>433658.54169315123</v>
      </c>
      <c r="I39" s="266">
        <f t="shared" si="7"/>
        <v>1351571.2614935846</v>
      </c>
      <c r="J39" s="266">
        <f t="shared" si="8"/>
        <v>676.00635689469561</v>
      </c>
      <c r="K39" s="266">
        <f t="shared" si="9"/>
        <v>11585.28472737901</v>
      </c>
      <c r="L39" s="266">
        <f t="shared" si="10"/>
        <v>160471.3900189063</v>
      </c>
      <c r="M39" s="266">
        <f t="shared" si="11"/>
        <v>7921312.9515702007</v>
      </c>
    </row>
    <row r="40" spans="1:13" x14ac:dyDescent="0.2">
      <c r="A40" s="2">
        <f t="shared" si="0"/>
        <v>29</v>
      </c>
      <c r="B40" s="21" t="s">
        <v>213</v>
      </c>
      <c r="C40" s="266">
        <f t="shared" si="1"/>
        <v>0</v>
      </c>
      <c r="D40" s="266">
        <f t="shared" si="2"/>
        <v>138260.38347926212</v>
      </c>
      <c r="E40" s="266">
        <f t="shared" si="3"/>
        <v>415625.26487863105</v>
      </c>
      <c r="F40" s="266">
        <f t="shared" si="4"/>
        <v>4086880.6127978093</v>
      </c>
      <c r="G40" s="266">
        <f t="shared" si="5"/>
        <v>1310067.2978409245</v>
      </c>
      <c r="H40" s="266">
        <f t="shared" si="6"/>
        <v>432800.95980273752</v>
      </c>
      <c r="I40" s="266">
        <f t="shared" si="7"/>
        <v>1350268.7750856958</v>
      </c>
      <c r="J40" s="266">
        <f t="shared" si="8"/>
        <v>696.96975920447721</v>
      </c>
      <c r="K40" s="266">
        <f t="shared" si="9"/>
        <v>11749.380952123762</v>
      </c>
      <c r="L40" s="266">
        <f t="shared" si="10"/>
        <v>160497.76224608804</v>
      </c>
      <c r="M40" s="266">
        <f t="shared" si="11"/>
        <v>7906847.4068424767</v>
      </c>
    </row>
    <row r="41" spans="1:13" x14ac:dyDescent="0.2">
      <c r="A41" s="2">
        <f t="shared" si="0"/>
        <v>30</v>
      </c>
      <c r="B41" s="20" t="s">
        <v>214</v>
      </c>
      <c r="C41" s="266">
        <f t="shared" si="1"/>
        <v>0</v>
      </c>
      <c r="D41" s="266">
        <f t="shared" si="2"/>
        <v>138078.37878575546</v>
      </c>
      <c r="E41" s="266">
        <f t="shared" si="3"/>
        <v>400346.98985050013</v>
      </c>
      <c r="F41" s="266">
        <f t="shared" si="4"/>
        <v>4074431.3526323107</v>
      </c>
      <c r="G41" s="266">
        <f t="shared" si="5"/>
        <v>1309606.1436721582</v>
      </c>
      <c r="H41" s="266">
        <f t="shared" si="6"/>
        <v>434596.68294513348</v>
      </c>
      <c r="I41" s="266">
        <f t="shared" si="7"/>
        <v>1351171.0810980711</v>
      </c>
      <c r="J41" s="266">
        <f t="shared" si="8"/>
        <v>787.36207330993022</v>
      </c>
      <c r="K41" s="266">
        <f t="shared" si="9"/>
        <v>11931.601717875174</v>
      </c>
      <c r="L41" s="266">
        <f t="shared" si="10"/>
        <v>160408.46688009903</v>
      </c>
      <c r="M41" s="266">
        <f t="shared" si="11"/>
        <v>7881358.0596552128</v>
      </c>
    </row>
    <row r="42" spans="1:13" x14ac:dyDescent="0.2">
      <c r="A42" s="2">
        <f t="shared" si="0"/>
        <v>31</v>
      </c>
      <c r="B42" s="21" t="s">
        <v>215</v>
      </c>
      <c r="C42" s="266">
        <f t="shared" si="1"/>
        <v>0</v>
      </c>
      <c r="D42" s="266">
        <f t="shared" si="2"/>
        <v>138078.38528634896</v>
      </c>
      <c r="E42" s="266">
        <f t="shared" si="3"/>
        <v>385893.48944018479</v>
      </c>
      <c r="F42" s="266">
        <f t="shared" si="4"/>
        <v>4096154.4069868685</v>
      </c>
      <c r="G42" s="266">
        <f t="shared" si="5"/>
        <v>1310281.8634488424</v>
      </c>
      <c r="H42" s="266">
        <f t="shared" si="6"/>
        <v>441087.36165150598</v>
      </c>
      <c r="I42" s="266">
        <f t="shared" si="7"/>
        <v>1367668.5271322613</v>
      </c>
      <c r="J42" s="266">
        <f t="shared" si="8"/>
        <v>780.1286566110216</v>
      </c>
      <c r="K42" s="266">
        <f t="shared" si="9"/>
        <v>11884.433379330088</v>
      </c>
      <c r="L42" s="266">
        <f t="shared" si="10"/>
        <v>160567.07912782385</v>
      </c>
      <c r="M42" s="266">
        <f t="shared" si="11"/>
        <v>7912395.6751097767</v>
      </c>
    </row>
    <row r="43" spans="1:13" x14ac:dyDescent="0.2">
      <c r="A43" s="2">
        <f t="shared" si="0"/>
        <v>32</v>
      </c>
      <c r="B43" s="21" t="s">
        <v>216</v>
      </c>
      <c r="C43" s="266">
        <f t="shared" si="1"/>
        <v>0</v>
      </c>
      <c r="D43" s="266">
        <f t="shared" si="2"/>
        <v>143020.66790766374</v>
      </c>
      <c r="E43" s="266">
        <f t="shared" si="3"/>
        <v>395700.11855089857</v>
      </c>
      <c r="F43" s="266">
        <f t="shared" si="4"/>
        <v>4327184.1580817299</v>
      </c>
      <c r="G43" s="266">
        <f t="shared" si="5"/>
        <v>1321706.1763872618</v>
      </c>
      <c r="H43" s="266">
        <f t="shared" si="6"/>
        <v>445054.42031838553</v>
      </c>
      <c r="I43" s="266">
        <f t="shared" si="7"/>
        <v>1342907.1475732808</v>
      </c>
      <c r="J43" s="266">
        <f t="shared" si="8"/>
        <v>780.12330100552299</v>
      </c>
      <c r="K43" s="266">
        <f t="shared" si="9"/>
        <v>11879.142417818337</v>
      </c>
      <c r="L43" s="266">
        <f t="shared" si="10"/>
        <v>160882.47688245002</v>
      </c>
      <c r="M43" s="266">
        <f t="shared" si="11"/>
        <v>8149114.4314204948</v>
      </c>
    </row>
    <row r="44" spans="1:13" x14ac:dyDescent="0.2">
      <c r="A44" s="2">
        <f t="shared" si="0"/>
        <v>33</v>
      </c>
      <c r="B44" s="20" t="s">
        <v>219</v>
      </c>
      <c r="C44" s="266">
        <f t="shared" si="1"/>
        <v>0</v>
      </c>
      <c r="D44" s="266">
        <f t="shared" si="2"/>
        <v>142767.90901196341</v>
      </c>
      <c r="E44" s="266">
        <f t="shared" si="3"/>
        <v>388050.42710223928</v>
      </c>
      <c r="F44" s="266">
        <f t="shared" si="4"/>
        <v>4324553.5075277528</v>
      </c>
      <c r="G44" s="266">
        <f t="shared" si="5"/>
        <v>1325648.4059040311</v>
      </c>
      <c r="H44" s="266">
        <f t="shared" si="6"/>
        <v>451347.78024628549</v>
      </c>
      <c r="I44" s="266">
        <f t="shared" si="7"/>
        <v>1343326.9996394459</v>
      </c>
      <c r="J44" s="266">
        <f t="shared" si="8"/>
        <v>780.87429624732488</v>
      </c>
      <c r="K44" s="266">
        <f t="shared" si="9"/>
        <v>11873.908880155694</v>
      </c>
      <c r="L44" s="266">
        <f t="shared" si="10"/>
        <v>161189.1898301763</v>
      </c>
      <c r="M44" s="266">
        <f t="shared" si="11"/>
        <v>8149539.0024382975</v>
      </c>
    </row>
    <row r="45" spans="1:13" x14ac:dyDescent="0.2">
      <c r="A45" s="2">
        <f t="shared" si="0"/>
        <v>34</v>
      </c>
      <c r="B45" s="20" t="s">
        <v>218</v>
      </c>
      <c r="C45" s="266">
        <f t="shared" si="1"/>
        <v>0</v>
      </c>
      <c r="D45" s="266">
        <f t="shared" si="2"/>
        <v>142747.20364613392</v>
      </c>
      <c r="E45" s="266">
        <f t="shared" si="3"/>
        <v>378904.10572366853</v>
      </c>
      <c r="F45" s="266">
        <f t="shared" si="4"/>
        <v>4351009.0917947609</v>
      </c>
      <c r="G45" s="266">
        <f t="shared" si="5"/>
        <v>1327721.3531748685</v>
      </c>
      <c r="H45" s="266">
        <f t="shared" si="6"/>
        <v>452590.51039797929</v>
      </c>
      <c r="I45" s="266">
        <f t="shared" si="7"/>
        <v>1344806.0437694078</v>
      </c>
      <c r="J45" s="266">
        <f t="shared" si="8"/>
        <v>781.57153065504201</v>
      </c>
      <c r="K45" s="266">
        <f t="shared" si="9"/>
        <v>11923.981047876963</v>
      </c>
      <c r="L45" s="266">
        <f t="shared" si="10"/>
        <v>161652.8402901763</v>
      </c>
      <c r="M45" s="266">
        <f t="shared" si="11"/>
        <v>8172136.7013755282</v>
      </c>
    </row>
    <row r="46" spans="1:13" x14ac:dyDescent="0.2">
      <c r="A46" s="2">
        <f t="shared" si="0"/>
        <v>35</v>
      </c>
      <c r="B46" s="21" t="s">
        <v>208</v>
      </c>
      <c r="C46" s="430">
        <f t="shared" si="1"/>
        <v>0</v>
      </c>
      <c r="D46" s="430">
        <f t="shared" si="2"/>
        <v>142772.22497892837</v>
      </c>
      <c r="E46" s="430">
        <f t="shared" si="3"/>
        <v>396402.44130624208</v>
      </c>
      <c r="F46" s="430">
        <f t="shared" si="4"/>
        <v>4337720.6802403806</v>
      </c>
      <c r="G46" s="430">
        <f t="shared" si="5"/>
        <v>1331053.4894534072</v>
      </c>
      <c r="H46" s="430">
        <f t="shared" si="6"/>
        <v>454732.46724831901</v>
      </c>
      <c r="I46" s="430">
        <f t="shared" si="7"/>
        <v>1346686.99678579</v>
      </c>
      <c r="J46" s="430">
        <f t="shared" si="8"/>
        <v>792.20166935353166</v>
      </c>
      <c r="K46" s="430">
        <f t="shared" si="9"/>
        <v>12148.284223914196</v>
      </c>
      <c r="L46" s="430">
        <f t="shared" si="10"/>
        <v>161517.99191057609</v>
      </c>
      <c r="M46" s="107">
        <f t="shared" si="11"/>
        <v>8183826.7778169103</v>
      </c>
    </row>
    <row r="47" spans="1:13" x14ac:dyDescent="0.2">
      <c r="A47" s="2">
        <f t="shared" si="0"/>
        <v>36</v>
      </c>
      <c r="B47" s="265" t="s">
        <v>226</v>
      </c>
      <c r="C47" s="266">
        <f>SUM(C35:C46)</f>
        <v>0</v>
      </c>
      <c r="D47" s="266">
        <f t="shared" ref="D47:L47" si="12">SUM(D35:D46)</f>
        <v>1625793.4970372061</v>
      </c>
      <c r="E47" s="266">
        <f t="shared" si="12"/>
        <v>4759349.2925324049</v>
      </c>
      <c r="F47" s="266">
        <f t="shared" si="12"/>
        <v>49563193.740983322</v>
      </c>
      <c r="G47" s="266">
        <f t="shared" si="12"/>
        <v>15201000.576874819</v>
      </c>
      <c r="H47" s="266">
        <f t="shared" si="12"/>
        <v>5243380.3354420159</v>
      </c>
      <c r="I47" s="266">
        <f t="shared" si="12"/>
        <v>15727321.675213952</v>
      </c>
      <c r="J47" s="266">
        <f t="shared" si="12"/>
        <v>8960.277224587775</v>
      </c>
      <c r="K47" s="266">
        <f t="shared" si="12"/>
        <v>140681.8604128467</v>
      </c>
      <c r="L47" s="266">
        <f t="shared" si="12"/>
        <v>1860198.2936136478</v>
      </c>
      <c r="M47" s="7"/>
    </row>
    <row r="48" spans="1:13" x14ac:dyDescent="0.2">
      <c r="A48" s="2">
        <f t="shared" si="0"/>
        <v>37</v>
      </c>
      <c r="B48" s="264"/>
      <c r="C48" s="264"/>
      <c r="D48" s="264"/>
      <c r="E48" s="264"/>
      <c r="F48" s="264"/>
      <c r="G48" s="264"/>
      <c r="H48" s="264"/>
      <c r="I48" s="264"/>
      <c r="J48" s="264"/>
      <c r="K48" s="264"/>
      <c r="L48" s="110" t="s">
        <v>1151</v>
      </c>
      <c r="M48" s="266">
        <f>SUM(M35:M46)</f>
        <v>94129879.549334794</v>
      </c>
    </row>
    <row r="49" spans="1:13" x14ac:dyDescent="0.2">
      <c r="A49" s="2">
        <f t="shared" si="0"/>
        <v>38</v>
      </c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89" t="s">
        <v>1152</v>
      </c>
      <c r="M49" s="264"/>
    </row>
    <row r="50" spans="1:13" x14ac:dyDescent="0.2">
      <c r="A50" s="2">
        <f t="shared" si="0"/>
        <v>39</v>
      </c>
      <c r="B50" s="1" t="s">
        <v>1200</v>
      </c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</row>
    <row r="51" spans="1:13" x14ac:dyDescent="0.2">
      <c r="A51" s="2">
        <f t="shared" si="0"/>
        <v>40</v>
      </c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</row>
    <row r="52" spans="1:13" x14ac:dyDescent="0.2">
      <c r="A52" s="2">
        <f t="shared" si="0"/>
        <v>41</v>
      </c>
      <c r="B52" s="264"/>
      <c r="C52" s="264"/>
      <c r="D52" s="99">
        <v>360</v>
      </c>
      <c r="E52" s="99">
        <v>361</v>
      </c>
      <c r="F52" s="99">
        <v>362</v>
      </c>
      <c r="G52" s="264"/>
      <c r="H52" s="53" t="s">
        <v>207</v>
      </c>
      <c r="I52" s="3"/>
      <c r="J52" s="264"/>
      <c r="K52" s="264"/>
      <c r="L52" s="264"/>
      <c r="M52" s="264"/>
    </row>
    <row r="53" spans="1:13" x14ac:dyDescent="0.2">
      <c r="A53" s="2">
        <f t="shared" si="0"/>
        <v>42</v>
      </c>
      <c r="B53" s="12" t="s">
        <v>1201</v>
      </c>
      <c r="C53" s="264"/>
      <c r="D53" s="266">
        <f>PlantInService!C35</f>
        <v>75876.480999774722</v>
      </c>
      <c r="E53" s="266">
        <f>PlantInService!D35</f>
        <v>683246.94527539623</v>
      </c>
      <c r="F53" s="266">
        <f>PlantInService!E35</f>
        <v>5875711.4176010117</v>
      </c>
      <c r="G53" s="264"/>
      <c r="H53" s="12" t="str">
        <f>"PlantInService WS Line "&amp;PlantInService!A35&amp;"."</f>
        <v>PlantInService WS Line 15.</v>
      </c>
      <c r="I53" s="13"/>
      <c r="J53" s="264"/>
      <c r="K53" s="264"/>
      <c r="L53" s="264"/>
      <c r="M53" s="264"/>
    </row>
    <row r="54" spans="1:13" x14ac:dyDescent="0.2">
      <c r="A54" s="2">
        <f t="shared" si="0"/>
        <v>43</v>
      </c>
      <c r="B54" s="12" t="s">
        <v>1202</v>
      </c>
      <c r="C54" s="264"/>
      <c r="D54" s="430">
        <f>PlantInService!C36</f>
        <v>78348.646627332098</v>
      </c>
      <c r="E54" s="430">
        <f>PlantInService!D36</f>
        <v>718564.57265429304</v>
      </c>
      <c r="F54" s="430">
        <f>PlantInService!E36</f>
        <v>6051836.2912730929</v>
      </c>
      <c r="G54" s="264"/>
      <c r="H54" s="12" t="str">
        <f>"PlantInService WS Line "&amp;PlantInService!A36&amp;"."</f>
        <v>PlantInService WS Line 16.</v>
      </c>
      <c r="I54" s="264"/>
      <c r="J54" s="264"/>
      <c r="K54" s="264"/>
      <c r="M54" s="264"/>
    </row>
    <row r="55" spans="1:13" x14ac:dyDescent="0.2">
      <c r="A55" s="2">
        <f t="shared" si="0"/>
        <v>44</v>
      </c>
      <c r="B55" s="12" t="s">
        <v>1203</v>
      </c>
      <c r="C55" s="264"/>
      <c r="D55" s="266">
        <f>AVERAGE(D53:D54)</f>
        <v>77112.56381355341</v>
      </c>
      <c r="E55" s="266">
        <f>AVERAGE(E53:E54)</f>
        <v>700905.75896484463</v>
      </c>
      <c r="F55" s="266">
        <f>AVERAGE(F53:F54)</f>
        <v>5963773.8544370523</v>
      </c>
      <c r="G55" s="264"/>
      <c r="H55" s="282"/>
      <c r="I55" s="13"/>
      <c r="J55" s="264"/>
      <c r="K55" s="264"/>
      <c r="M55" s="264"/>
    </row>
    <row r="56" spans="1:13" x14ac:dyDescent="0.2">
      <c r="A56" s="2">
        <f t="shared" si="0"/>
        <v>45</v>
      </c>
      <c r="J56" s="264"/>
      <c r="K56" s="264"/>
      <c r="M56" s="264"/>
    </row>
    <row r="57" spans="1:13" x14ac:dyDescent="0.2">
      <c r="A57" s="2">
        <f t="shared" si="0"/>
        <v>46</v>
      </c>
      <c r="B57" s="21" t="s">
        <v>1199</v>
      </c>
      <c r="C57" s="264"/>
      <c r="D57" s="264"/>
      <c r="E57" s="264"/>
      <c r="J57" s="274"/>
      <c r="K57" s="274"/>
      <c r="L57" s="268"/>
      <c r="M57" s="264"/>
    </row>
    <row r="58" spans="1:13" x14ac:dyDescent="0.2">
      <c r="A58" s="2">
        <f t="shared" si="0"/>
        <v>47</v>
      </c>
      <c r="B58" s="264"/>
      <c r="D58" s="99">
        <v>360</v>
      </c>
      <c r="E58" s="99">
        <v>361</v>
      </c>
      <c r="F58" s="99">
        <v>362</v>
      </c>
      <c r="J58" s="274"/>
      <c r="K58" s="274"/>
      <c r="L58" s="268"/>
      <c r="M58" s="264"/>
    </row>
    <row r="59" spans="1:13" x14ac:dyDescent="0.2">
      <c r="A59" s="2">
        <f t="shared" si="0"/>
        <v>48</v>
      </c>
      <c r="D59" s="429">
        <f>DepRates!$G20</f>
        <v>1.67E-2</v>
      </c>
      <c r="E59" s="429">
        <v>3.2000000000000001E-2</v>
      </c>
      <c r="F59" s="429">
        <v>3.1300000000000001E-2</v>
      </c>
      <c r="J59" s="274"/>
      <c r="K59" s="274"/>
      <c r="L59" s="268"/>
      <c r="M59" s="264"/>
    </row>
    <row r="60" spans="1:13" x14ac:dyDescent="0.2">
      <c r="A60" s="2">
        <f t="shared" si="0"/>
        <v>49</v>
      </c>
      <c r="J60" s="274"/>
      <c r="K60" s="274"/>
      <c r="L60" s="133"/>
      <c r="M60" s="264"/>
    </row>
    <row r="61" spans="1:13" x14ac:dyDescent="0.2">
      <c r="A61" s="2">
        <f t="shared" si="0"/>
        <v>50</v>
      </c>
      <c r="B61" t="s">
        <v>420</v>
      </c>
      <c r="F61" s="12" t="s">
        <v>246</v>
      </c>
      <c r="J61" s="274"/>
      <c r="K61" s="274"/>
      <c r="L61" s="275"/>
      <c r="M61" s="264"/>
    </row>
    <row r="62" spans="1:13" x14ac:dyDescent="0.2">
      <c r="A62" s="2">
        <f t="shared" si="0"/>
        <v>51</v>
      </c>
      <c r="J62" s="274"/>
      <c r="K62" s="274"/>
      <c r="L62" s="275"/>
      <c r="M62" s="264"/>
    </row>
    <row r="63" spans="1:13" x14ac:dyDescent="0.2">
      <c r="A63" s="2">
        <f t="shared" si="0"/>
        <v>52</v>
      </c>
      <c r="D63" s="99">
        <v>360</v>
      </c>
      <c r="E63" s="99">
        <v>361</v>
      </c>
      <c r="F63" s="99">
        <v>362</v>
      </c>
      <c r="G63" s="431" t="s">
        <v>225</v>
      </c>
      <c r="J63" s="274"/>
      <c r="K63" s="274"/>
      <c r="L63" s="275"/>
      <c r="M63" s="264"/>
    </row>
    <row r="64" spans="1:13" x14ac:dyDescent="0.2">
      <c r="A64" s="2">
        <f t="shared" si="0"/>
        <v>53</v>
      </c>
      <c r="D64" s="80">
        <f xml:space="preserve"> D55*D59</f>
        <v>1287.7798156863419</v>
      </c>
      <c r="E64" s="80">
        <f xml:space="preserve"> E55*E59</f>
        <v>22428.984286875027</v>
      </c>
      <c r="F64" s="80">
        <f xml:space="preserve"> F55*F59</f>
        <v>186666.12164387974</v>
      </c>
      <c r="G64" s="7">
        <f>SUM(D64:F64)</f>
        <v>210382.88574644111</v>
      </c>
      <c r="H64" s="16" t="s">
        <v>1204</v>
      </c>
      <c r="J64" s="274"/>
      <c r="K64" s="274"/>
      <c r="L64" s="268"/>
      <c r="M64" s="264"/>
    </row>
    <row r="65" spans="1:13" x14ac:dyDescent="0.2">
      <c r="A65" s="2">
        <f t="shared" si="0"/>
        <v>54</v>
      </c>
      <c r="H65" s="16" t="s">
        <v>1205</v>
      </c>
      <c r="J65" s="274"/>
      <c r="K65" s="274"/>
      <c r="L65" s="274"/>
      <c r="M65" s="264"/>
    </row>
    <row r="66" spans="1:13" x14ac:dyDescent="0.2">
      <c r="A66" s="2">
        <f t="shared" si="0"/>
        <v>55</v>
      </c>
      <c r="J66" s="274"/>
      <c r="K66" s="274"/>
      <c r="L66" s="274"/>
      <c r="M66" s="264"/>
    </row>
    <row r="67" spans="1:13" x14ac:dyDescent="0.2">
      <c r="A67" s="2">
        <f t="shared" si="0"/>
        <v>56</v>
      </c>
      <c r="B67" s="1" t="s">
        <v>1206</v>
      </c>
      <c r="J67" s="274"/>
      <c r="K67" s="274"/>
      <c r="L67" s="274"/>
      <c r="M67" s="264"/>
    </row>
    <row r="68" spans="1:13" x14ac:dyDescent="0.2">
      <c r="A68" s="2">
        <f t="shared" si="0"/>
        <v>57</v>
      </c>
      <c r="B68" s="264"/>
      <c r="C68" s="264"/>
      <c r="D68" s="264"/>
      <c r="E68" s="264"/>
      <c r="F68" s="264"/>
      <c r="G68" s="264"/>
      <c r="H68" s="264"/>
      <c r="I68" s="264"/>
      <c r="J68" s="264"/>
      <c r="K68" s="264"/>
      <c r="L68" s="264"/>
      <c r="M68" s="264"/>
    </row>
    <row r="69" spans="1:13" x14ac:dyDescent="0.2">
      <c r="A69" s="2">
        <f t="shared" si="0"/>
        <v>58</v>
      </c>
      <c r="B69" s="52" t="s">
        <v>1153</v>
      </c>
      <c r="C69" s="264"/>
      <c r="D69" s="264"/>
      <c r="E69" s="264"/>
      <c r="F69" s="264"/>
      <c r="G69" s="264"/>
      <c r="H69" s="432">
        <v>165094559</v>
      </c>
      <c r="I69" s="13" t="s">
        <v>1155</v>
      </c>
      <c r="J69" s="264"/>
      <c r="K69" s="264"/>
      <c r="L69" s="264"/>
      <c r="M69" s="264"/>
    </row>
    <row r="70" spans="1:13" x14ac:dyDescent="0.2">
      <c r="A70" s="2">
        <f t="shared" si="0"/>
        <v>59</v>
      </c>
      <c r="B70" s="12" t="s">
        <v>1154</v>
      </c>
      <c r="C70" s="264"/>
      <c r="D70" s="264"/>
      <c r="E70" s="264"/>
      <c r="F70" s="264"/>
      <c r="G70" s="264"/>
      <c r="H70" s="118">
        <v>222377352</v>
      </c>
      <c r="I70" s="13" t="s">
        <v>1156</v>
      </c>
      <c r="J70" s="264"/>
      <c r="K70" s="264"/>
      <c r="L70" s="264"/>
      <c r="M70" s="264"/>
    </row>
    <row r="71" spans="1:13" x14ac:dyDescent="0.2">
      <c r="A71" s="2">
        <f t="shared" si="0"/>
        <v>60</v>
      </c>
      <c r="B71" s="52" t="s">
        <v>1157</v>
      </c>
      <c r="C71" s="264"/>
      <c r="D71" s="264"/>
      <c r="E71" s="264"/>
      <c r="F71" s="264"/>
      <c r="G71" s="264"/>
      <c r="H71" s="433">
        <f>SUM(H69:H70)</f>
        <v>387471911</v>
      </c>
      <c r="I71" s="13" t="str">
        <f>"Line "&amp;A69&amp;" + Line "&amp;A70&amp;""</f>
        <v>Line 58 + Line 59</v>
      </c>
      <c r="J71" s="264"/>
      <c r="K71" s="264"/>
      <c r="L71" s="264"/>
      <c r="M71" s="264"/>
    </row>
    <row r="72" spans="1:13" x14ac:dyDescent="0.2">
      <c r="A72" s="2">
        <f t="shared" si="0"/>
        <v>61</v>
      </c>
      <c r="B72" s="52" t="s">
        <v>111</v>
      </c>
      <c r="C72" s="264"/>
      <c r="D72" s="264"/>
      <c r="E72" s="264"/>
      <c r="F72" s="264"/>
      <c r="G72" s="264"/>
      <c r="H72" s="486">
        <f>Allocators!G15</f>
        <v>3.9310790220978262E-2</v>
      </c>
      <c r="I72" s="16" t="str">
        <f>"Allocators WS, Line "&amp;Allocators!A15&amp;""</f>
        <v>Allocators WS, Line 9</v>
      </c>
      <c r="J72" s="264"/>
      <c r="K72" s="264"/>
      <c r="L72" s="264"/>
      <c r="M72" s="264"/>
    </row>
    <row r="73" spans="1:13" x14ac:dyDescent="0.2">
      <c r="A73" s="2">
        <f t="shared" si="0"/>
        <v>62</v>
      </c>
      <c r="B73" s="52" t="s">
        <v>1158</v>
      </c>
      <c r="C73" s="264"/>
      <c r="D73" s="264"/>
      <c r="E73" s="264"/>
      <c r="F73" s="264"/>
      <c r="G73" s="264"/>
      <c r="H73" s="266">
        <f>H71*H72</f>
        <v>15231827.00984256</v>
      </c>
      <c r="I73" s="13" t="str">
        <f>"Line "&amp;A71&amp;" * Line "&amp;A72&amp;""</f>
        <v>Line 60 * Line 61</v>
      </c>
      <c r="J73" s="264"/>
      <c r="K73" s="264"/>
      <c r="L73" s="264"/>
      <c r="M73" s="264"/>
    </row>
    <row r="74" spans="1:13" x14ac:dyDescent="0.2">
      <c r="A74" s="2">
        <f t="shared" si="0"/>
        <v>63</v>
      </c>
      <c r="B74" s="52"/>
      <c r="C74" s="12"/>
      <c r="D74" s="264"/>
      <c r="E74" s="264"/>
      <c r="F74" s="264"/>
      <c r="G74" s="264"/>
      <c r="H74" s="264"/>
      <c r="I74" s="264"/>
      <c r="J74" s="264"/>
      <c r="K74" s="264"/>
      <c r="L74" s="264"/>
      <c r="M74" s="264"/>
    </row>
    <row r="75" spans="1:13" x14ac:dyDescent="0.2">
      <c r="A75" s="2">
        <f t="shared" si="0"/>
        <v>64</v>
      </c>
      <c r="B75" s="98" t="s">
        <v>2147</v>
      </c>
      <c r="C75" s="264"/>
      <c r="D75" s="264"/>
      <c r="E75" s="264"/>
      <c r="F75" s="264"/>
      <c r="G75" s="264"/>
      <c r="H75" s="264"/>
      <c r="I75" s="264"/>
      <c r="J75" s="264"/>
      <c r="K75" s="264"/>
      <c r="L75" s="264"/>
      <c r="M75" s="264"/>
    </row>
    <row r="76" spans="1:13" x14ac:dyDescent="0.2">
      <c r="A76" s="2">
        <f t="shared" si="0"/>
        <v>65</v>
      </c>
      <c r="B76" s="52"/>
      <c r="C76" s="12"/>
      <c r="D76" s="264"/>
      <c r="E76" s="264"/>
      <c r="F76" s="264"/>
      <c r="G76" s="264"/>
      <c r="H76" s="264"/>
      <c r="I76" s="264"/>
      <c r="J76" s="264"/>
      <c r="K76" s="264"/>
      <c r="L76" s="264"/>
      <c r="M76" s="264"/>
    </row>
    <row r="77" spans="1:13" x14ac:dyDescent="0.2">
      <c r="A77" s="2">
        <f t="shared" si="0"/>
        <v>66</v>
      </c>
      <c r="B77" s="810" t="s">
        <v>2146</v>
      </c>
      <c r="C77" s="264"/>
      <c r="D77" s="264"/>
      <c r="E77" s="264"/>
      <c r="F77" s="3" t="s">
        <v>203</v>
      </c>
      <c r="G77" s="3" t="s">
        <v>207</v>
      </c>
      <c r="H77" s="264"/>
      <c r="I77" s="264"/>
    </row>
    <row r="78" spans="1:13" x14ac:dyDescent="0.2">
      <c r="A78" s="2">
        <f>A77+1</f>
        <v>67</v>
      </c>
      <c r="B78" s="13" t="s">
        <v>1144</v>
      </c>
      <c r="C78" s="264"/>
      <c r="D78" s="264"/>
      <c r="E78" s="264"/>
      <c r="F78" s="282">
        <f>M48</f>
        <v>94129879.549334794</v>
      </c>
      <c r="G78" s="13" t="str">
        <f>"Line "&amp;A48&amp;", Col 12"</f>
        <v>Line 37, Col 12</v>
      </c>
      <c r="H78" s="264"/>
      <c r="I78" s="264"/>
    </row>
    <row r="79" spans="1:13" x14ac:dyDescent="0.2">
      <c r="A79" s="2">
        <f>A78+1</f>
        <v>68</v>
      </c>
      <c r="B79" s="13" t="s">
        <v>1160</v>
      </c>
      <c r="C79" s="264"/>
      <c r="D79" s="264"/>
      <c r="E79" s="264"/>
      <c r="F79" s="266">
        <f>G64</f>
        <v>210382.88574644111</v>
      </c>
      <c r="G79" s="13" t="str">
        <f>"Line "&amp;A64&amp;""</f>
        <v>Line 53</v>
      </c>
      <c r="H79" s="264"/>
      <c r="I79" s="264"/>
    </row>
    <row r="80" spans="1:13" x14ac:dyDescent="0.2">
      <c r="A80" s="2">
        <f>A79+1</f>
        <v>69</v>
      </c>
      <c r="B80" s="13" t="s">
        <v>1159</v>
      </c>
      <c r="C80" s="264"/>
      <c r="D80" s="264"/>
      <c r="E80" s="264"/>
      <c r="F80" s="107">
        <f>H73</f>
        <v>15231827.00984256</v>
      </c>
      <c r="G80" s="13" t="str">
        <f>"Line "&amp;A73&amp;""</f>
        <v>Line 62</v>
      </c>
      <c r="H80" s="264"/>
      <c r="I80" s="264"/>
    </row>
    <row r="81" spans="1:9" x14ac:dyDescent="0.2">
      <c r="A81" s="2">
        <f>A80+1</f>
        <v>70</v>
      </c>
      <c r="B81" s="264"/>
      <c r="C81" s="264"/>
      <c r="D81" s="264"/>
      <c r="E81" s="265" t="s">
        <v>1207</v>
      </c>
      <c r="F81" s="282">
        <f>SUM(F78:F80)</f>
        <v>109572089.44492379</v>
      </c>
      <c r="G81" s="13" t="str">
        <f>"Line "&amp;A78&amp;" + Line "&amp;A79&amp;" + Line "&amp;A80&amp;""</f>
        <v>Line 67 + Line 68 + Line 69</v>
      </c>
      <c r="H81" s="264"/>
      <c r="I81" s="264"/>
    </row>
    <row r="82" spans="1:9" x14ac:dyDescent="0.2">
      <c r="A82" s="264"/>
      <c r="B82" s="264"/>
      <c r="C82" s="264"/>
      <c r="D82" s="264"/>
      <c r="E82" s="264"/>
      <c r="F82" s="264"/>
      <c r="G82" s="264"/>
      <c r="H82" s="264"/>
      <c r="I82" s="264"/>
    </row>
    <row r="83" spans="1:9" x14ac:dyDescent="0.2">
      <c r="A83" s="264"/>
      <c r="B83" s="1" t="s">
        <v>269</v>
      </c>
      <c r="C83" s="264"/>
      <c r="D83" s="264"/>
      <c r="E83" s="264"/>
      <c r="F83" s="264"/>
      <c r="G83" s="264"/>
      <c r="H83" s="264"/>
      <c r="I83" s="264"/>
    </row>
    <row r="84" spans="1:9" x14ac:dyDescent="0.2">
      <c r="A84" s="264"/>
      <c r="B84" s="12" t="s">
        <v>1782</v>
      </c>
      <c r="C84" s="264"/>
      <c r="D84" s="264"/>
      <c r="E84" s="264"/>
      <c r="F84" s="264"/>
      <c r="G84" s="264"/>
      <c r="H84" s="264"/>
      <c r="I84" s="264"/>
    </row>
    <row r="85" spans="1:9" x14ac:dyDescent="0.2">
      <c r="A85" s="264"/>
      <c r="B85" s="683" t="str">
        <f>"same account, times the Monthly Depreciation Rate for that account.  Monthly rate = annual rate on Line "&amp;A28&amp;" / 12."</f>
        <v>same account, times the Monthly Depreciation Rate for that account.  Monthly rate = annual rate on Line 17 / 12.</v>
      </c>
      <c r="C85" s="264"/>
      <c r="D85" s="264"/>
      <c r="E85" s="264"/>
      <c r="F85" s="264"/>
      <c r="G85" s="264"/>
      <c r="H85" s="264"/>
      <c r="I85" s="264"/>
    </row>
    <row r="86" spans="1:9" x14ac:dyDescent="0.2">
      <c r="A86" s="264"/>
      <c r="B86" s="12" t="str">
        <f>"2) Depreciation Expense for each account is equal to the Average BOY/EOY value on Line "&amp;A55&amp;" times the"</f>
        <v>2) Depreciation Expense for each account is equal to the Average BOY/EOY value on Line 44 times the</v>
      </c>
      <c r="C86" s="264"/>
      <c r="D86" s="264"/>
      <c r="E86" s="264"/>
      <c r="F86" s="264"/>
      <c r="G86" s="264"/>
      <c r="H86" s="264"/>
      <c r="I86" s="264"/>
    </row>
    <row r="87" spans="1:9" x14ac:dyDescent="0.2">
      <c r="B87" s="12" t="str">
        <f>"Depreciation Rate on Line "&amp;A59&amp;"."</f>
        <v>Depreciation Rate on Line 48.</v>
      </c>
    </row>
  </sheetData>
  <pageMargins left="0.7" right="0.7" top="0.75" bottom="0.75" header="0.3" footer="0.3"/>
  <pageSetup scale="70" orientation="landscape" r:id="rId1"/>
  <headerFooter>
    <oddHeader>&amp;CSchedule 17
Depreciation Expense&amp;RDkt. No. ER11-3697
2014 Draft Informational Filing</oddHeader>
    <oddFooter>&amp;RDepreciation</oddFooter>
  </headerFooter>
  <rowBreaks count="1" manualBreakCount="1">
    <brk id="4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G1" sqref="G1"/>
    </sheetView>
  </sheetViews>
  <sheetFormatPr defaultRowHeight="12.75" x14ac:dyDescent="0.2"/>
  <cols>
    <col min="1" max="1" width="4.7109375" customWidth="1"/>
    <col min="4" max="4" width="38.7109375" customWidth="1"/>
  </cols>
  <sheetData>
    <row r="1" spans="1:7" ht="15" x14ac:dyDescent="0.25">
      <c r="A1" s="434" t="s">
        <v>1208</v>
      </c>
    </row>
    <row r="3" spans="1:7" ht="15" x14ac:dyDescent="0.25">
      <c r="B3" s="434" t="s">
        <v>370</v>
      </c>
      <c r="E3" s="277" t="s">
        <v>439</v>
      </c>
      <c r="F3" s="277"/>
      <c r="G3" s="277"/>
    </row>
    <row r="4" spans="1:7" ht="15" x14ac:dyDescent="0.25">
      <c r="C4" s="277" t="s">
        <v>12</v>
      </c>
      <c r="E4" s="277" t="s">
        <v>1209</v>
      </c>
      <c r="F4" s="4" t="s">
        <v>1210</v>
      </c>
      <c r="G4" s="4"/>
    </row>
    <row r="5" spans="1:7" ht="15" x14ac:dyDescent="0.25">
      <c r="A5" s="53" t="s">
        <v>380</v>
      </c>
      <c r="C5" s="279" t="s">
        <v>117</v>
      </c>
      <c r="D5" s="279" t="s">
        <v>118</v>
      </c>
      <c r="E5" s="279" t="s">
        <v>1211</v>
      </c>
      <c r="F5" s="279" t="s">
        <v>1212</v>
      </c>
      <c r="G5" s="279" t="s">
        <v>225</v>
      </c>
    </row>
    <row r="6" spans="1:7" ht="15" customHeight="1" x14ac:dyDescent="0.25">
      <c r="A6" s="2">
        <v>1</v>
      </c>
      <c r="C6" s="289">
        <v>350.1</v>
      </c>
      <c r="D6" s="435" t="s">
        <v>1213</v>
      </c>
      <c r="E6" s="43">
        <v>0</v>
      </c>
      <c r="F6" s="43">
        <v>0</v>
      </c>
      <c r="G6" s="43">
        <v>0</v>
      </c>
    </row>
    <row r="7" spans="1:7" ht="15" customHeight="1" x14ac:dyDescent="0.25">
      <c r="A7" s="2">
        <f>A6+1</f>
        <v>2</v>
      </c>
      <c r="C7" s="289">
        <v>350.2</v>
      </c>
      <c r="D7" s="435" t="s">
        <v>1214</v>
      </c>
      <c r="E7" s="43">
        <v>1.66E-2</v>
      </c>
      <c r="F7" s="43">
        <v>0</v>
      </c>
      <c r="G7" s="43">
        <v>1.66E-2</v>
      </c>
    </row>
    <row r="8" spans="1:7" x14ac:dyDescent="0.2">
      <c r="A8" s="2">
        <f t="shared" ref="A8:A16" si="0">A7+1</f>
        <v>3</v>
      </c>
      <c r="C8" s="289">
        <v>352</v>
      </c>
      <c r="D8" s="16" t="s">
        <v>1215</v>
      </c>
      <c r="E8" s="43">
        <v>1.84E-2</v>
      </c>
      <c r="F8" s="43">
        <v>7.3000000000000001E-3</v>
      </c>
      <c r="G8" s="43">
        <v>2.5700000000000001E-2</v>
      </c>
    </row>
    <row r="9" spans="1:7" x14ac:dyDescent="0.2">
      <c r="A9" s="2">
        <f t="shared" si="0"/>
        <v>4</v>
      </c>
      <c r="C9" s="289">
        <v>353</v>
      </c>
      <c r="D9" s="16" t="s">
        <v>1216</v>
      </c>
      <c r="E9" s="43">
        <v>2.4899999999999999E-2</v>
      </c>
      <c r="F9" s="43">
        <v>1.2999999999999999E-3</v>
      </c>
      <c r="G9" s="43">
        <v>2.6200000000000001E-2</v>
      </c>
    </row>
    <row r="10" spans="1:7" x14ac:dyDescent="0.2">
      <c r="A10" s="2">
        <f t="shared" si="0"/>
        <v>5</v>
      </c>
      <c r="C10" s="289">
        <v>354</v>
      </c>
      <c r="D10" s="16" t="s">
        <v>1462</v>
      </c>
      <c r="E10" s="43">
        <v>1.23E-2</v>
      </c>
      <c r="F10" s="43">
        <v>1.2999999999999999E-2</v>
      </c>
      <c r="G10" s="43">
        <v>2.53E-2</v>
      </c>
    </row>
    <row r="11" spans="1:7" x14ac:dyDescent="0.2">
      <c r="A11" s="2">
        <f t="shared" si="0"/>
        <v>6</v>
      </c>
      <c r="C11" s="289">
        <v>355</v>
      </c>
      <c r="D11" s="16" t="s">
        <v>1217</v>
      </c>
      <c r="E11" s="43">
        <v>1.6400000000000001E-2</v>
      </c>
      <c r="F11" s="43">
        <v>2.18E-2</v>
      </c>
      <c r="G11" s="43">
        <v>3.8199999999999998E-2</v>
      </c>
    </row>
    <row r="12" spans="1:7" x14ac:dyDescent="0.2">
      <c r="A12" s="2">
        <f t="shared" si="0"/>
        <v>7</v>
      </c>
      <c r="C12" s="289">
        <v>356</v>
      </c>
      <c r="D12" s="16" t="s">
        <v>1218</v>
      </c>
      <c r="E12" s="43">
        <v>1.0699999999999999E-2</v>
      </c>
      <c r="F12" s="43">
        <v>2.4299999999999999E-2</v>
      </c>
      <c r="G12" s="43">
        <v>3.5000000000000003E-2</v>
      </c>
    </row>
    <row r="13" spans="1:7" x14ac:dyDescent="0.2">
      <c r="A13" s="2">
        <f t="shared" si="0"/>
        <v>8</v>
      </c>
      <c r="C13" s="289">
        <v>357</v>
      </c>
      <c r="D13" s="16" t="s">
        <v>1219</v>
      </c>
      <c r="E13" s="43">
        <v>1.6500000000000001E-2</v>
      </c>
      <c r="F13" s="43">
        <v>0</v>
      </c>
      <c r="G13" s="43">
        <v>1.6500000000000001E-2</v>
      </c>
    </row>
    <row r="14" spans="1:7" x14ac:dyDescent="0.2">
      <c r="A14" s="2">
        <f t="shared" si="0"/>
        <v>9</v>
      </c>
      <c r="C14" s="289">
        <v>358</v>
      </c>
      <c r="D14" s="16" t="s">
        <v>1220</v>
      </c>
      <c r="E14" s="43">
        <v>2.6800000000000001E-2</v>
      </c>
      <c r="F14" s="43">
        <v>1.1900000000000001E-2</v>
      </c>
      <c r="G14" s="43">
        <v>3.8699999999999998E-2</v>
      </c>
    </row>
    <row r="15" spans="1:7" x14ac:dyDescent="0.2">
      <c r="A15" s="2">
        <f t="shared" si="0"/>
        <v>10</v>
      </c>
      <c r="C15" s="289">
        <v>359</v>
      </c>
      <c r="D15" s="16" t="s">
        <v>1221</v>
      </c>
      <c r="E15" s="43">
        <v>1.5599999999999999E-2</v>
      </c>
      <c r="F15" s="43">
        <v>0</v>
      </c>
      <c r="G15" s="43">
        <v>1.5599999999999999E-2</v>
      </c>
    </row>
    <row r="16" spans="1:7" x14ac:dyDescent="0.2">
      <c r="A16" s="2">
        <f t="shared" si="0"/>
        <v>11</v>
      </c>
    </row>
    <row r="17" spans="1:7" ht="15" x14ac:dyDescent="0.25">
      <c r="B17" s="434" t="s">
        <v>371</v>
      </c>
      <c r="E17" s="277" t="s">
        <v>439</v>
      </c>
      <c r="F17" s="277"/>
      <c r="G17" s="277"/>
    </row>
    <row r="18" spans="1:7" ht="15" x14ac:dyDescent="0.25">
      <c r="C18" s="277" t="s">
        <v>12</v>
      </c>
      <c r="E18" s="277" t="s">
        <v>1209</v>
      </c>
      <c r="F18" s="4" t="s">
        <v>1210</v>
      </c>
      <c r="G18" s="4"/>
    </row>
    <row r="19" spans="1:7" ht="15" x14ac:dyDescent="0.25">
      <c r="C19" s="279" t="s">
        <v>117</v>
      </c>
      <c r="D19" s="279" t="s">
        <v>118</v>
      </c>
      <c r="E19" s="279" t="s">
        <v>1211</v>
      </c>
      <c r="F19" s="279" t="s">
        <v>1212</v>
      </c>
      <c r="G19" s="279" t="s">
        <v>225</v>
      </c>
    </row>
    <row r="20" spans="1:7" ht="15" x14ac:dyDescent="0.25">
      <c r="A20" s="2">
        <f>A16+1</f>
        <v>12</v>
      </c>
      <c r="C20">
        <v>360</v>
      </c>
      <c r="D20" s="16" t="s">
        <v>1222</v>
      </c>
      <c r="E20" s="436">
        <v>1.67E-2</v>
      </c>
      <c r="F20" s="436">
        <v>0</v>
      </c>
      <c r="G20" s="436">
        <v>1.67E-2</v>
      </c>
    </row>
    <row r="21" spans="1:7" ht="15" x14ac:dyDescent="0.25">
      <c r="A21" s="2">
        <f>A20+1</f>
        <v>13</v>
      </c>
      <c r="C21">
        <v>361</v>
      </c>
      <c r="D21" s="16" t="s">
        <v>1215</v>
      </c>
      <c r="E21" s="436">
        <v>2.4299999999999999E-2</v>
      </c>
      <c r="F21" s="436">
        <v>7.7000000000000002E-3</v>
      </c>
      <c r="G21" s="436">
        <v>3.2000000000000001E-2</v>
      </c>
    </row>
    <row r="22" spans="1:7" ht="15" x14ac:dyDescent="0.25">
      <c r="A22" s="2">
        <f>A21+1</f>
        <v>14</v>
      </c>
      <c r="C22">
        <v>362</v>
      </c>
      <c r="D22" s="16" t="s">
        <v>1216</v>
      </c>
      <c r="E22" s="436">
        <v>2.29E-2</v>
      </c>
      <c r="F22" s="436">
        <v>8.3999999999999995E-3</v>
      </c>
      <c r="G22" s="436">
        <v>3.1300000000000001E-2</v>
      </c>
    </row>
    <row r="24" spans="1:7" ht="15" x14ac:dyDescent="0.25">
      <c r="B24" s="434" t="s">
        <v>1223</v>
      </c>
      <c r="E24" s="277" t="s">
        <v>439</v>
      </c>
    </row>
    <row r="25" spans="1:7" ht="15" x14ac:dyDescent="0.25">
      <c r="C25" s="277" t="s">
        <v>12</v>
      </c>
      <c r="E25" s="277" t="s">
        <v>1209</v>
      </c>
      <c r="F25" s="4" t="s">
        <v>1210</v>
      </c>
      <c r="G25" s="4"/>
    </row>
    <row r="26" spans="1:7" ht="15" x14ac:dyDescent="0.25">
      <c r="C26" s="279" t="s">
        <v>117</v>
      </c>
      <c r="D26" s="279" t="s">
        <v>118</v>
      </c>
      <c r="E26" s="279" t="s">
        <v>1211</v>
      </c>
      <c r="F26" s="279" t="s">
        <v>1212</v>
      </c>
      <c r="G26" s="279" t="s">
        <v>225</v>
      </c>
    </row>
    <row r="27" spans="1:7" ht="15" x14ac:dyDescent="0.25">
      <c r="A27" s="2">
        <f>A22+1</f>
        <v>15</v>
      </c>
      <c r="C27" s="437">
        <v>389</v>
      </c>
      <c r="D27" s="435" t="s">
        <v>1222</v>
      </c>
      <c r="E27" s="436">
        <v>1.67E-2</v>
      </c>
      <c r="F27" s="436">
        <v>0</v>
      </c>
      <c r="G27" s="436">
        <v>1.67E-2</v>
      </c>
    </row>
    <row r="28" spans="1:7" ht="15" x14ac:dyDescent="0.25">
      <c r="A28" s="2">
        <f t="shared" ref="A28:A51" si="1">A27+1</f>
        <v>16</v>
      </c>
      <c r="C28" s="437">
        <v>390</v>
      </c>
      <c r="D28" s="435" t="s">
        <v>1215</v>
      </c>
      <c r="E28" s="436">
        <v>1.6899999999999998E-2</v>
      </c>
      <c r="F28" s="436">
        <v>1.1000000000000001E-3</v>
      </c>
      <c r="G28" s="436">
        <v>1.7999999999999999E-2</v>
      </c>
    </row>
    <row r="29" spans="1:7" ht="15" x14ac:dyDescent="0.25">
      <c r="A29" s="2">
        <f t="shared" si="1"/>
        <v>17</v>
      </c>
      <c r="C29" s="437">
        <v>391.1</v>
      </c>
      <c r="D29" s="436" t="s">
        <v>1224</v>
      </c>
      <c r="E29" s="43">
        <f>G29-F29</f>
        <v>0.05</v>
      </c>
      <c r="F29" s="436">
        <v>0</v>
      </c>
      <c r="G29" s="436">
        <v>0.05</v>
      </c>
    </row>
    <row r="30" spans="1:7" ht="15" x14ac:dyDescent="0.25">
      <c r="A30" s="2">
        <f t="shared" si="1"/>
        <v>18</v>
      </c>
      <c r="C30" s="437">
        <v>391.5</v>
      </c>
      <c r="D30" s="436" t="s">
        <v>2014</v>
      </c>
      <c r="E30" s="43">
        <f t="shared" ref="E30:E51" si="2">G30-F30</f>
        <v>0.2</v>
      </c>
      <c r="F30" s="436">
        <v>0</v>
      </c>
      <c r="G30" s="436">
        <v>0.2</v>
      </c>
    </row>
    <row r="31" spans="1:7" ht="15" x14ac:dyDescent="0.25">
      <c r="A31" s="2">
        <f t="shared" si="1"/>
        <v>19</v>
      </c>
      <c r="C31" s="437">
        <v>391.6</v>
      </c>
      <c r="D31" s="436" t="s">
        <v>2015</v>
      </c>
      <c r="E31" s="43">
        <f t="shared" si="2"/>
        <v>0.2</v>
      </c>
      <c r="F31" s="436">
        <v>0</v>
      </c>
      <c r="G31" s="436">
        <v>0.2</v>
      </c>
    </row>
    <row r="32" spans="1:7" ht="15" x14ac:dyDescent="0.25">
      <c r="A32" s="2">
        <f t="shared" si="1"/>
        <v>20</v>
      </c>
      <c r="C32" s="437">
        <v>391.2</v>
      </c>
      <c r="D32" s="436" t="s">
        <v>2016</v>
      </c>
      <c r="E32" s="43">
        <f t="shared" si="2"/>
        <v>0.2</v>
      </c>
      <c r="F32" s="436">
        <v>0</v>
      </c>
      <c r="G32" s="436">
        <v>0.2</v>
      </c>
    </row>
    <row r="33" spans="1:11" ht="15" x14ac:dyDescent="0.25">
      <c r="A33" s="2">
        <f t="shared" si="1"/>
        <v>21</v>
      </c>
      <c r="C33" s="437">
        <v>391.3</v>
      </c>
      <c r="D33" s="436" t="s">
        <v>2017</v>
      </c>
      <c r="E33" s="43">
        <f t="shared" si="2"/>
        <v>0.2</v>
      </c>
      <c r="F33" s="436">
        <v>0</v>
      </c>
      <c r="G33" s="436">
        <v>0.2</v>
      </c>
    </row>
    <row r="34" spans="1:11" ht="15" x14ac:dyDescent="0.25">
      <c r="A34" s="2">
        <f t="shared" si="1"/>
        <v>22</v>
      </c>
      <c r="C34" s="438">
        <v>391.7</v>
      </c>
      <c r="D34" s="436" t="s">
        <v>2018</v>
      </c>
      <c r="E34" s="43">
        <f t="shared" si="2"/>
        <v>0.2</v>
      </c>
      <c r="F34" s="436">
        <v>0</v>
      </c>
      <c r="G34" s="436">
        <v>0.2</v>
      </c>
    </row>
    <row r="35" spans="1:11" ht="15" x14ac:dyDescent="0.25">
      <c r="A35" s="804">
        <f t="shared" si="1"/>
        <v>23</v>
      </c>
      <c r="C35" s="438">
        <v>391.4</v>
      </c>
      <c r="D35" s="436" t="s">
        <v>2019</v>
      </c>
      <c r="E35" s="43">
        <f t="shared" si="2"/>
        <v>0.1429</v>
      </c>
      <c r="F35" s="436">
        <v>0</v>
      </c>
      <c r="G35" s="436">
        <v>0.1429</v>
      </c>
    </row>
    <row r="36" spans="1:11" ht="15" x14ac:dyDescent="0.25">
      <c r="A36" s="804">
        <f t="shared" si="1"/>
        <v>24</v>
      </c>
      <c r="C36" s="437">
        <v>391.4</v>
      </c>
      <c r="D36" s="436" t="s">
        <v>2020</v>
      </c>
      <c r="E36" s="43">
        <f t="shared" si="2"/>
        <v>0.1</v>
      </c>
      <c r="F36" s="436">
        <v>0</v>
      </c>
      <c r="G36" s="436">
        <v>0.1</v>
      </c>
    </row>
    <row r="37" spans="1:11" ht="15" x14ac:dyDescent="0.25">
      <c r="A37" s="804">
        <f t="shared" si="1"/>
        <v>25</v>
      </c>
      <c r="C37" s="438">
        <v>391.4</v>
      </c>
      <c r="D37" s="436" t="s">
        <v>2021</v>
      </c>
      <c r="E37" s="43">
        <f t="shared" si="2"/>
        <v>6.6699999999999995E-2</v>
      </c>
      <c r="F37" s="436">
        <v>0</v>
      </c>
      <c r="G37" s="436">
        <v>6.6699999999999995E-2</v>
      </c>
    </row>
    <row r="38" spans="1:11" ht="15" x14ac:dyDescent="0.25">
      <c r="A38" s="804">
        <f t="shared" si="1"/>
        <v>26</v>
      </c>
      <c r="C38" s="438">
        <v>391.4</v>
      </c>
      <c r="D38" s="436" t="s">
        <v>2022</v>
      </c>
      <c r="E38" s="43">
        <f t="shared" si="2"/>
        <v>0.05</v>
      </c>
      <c r="F38" s="436">
        <v>0</v>
      </c>
      <c r="G38" s="436">
        <v>0.05</v>
      </c>
    </row>
    <row r="39" spans="1:11" ht="15" x14ac:dyDescent="0.25">
      <c r="A39" s="804">
        <f t="shared" si="1"/>
        <v>27</v>
      </c>
      <c r="C39" s="438">
        <v>391.4</v>
      </c>
      <c r="D39" s="436" t="s">
        <v>2023</v>
      </c>
      <c r="E39" s="43">
        <f t="shared" si="2"/>
        <v>0.04</v>
      </c>
      <c r="F39" s="436">
        <v>0</v>
      </c>
      <c r="G39" s="436">
        <v>0.04</v>
      </c>
      <c r="I39" s="436"/>
      <c r="J39" s="436"/>
      <c r="K39" s="436"/>
    </row>
    <row r="40" spans="1:11" ht="15" x14ac:dyDescent="0.25">
      <c r="A40" s="804">
        <f t="shared" si="1"/>
        <v>28</v>
      </c>
      <c r="C40" s="438">
        <v>393</v>
      </c>
      <c r="D40" t="s">
        <v>2024</v>
      </c>
      <c r="E40" s="43">
        <f t="shared" si="2"/>
        <v>0.05</v>
      </c>
      <c r="F40" s="436">
        <v>0</v>
      </c>
      <c r="G40" s="436">
        <v>0.05</v>
      </c>
      <c r="I40" s="436"/>
      <c r="J40" s="436"/>
      <c r="K40" s="436"/>
    </row>
    <row r="41" spans="1:11" ht="15" x14ac:dyDescent="0.25">
      <c r="A41" s="804">
        <f t="shared" si="1"/>
        <v>29</v>
      </c>
      <c r="C41" s="438">
        <v>395</v>
      </c>
      <c r="D41" t="s">
        <v>2025</v>
      </c>
      <c r="E41" s="43">
        <f t="shared" si="2"/>
        <v>6.6699999999999995E-2</v>
      </c>
      <c r="F41" s="436">
        <v>0</v>
      </c>
      <c r="G41" s="436">
        <v>6.6699999999999995E-2</v>
      </c>
      <c r="I41" s="436"/>
      <c r="J41" s="436"/>
      <c r="K41" s="436"/>
    </row>
    <row r="42" spans="1:11" ht="15" x14ac:dyDescent="0.25">
      <c r="A42" s="804">
        <f t="shared" si="1"/>
        <v>30</v>
      </c>
      <c r="C42" s="438">
        <v>398</v>
      </c>
      <c r="D42" t="s">
        <v>2026</v>
      </c>
      <c r="E42" s="43">
        <f t="shared" si="2"/>
        <v>0.05</v>
      </c>
      <c r="F42" s="436">
        <v>0</v>
      </c>
      <c r="G42" s="436">
        <v>0.05</v>
      </c>
      <c r="I42" s="436"/>
      <c r="J42" s="436"/>
      <c r="K42" s="436"/>
    </row>
    <row r="43" spans="1:11" ht="15" x14ac:dyDescent="0.25">
      <c r="A43" s="804">
        <f t="shared" si="1"/>
        <v>31</v>
      </c>
      <c r="C43" s="438">
        <v>397</v>
      </c>
      <c r="D43" t="s">
        <v>2027</v>
      </c>
      <c r="E43" s="43">
        <f t="shared" si="2"/>
        <v>0.1429</v>
      </c>
      <c r="F43" s="436">
        <v>0</v>
      </c>
      <c r="G43" s="436">
        <v>0.1429</v>
      </c>
      <c r="I43" s="436"/>
      <c r="J43" s="436"/>
      <c r="K43" s="436"/>
    </row>
    <row r="44" spans="1:11" ht="15" x14ac:dyDescent="0.25">
      <c r="A44" s="804">
        <f t="shared" si="1"/>
        <v>32</v>
      </c>
      <c r="C44" s="438">
        <v>397</v>
      </c>
      <c r="D44" t="s">
        <v>2028</v>
      </c>
      <c r="E44" s="43">
        <f t="shared" si="2"/>
        <v>0.1</v>
      </c>
      <c r="F44" s="436">
        <v>0</v>
      </c>
      <c r="G44" s="436">
        <v>0.1</v>
      </c>
      <c r="I44" s="436"/>
      <c r="J44" s="436"/>
      <c r="K44" s="436"/>
    </row>
    <row r="45" spans="1:11" ht="15" x14ac:dyDescent="0.25">
      <c r="A45" s="804">
        <f t="shared" si="1"/>
        <v>33</v>
      </c>
      <c r="C45" s="438">
        <v>397</v>
      </c>
      <c r="D45" t="s">
        <v>2029</v>
      </c>
      <c r="E45" s="43">
        <f t="shared" si="2"/>
        <v>6.6699999999999995E-2</v>
      </c>
      <c r="F45" s="436">
        <v>0</v>
      </c>
      <c r="G45" s="436">
        <v>6.6699999999999995E-2</v>
      </c>
      <c r="I45" s="436"/>
      <c r="J45" s="436"/>
      <c r="K45" s="436"/>
    </row>
    <row r="46" spans="1:11" ht="15" x14ac:dyDescent="0.25">
      <c r="A46" s="804">
        <f t="shared" si="1"/>
        <v>34</v>
      </c>
      <c r="C46" s="438">
        <v>397</v>
      </c>
      <c r="D46" t="s">
        <v>2030</v>
      </c>
      <c r="E46" s="43">
        <v>6.0600000000000001E-2</v>
      </c>
      <c r="F46" s="436">
        <v>0</v>
      </c>
      <c r="G46" s="436">
        <v>6.0600000000000001E-2</v>
      </c>
    </row>
    <row r="47" spans="1:11" ht="15" x14ac:dyDescent="0.25">
      <c r="A47" s="804">
        <f t="shared" si="1"/>
        <v>35</v>
      </c>
      <c r="C47" s="438">
        <v>397</v>
      </c>
      <c r="D47" t="s">
        <v>2031</v>
      </c>
      <c r="E47" s="43">
        <v>3.7499999999999999E-2</v>
      </c>
      <c r="F47" s="436">
        <v>0</v>
      </c>
      <c r="G47" s="436">
        <v>3.7499999999999999E-2</v>
      </c>
    </row>
    <row r="48" spans="1:11" ht="15" x14ac:dyDescent="0.25">
      <c r="A48" s="804">
        <f t="shared" si="1"/>
        <v>36</v>
      </c>
      <c r="C48" s="438">
        <v>392</v>
      </c>
      <c r="D48" t="s">
        <v>2032</v>
      </c>
      <c r="E48" s="43">
        <f t="shared" si="2"/>
        <v>0.1429</v>
      </c>
      <c r="F48" s="436">
        <v>0</v>
      </c>
      <c r="G48" s="436">
        <v>0.1429</v>
      </c>
    </row>
    <row r="49" spans="1:7" ht="15" x14ac:dyDescent="0.25">
      <c r="A49" s="804">
        <f t="shared" si="1"/>
        <v>37</v>
      </c>
      <c r="C49" s="438">
        <v>394.4</v>
      </c>
      <c r="D49" t="s">
        <v>2033</v>
      </c>
      <c r="E49" s="43">
        <f t="shared" si="2"/>
        <v>0.1</v>
      </c>
      <c r="F49" s="436">
        <v>0</v>
      </c>
      <c r="G49" s="436">
        <v>0.1</v>
      </c>
    </row>
    <row r="50" spans="1:7" ht="15" x14ac:dyDescent="0.25">
      <c r="A50" s="804">
        <f t="shared" si="1"/>
        <v>38</v>
      </c>
      <c r="C50" s="438">
        <v>394.5</v>
      </c>
      <c r="D50" t="s">
        <v>2034</v>
      </c>
      <c r="E50" s="43">
        <f t="shared" si="2"/>
        <v>0.1</v>
      </c>
      <c r="F50" s="436">
        <v>0</v>
      </c>
      <c r="G50" s="436">
        <v>0.1</v>
      </c>
    </row>
    <row r="51" spans="1:7" ht="15" x14ac:dyDescent="0.25">
      <c r="A51" s="804">
        <f t="shared" si="1"/>
        <v>39</v>
      </c>
      <c r="C51" s="438">
        <v>396</v>
      </c>
      <c r="D51" t="s">
        <v>2035</v>
      </c>
      <c r="E51" s="43">
        <f t="shared" si="2"/>
        <v>6.6699999999999995E-2</v>
      </c>
      <c r="F51" s="436">
        <v>0</v>
      </c>
      <c r="G51" s="436">
        <v>6.6699999999999995E-2</v>
      </c>
    </row>
    <row r="53" spans="1:7" ht="15" x14ac:dyDescent="0.25">
      <c r="B53" s="434" t="s">
        <v>1225</v>
      </c>
      <c r="E53" s="277" t="s">
        <v>439</v>
      </c>
    </row>
    <row r="54" spans="1:7" ht="15" x14ac:dyDescent="0.25">
      <c r="C54" s="277" t="s">
        <v>12</v>
      </c>
      <c r="E54" s="277" t="s">
        <v>1209</v>
      </c>
      <c r="F54" s="4" t="s">
        <v>1210</v>
      </c>
      <c r="G54" s="4"/>
    </row>
    <row r="55" spans="1:7" ht="15" x14ac:dyDescent="0.25">
      <c r="C55" s="279" t="s">
        <v>117</v>
      </c>
      <c r="D55" s="279" t="s">
        <v>118</v>
      </c>
      <c r="E55" s="279" t="s">
        <v>1211</v>
      </c>
      <c r="F55" s="279" t="s">
        <v>1212</v>
      </c>
      <c r="G55" s="279" t="s">
        <v>225</v>
      </c>
    </row>
    <row r="56" spans="1:7" ht="15" x14ac:dyDescent="0.25">
      <c r="A56" s="2">
        <f>A51+1</f>
        <v>40</v>
      </c>
      <c r="C56" s="438">
        <v>302</v>
      </c>
      <c r="D56" s="435" t="s">
        <v>1226</v>
      </c>
      <c r="E56" s="436">
        <v>2.64E-2</v>
      </c>
      <c r="F56" s="436">
        <v>0</v>
      </c>
      <c r="G56" s="436">
        <v>2.64E-2</v>
      </c>
    </row>
    <row r="57" spans="1:7" ht="15" x14ac:dyDescent="0.25">
      <c r="A57" s="2">
        <f t="shared" ref="A57:A62" si="3">A56+1</f>
        <v>41</v>
      </c>
      <c r="C57" s="438">
        <v>303</v>
      </c>
      <c r="D57" s="435" t="s">
        <v>1227</v>
      </c>
      <c r="E57" s="436">
        <v>2.5000000000000001E-2</v>
      </c>
      <c r="F57" s="436">
        <v>0</v>
      </c>
      <c r="G57" s="436">
        <v>2.5000000000000001E-2</v>
      </c>
    </row>
    <row r="58" spans="1:7" ht="15" x14ac:dyDescent="0.25">
      <c r="A58" s="2">
        <f t="shared" si="3"/>
        <v>42</v>
      </c>
      <c r="C58" s="438">
        <v>301</v>
      </c>
      <c r="D58" s="435" t="s">
        <v>1228</v>
      </c>
      <c r="E58" s="436">
        <v>0.05</v>
      </c>
      <c r="F58" s="436">
        <v>0</v>
      </c>
      <c r="G58" s="436">
        <v>0.05</v>
      </c>
    </row>
    <row r="59" spans="1:7" ht="15" x14ac:dyDescent="0.25">
      <c r="A59" s="2">
        <f t="shared" si="3"/>
        <v>43</v>
      </c>
      <c r="C59" s="438">
        <v>303</v>
      </c>
      <c r="D59" s="435" t="s">
        <v>1229</v>
      </c>
      <c r="E59" s="436">
        <v>0.21410000000000001</v>
      </c>
      <c r="F59" s="436">
        <v>0</v>
      </c>
      <c r="G59" s="436">
        <v>0.21410000000000001</v>
      </c>
    </row>
    <row r="60" spans="1:7" ht="15" x14ac:dyDescent="0.25">
      <c r="A60" s="2">
        <f t="shared" si="3"/>
        <v>44</v>
      </c>
      <c r="C60" s="438">
        <v>303</v>
      </c>
      <c r="D60" s="435" t="s">
        <v>1230</v>
      </c>
      <c r="E60" s="436">
        <v>0.14710000000000001</v>
      </c>
      <c r="F60" s="436">
        <v>0</v>
      </c>
      <c r="G60" s="436">
        <v>0.14710000000000001</v>
      </c>
    </row>
    <row r="61" spans="1:7" ht="15" x14ac:dyDescent="0.25">
      <c r="A61" s="2">
        <f t="shared" si="3"/>
        <v>45</v>
      </c>
      <c r="C61" s="438">
        <v>303</v>
      </c>
      <c r="D61" s="435" t="s">
        <v>1231</v>
      </c>
      <c r="E61" s="436">
        <v>0.1</v>
      </c>
      <c r="F61" s="436">
        <v>0</v>
      </c>
      <c r="G61" s="436">
        <v>0.1</v>
      </c>
    </row>
    <row r="62" spans="1:7" ht="15" x14ac:dyDescent="0.25">
      <c r="A62" s="2">
        <f t="shared" si="3"/>
        <v>46</v>
      </c>
      <c r="C62" s="438">
        <v>303</v>
      </c>
      <c r="D62" s="435" t="s">
        <v>1232</v>
      </c>
      <c r="E62" s="436">
        <v>6.6699999999999995E-2</v>
      </c>
      <c r="F62" s="436">
        <v>0</v>
      </c>
      <c r="G62" s="436">
        <v>6.6699999999999995E-2</v>
      </c>
    </row>
  </sheetData>
  <pageMargins left="0.7" right="0.7" top="0.75" bottom="0.75" header="0.3" footer="0.3"/>
  <pageSetup scale="75" orientation="portrait" r:id="rId1"/>
  <headerFooter>
    <oddHeader>&amp;CSchedule 18
Depreciation Rates&amp;RDkt. No. ER11-3697
2014 Draft Informational Filing</oddHeader>
    <oddFooter>&amp;RDepRates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9"/>
  <sheetViews>
    <sheetView topLeftCell="A163" zoomScale="90" zoomScaleNormal="90" workbookViewId="0">
      <selection activeCell="D179" sqref="D179"/>
    </sheetView>
  </sheetViews>
  <sheetFormatPr defaultRowHeight="12.75" x14ac:dyDescent="0.2"/>
  <cols>
    <col min="1" max="1" width="5.7109375" style="513" customWidth="1"/>
    <col min="2" max="2" width="50.7109375" style="513" customWidth="1"/>
    <col min="3" max="5" width="14.7109375" style="594" customWidth="1"/>
    <col min="6" max="6" width="12.7109375" style="607" customWidth="1"/>
    <col min="7" max="7" width="12.7109375" style="538" customWidth="1"/>
    <col min="8" max="9" width="14.7109375" style="539" customWidth="1"/>
    <col min="10" max="12" width="14.7109375" style="513" customWidth="1"/>
  </cols>
  <sheetData>
    <row r="1" spans="1:12" ht="12.75" customHeight="1" x14ac:dyDescent="0.3">
      <c r="A1" s="512" t="s">
        <v>1558</v>
      </c>
      <c r="C1" s="514"/>
      <c r="D1" s="515"/>
      <c r="E1" s="515"/>
      <c r="F1" s="516"/>
      <c r="G1" s="517"/>
      <c r="H1" s="517"/>
      <c r="I1" s="517"/>
      <c r="J1" s="517"/>
      <c r="K1"/>
      <c r="L1"/>
    </row>
    <row r="2" spans="1:12" ht="12.75" customHeight="1" x14ac:dyDescent="0.3">
      <c r="A2" s="518"/>
      <c r="C2" s="514"/>
      <c r="D2" s="515"/>
      <c r="E2" s="515"/>
      <c r="F2" s="519"/>
      <c r="G2" s="176" t="s">
        <v>351</v>
      </c>
      <c r="H2" s="113"/>
      <c r="I2" s="515"/>
      <c r="J2" s="517"/>
      <c r="K2" s="517"/>
      <c r="L2" s="517"/>
    </row>
    <row r="3" spans="1:12" ht="12.75" customHeight="1" x14ac:dyDescent="0.2">
      <c r="A3" s="520"/>
      <c r="B3" s="521" t="s">
        <v>1559</v>
      </c>
      <c r="C3" s="523"/>
      <c r="D3" s="523"/>
      <c r="E3" s="523"/>
      <c r="F3" s="524"/>
      <c r="G3" s="522"/>
      <c r="H3" s="522"/>
      <c r="I3" s="522"/>
      <c r="J3" s="522"/>
      <c r="K3" s="522"/>
      <c r="L3" s="525"/>
    </row>
    <row r="4" spans="1:12" ht="12.75" customHeight="1" x14ac:dyDescent="0.3">
      <c r="A4" s="526"/>
      <c r="B4" s="518"/>
      <c r="C4" s="527"/>
      <c r="D4" s="527"/>
      <c r="E4" s="527"/>
      <c r="F4" s="528"/>
      <c r="G4" s="26"/>
      <c r="H4" s="26"/>
      <c r="I4" s="26"/>
      <c r="J4" s="26"/>
      <c r="K4" s="26"/>
      <c r="L4" s="517"/>
    </row>
    <row r="5" spans="1:12" ht="12.75" customHeight="1" x14ac:dyDescent="0.2">
      <c r="A5" s="522"/>
      <c r="B5" s="529" t="s">
        <v>417</v>
      </c>
      <c r="C5" s="529" t="s">
        <v>400</v>
      </c>
      <c r="D5" s="529" t="s">
        <v>401</v>
      </c>
      <c r="E5" s="529" t="s">
        <v>402</v>
      </c>
      <c r="F5" s="530" t="s">
        <v>403</v>
      </c>
      <c r="G5" s="529" t="s">
        <v>404</v>
      </c>
      <c r="H5" s="529" t="s">
        <v>405</v>
      </c>
      <c r="I5" s="529" t="s">
        <v>654</v>
      </c>
      <c r="J5" s="529" t="s">
        <v>1128</v>
      </c>
      <c r="K5" s="529" t="s">
        <v>1145</v>
      </c>
      <c r="L5" s="529" t="s">
        <v>1148</v>
      </c>
    </row>
    <row r="6" spans="1:12" ht="12.75" customHeight="1" x14ac:dyDescent="0.2">
      <c r="A6" s="526"/>
      <c r="B6" s="518"/>
      <c r="C6" s="531" t="s">
        <v>1560</v>
      </c>
      <c r="D6" s="527"/>
      <c r="E6" s="527"/>
      <c r="F6" s="532" t="s">
        <v>419</v>
      </c>
      <c r="G6" s="531" t="s">
        <v>1561</v>
      </c>
      <c r="H6" s="533"/>
      <c r="I6" s="533"/>
      <c r="J6" s="531" t="s">
        <v>1562</v>
      </c>
      <c r="K6" s="531" t="s">
        <v>1563</v>
      </c>
      <c r="L6" s="534" t="s">
        <v>1564</v>
      </c>
    </row>
    <row r="7" spans="1:12" ht="12.75" customHeight="1" x14ac:dyDescent="0.2">
      <c r="C7" s="535"/>
      <c r="D7" s="536"/>
      <c r="E7" s="536"/>
      <c r="F7" s="537"/>
      <c r="J7" s="540"/>
    </row>
    <row r="8" spans="1:12" x14ac:dyDescent="0.2">
      <c r="A8" s="541"/>
      <c r="B8" s="1068" t="s">
        <v>1565</v>
      </c>
      <c r="C8" s="1070" t="s">
        <v>1566</v>
      </c>
      <c r="D8" s="1070"/>
      <c r="E8" s="1070"/>
      <c r="F8" s="543"/>
      <c r="G8" s="1066" t="s">
        <v>1567</v>
      </c>
      <c r="H8" s="1066"/>
      <c r="I8" s="1067"/>
      <c r="J8" s="1065" t="s">
        <v>1568</v>
      </c>
      <c r="K8" s="1066"/>
      <c r="L8" s="1067"/>
    </row>
    <row r="9" spans="1:12" x14ac:dyDescent="0.2">
      <c r="A9" s="53"/>
      <c r="B9" s="1069"/>
      <c r="C9" s="542" t="s">
        <v>225</v>
      </c>
      <c r="D9" s="542" t="s">
        <v>1569</v>
      </c>
      <c r="E9" s="544" t="s">
        <v>1570</v>
      </c>
      <c r="F9" s="545" t="s">
        <v>1492</v>
      </c>
      <c r="G9" s="544" t="s">
        <v>225</v>
      </c>
      <c r="H9" s="544" t="s">
        <v>1569</v>
      </c>
      <c r="I9" s="544" t="s">
        <v>1570</v>
      </c>
      <c r="J9" s="542" t="s">
        <v>225</v>
      </c>
      <c r="K9" s="544" t="s">
        <v>1569</v>
      </c>
      <c r="L9" s="544" t="s">
        <v>1570</v>
      </c>
    </row>
    <row r="10" spans="1:12" x14ac:dyDescent="0.2">
      <c r="A10" s="53" t="s">
        <v>380</v>
      </c>
      <c r="B10" s="546" t="s">
        <v>1571</v>
      </c>
      <c r="C10" s="296"/>
      <c r="D10" s="296"/>
      <c r="E10" s="547"/>
      <c r="F10" s="548"/>
      <c r="G10" s="547"/>
      <c r="H10" s="547"/>
      <c r="I10" s="547"/>
      <c r="J10" s="296"/>
      <c r="K10" s="547"/>
      <c r="L10" s="547"/>
    </row>
    <row r="11" spans="1:12" x14ac:dyDescent="0.2">
      <c r="A11" s="2">
        <v>1</v>
      </c>
      <c r="B11" s="54" t="s">
        <v>1572</v>
      </c>
      <c r="C11" s="616">
        <f>SUM(D11:E11)</f>
        <v>11891955.749999996</v>
      </c>
      <c r="D11" s="614">
        <v>6169237.2999999942</v>
      </c>
      <c r="E11" s="614">
        <v>5722718.450000003</v>
      </c>
      <c r="F11" s="550"/>
      <c r="G11" s="617">
        <f t="shared" ref="G11:G60" si="0">SUM(H11:I11)</f>
        <v>0</v>
      </c>
      <c r="H11" s="611"/>
      <c r="I11" s="611"/>
      <c r="J11" s="553">
        <f>SUM(K11:L11)</f>
        <v>11891955.749999996</v>
      </c>
      <c r="K11" s="553">
        <f>D11+H11</f>
        <v>6169237.2999999942</v>
      </c>
      <c r="L11" s="553">
        <f>E11+I11</f>
        <v>5722718.450000003</v>
      </c>
    </row>
    <row r="12" spans="1:12" x14ac:dyDescent="0.2">
      <c r="A12" s="2">
        <f>A11+1</f>
        <v>2</v>
      </c>
      <c r="B12" s="54" t="s">
        <v>1573</v>
      </c>
      <c r="C12" s="616">
        <f t="shared" ref="C12:C58" si="1">SUM(D12:E12)</f>
        <v>131182.46</v>
      </c>
      <c r="D12" s="614">
        <v>0</v>
      </c>
      <c r="E12" s="614">
        <v>131182.46</v>
      </c>
      <c r="F12" s="550"/>
      <c r="G12" s="617">
        <f t="shared" si="0"/>
        <v>0</v>
      </c>
      <c r="H12" s="611"/>
      <c r="I12" s="611"/>
      <c r="J12" s="553">
        <f t="shared" ref="J12:J60" si="2">SUM(K12:L12)</f>
        <v>131182.46</v>
      </c>
      <c r="K12" s="553">
        <f t="shared" ref="K12:L27" si="3">D12+H12</f>
        <v>0</v>
      </c>
      <c r="L12" s="553">
        <f t="shared" si="3"/>
        <v>131182.46</v>
      </c>
    </row>
    <row r="13" spans="1:12" x14ac:dyDescent="0.2">
      <c r="A13" s="2">
        <f t="shared" ref="A13:A62" si="4">A12+1</f>
        <v>3</v>
      </c>
      <c r="B13" s="555" t="s">
        <v>1574</v>
      </c>
      <c r="C13" s="616">
        <f t="shared" si="1"/>
        <v>0</v>
      </c>
      <c r="D13" s="614">
        <v>0</v>
      </c>
      <c r="E13" s="614">
        <v>0</v>
      </c>
      <c r="F13" s="550"/>
      <c r="G13" s="617">
        <f t="shared" si="0"/>
        <v>0</v>
      </c>
      <c r="H13" s="611"/>
      <c r="I13" s="611"/>
      <c r="J13" s="553">
        <f t="shared" si="2"/>
        <v>0</v>
      </c>
      <c r="K13" s="553">
        <f t="shared" si="3"/>
        <v>0</v>
      </c>
      <c r="L13" s="553">
        <f t="shared" si="3"/>
        <v>0</v>
      </c>
    </row>
    <row r="14" spans="1:12" x14ac:dyDescent="0.2">
      <c r="A14" s="2">
        <f t="shared" si="4"/>
        <v>4</v>
      </c>
      <c r="B14" s="555" t="s">
        <v>1575</v>
      </c>
      <c r="C14" s="616">
        <f t="shared" si="1"/>
        <v>609477.08000000019</v>
      </c>
      <c r="D14" s="614">
        <v>437554.28000000014</v>
      </c>
      <c r="E14" s="614">
        <v>171922.80000000005</v>
      </c>
      <c r="F14" s="550"/>
      <c r="G14" s="617">
        <f t="shared" si="0"/>
        <v>0</v>
      </c>
      <c r="H14" s="611"/>
      <c r="I14" s="611"/>
      <c r="J14" s="553">
        <f t="shared" si="2"/>
        <v>609477.08000000019</v>
      </c>
      <c r="K14" s="553">
        <f t="shared" si="3"/>
        <v>437554.28000000014</v>
      </c>
      <c r="L14" s="553">
        <f t="shared" si="3"/>
        <v>171922.80000000005</v>
      </c>
    </row>
    <row r="15" spans="1:12" x14ac:dyDescent="0.2">
      <c r="A15" s="2">
        <f t="shared" si="4"/>
        <v>5</v>
      </c>
      <c r="B15" s="555" t="s">
        <v>1576</v>
      </c>
      <c r="C15" s="616">
        <f t="shared" si="1"/>
        <v>5471075.9399999985</v>
      </c>
      <c r="D15" s="614">
        <v>4481285.6799999978</v>
      </c>
      <c r="E15" s="614">
        <v>989790.26000000094</v>
      </c>
      <c r="F15" s="550"/>
      <c r="G15" s="617">
        <f t="shared" si="0"/>
        <v>0</v>
      </c>
      <c r="H15" s="611"/>
      <c r="I15" s="611"/>
      <c r="J15" s="553">
        <f t="shared" si="2"/>
        <v>5471075.9399999985</v>
      </c>
      <c r="K15" s="553">
        <f t="shared" si="3"/>
        <v>4481285.6799999978</v>
      </c>
      <c r="L15" s="553">
        <f t="shared" si="3"/>
        <v>989790.26000000094</v>
      </c>
    </row>
    <row r="16" spans="1:12" x14ac:dyDescent="0.2">
      <c r="A16" s="2">
        <f t="shared" si="4"/>
        <v>6</v>
      </c>
      <c r="B16" s="555" t="s">
        <v>1577</v>
      </c>
      <c r="C16" s="616">
        <f t="shared" si="1"/>
        <v>36735242.899999999</v>
      </c>
      <c r="D16" s="614">
        <v>0</v>
      </c>
      <c r="E16" s="614">
        <v>36735242.899999999</v>
      </c>
      <c r="F16" s="556" t="s">
        <v>675</v>
      </c>
      <c r="G16" s="617">
        <f t="shared" si="0"/>
        <v>-36735242.899999999</v>
      </c>
      <c r="H16" s="611">
        <v>0</v>
      </c>
      <c r="I16" s="611">
        <v>-36735242.899999999</v>
      </c>
      <c r="J16" s="553">
        <f t="shared" si="2"/>
        <v>0</v>
      </c>
      <c r="K16" s="553">
        <f t="shared" si="3"/>
        <v>0</v>
      </c>
      <c r="L16" s="553">
        <f t="shared" si="3"/>
        <v>0</v>
      </c>
    </row>
    <row r="17" spans="1:12" x14ac:dyDescent="0.2">
      <c r="A17" s="2">
        <f t="shared" si="4"/>
        <v>7</v>
      </c>
      <c r="B17" s="555" t="s">
        <v>1578</v>
      </c>
      <c r="C17" s="616">
        <f t="shared" si="1"/>
        <v>4595002.49</v>
      </c>
      <c r="D17" s="614">
        <v>4003257.1999999997</v>
      </c>
      <c r="E17" s="614">
        <v>591745.29</v>
      </c>
      <c r="F17" s="550"/>
      <c r="G17" s="617">
        <f t="shared" si="0"/>
        <v>0</v>
      </c>
      <c r="H17" s="611"/>
      <c r="I17" s="611"/>
      <c r="J17" s="553">
        <f t="shared" si="2"/>
        <v>4595002.49</v>
      </c>
      <c r="K17" s="553">
        <f t="shared" si="3"/>
        <v>4003257.1999999997</v>
      </c>
      <c r="L17" s="553">
        <f t="shared" si="3"/>
        <v>591745.29</v>
      </c>
    </row>
    <row r="18" spans="1:12" x14ac:dyDescent="0.2">
      <c r="A18" s="2">
        <f t="shared" si="4"/>
        <v>8</v>
      </c>
      <c r="B18" s="555" t="s">
        <v>1579</v>
      </c>
      <c r="C18" s="616">
        <f t="shared" si="1"/>
        <v>115314.05</v>
      </c>
      <c r="D18" s="614">
        <v>0</v>
      </c>
      <c r="E18" s="614">
        <v>115314.05</v>
      </c>
      <c r="F18" s="550" t="s">
        <v>676</v>
      </c>
      <c r="G18" s="617">
        <f t="shared" si="0"/>
        <v>-115314.05</v>
      </c>
      <c r="H18" s="611">
        <v>0</v>
      </c>
      <c r="I18" s="611">
        <v>-115314.05</v>
      </c>
      <c r="J18" s="553">
        <f t="shared" si="2"/>
        <v>0</v>
      </c>
      <c r="K18" s="553">
        <f t="shared" si="3"/>
        <v>0</v>
      </c>
      <c r="L18" s="553">
        <f t="shared" si="3"/>
        <v>0</v>
      </c>
    </row>
    <row r="19" spans="1:12" x14ac:dyDescent="0.2">
      <c r="A19" s="2">
        <f t="shared" si="4"/>
        <v>9</v>
      </c>
      <c r="B19" s="555" t="s">
        <v>1580</v>
      </c>
      <c r="C19" s="616">
        <f t="shared" si="1"/>
        <v>16881989.03000002</v>
      </c>
      <c r="D19" s="614">
        <v>11531073.530000024</v>
      </c>
      <c r="E19" s="614">
        <v>5350915.4999999963</v>
      </c>
      <c r="F19" s="550"/>
      <c r="G19" s="617">
        <f t="shared" si="0"/>
        <v>0</v>
      </c>
      <c r="H19" s="611"/>
      <c r="I19" s="611"/>
      <c r="J19" s="553">
        <f t="shared" si="2"/>
        <v>16881989.03000002</v>
      </c>
      <c r="K19" s="553">
        <f t="shared" si="3"/>
        <v>11531073.530000024</v>
      </c>
      <c r="L19" s="553">
        <f t="shared" si="3"/>
        <v>5350915.4999999963</v>
      </c>
    </row>
    <row r="20" spans="1:12" x14ac:dyDescent="0.2">
      <c r="A20" s="2">
        <f t="shared" si="4"/>
        <v>10</v>
      </c>
      <c r="B20" s="555" t="s">
        <v>1581</v>
      </c>
      <c r="C20" s="616">
        <f t="shared" si="1"/>
        <v>3771471.1900000041</v>
      </c>
      <c r="D20" s="614">
        <v>2359352.7500000023</v>
      </c>
      <c r="E20" s="614">
        <v>1412118.4400000018</v>
      </c>
      <c r="F20" s="550"/>
      <c r="G20" s="617">
        <f t="shared" si="0"/>
        <v>0</v>
      </c>
      <c r="H20" s="611"/>
      <c r="I20" s="611"/>
      <c r="J20" s="553">
        <f t="shared" si="2"/>
        <v>3771471.1900000041</v>
      </c>
      <c r="K20" s="553">
        <f t="shared" si="3"/>
        <v>2359352.7500000023</v>
      </c>
      <c r="L20" s="553">
        <f t="shared" si="3"/>
        <v>1412118.4400000018</v>
      </c>
    </row>
    <row r="21" spans="1:12" x14ac:dyDescent="0.2">
      <c r="A21" s="2">
        <f t="shared" si="4"/>
        <v>11</v>
      </c>
      <c r="B21" s="555" t="s">
        <v>1582</v>
      </c>
      <c r="C21" s="616">
        <f t="shared" si="1"/>
        <v>1269360.8199999998</v>
      </c>
      <c r="D21" s="614">
        <v>0</v>
      </c>
      <c r="E21" s="614">
        <v>1269360.8199999998</v>
      </c>
      <c r="F21" s="550"/>
      <c r="G21" s="617">
        <f t="shared" si="0"/>
        <v>0</v>
      </c>
      <c r="H21" s="611"/>
      <c r="I21" s="611"/>
      <c r="J21" s="553">
        <f t="shared" si="2"/>
        <v>1269360.8199999998</v>
      </c>
      <c r="K21" s="553">
        <f t="shared" si="3"/>
        <v>0</v>
      </c>
      <c r="L21" s="553">
        <f t="shared" si="3"/>
        <v>1269360.8199999998</v>
      </c>
    </row>
    <row r="22" spans="1:12" x14ac:dyDescent="0.2">
      <c r="A22" s="2">
        <f t="shared" si="4"/>
        <v>12</v>
      </c>
      <c r="B22" s="555" t="s">
        <v>1583</v>
      </c>
      <c r="C22" s="616">
        <f t="shared" si="1"/>
        <v>4850100.919999999</v>
      </c>
      <c r="D22" s="614">
        <v>3025175.7699999991</v>
      </c>
      <c r="E22" s="614">
        <v>1824925.1499999997</v>
      </c>
      <c r="F22" s="550"/>
      <c r="G22" s="618">
        <f t="shared" si="0"/>
        <v>0</v>
      </c>
      <c r="H22" s="611"/>
      <c r="I22" s="611"/>
      <c r="J22" s="553">
        <f t="shared" si="2"/>
        <v>4850100.919999999</v>
      </c>
      <c r="K22" s="553">
        <f t="shared" si="3"/>
        <v>3025175.7699999991</v>
      </c>
      <c r="L22" s="553">
        <f t="shared" si="3"/>
        <v>1824925.1499999997</v>
      </c>
    </row>
    <row r="23" spans="1:12" x14ac:dyDescent="0.2">
      <c r="A23" s="2">
        <f t="shared" si="4"/>
        <v>13</v>
      </c>
      <c r="B23" s="555" t="s">
        <v>1584</v>
      </c>
      <c r="C23" s="616">
        <f t="shared" si="1"/>
        <v>1293879.8700000001</v>
      </c>
      <c r="D23" s="614">
        <v>974808.04000000027</v>
      </c>
      <c r="E23" s="614">
        <v>319071.8299999999</v>
      </c>
      <c r="F23" s="550"/>
      <c r="G23" s="617">
        <f t="shared" si="0"/>
        <v>0</v>
      </c>
      <c r="H23" s="611"/>
      <c r="I23" s="611"/>
      <c r="J23" s="553">
        <f t="shared" si="2"/>
        <v>1293879.8700000001</v>
      </c>
      <c r="K23" s="553">
        <f t="shared" si="3"/>
        <v>974808.04000000027</v>
      </c>
      <c r="L23" s="553">
        <f t="shared" si="3"/>
        <v>319071.8299999999</v>
      </c>
    </row>
    <row r="24" spans="1:12" x14ac:dyDescent="0.2">
      <c r="A24" s="2">
        <f t="shared" si="4"/>
        <v>14</v>
      </c>
      <c r="B24" s="555" t="s">
        <v>1585</v>
      </c>
      <c r="C24" s="616">
        <f t="shared" si="1"/>
        <v>19297507.09</v>
      </c>
      <c r="D24" s="614"/>
      <c r="E24" s="614">
        <v>19297507.09</v>
      </c>
      <c r="F24" s="550" t="s">
        <v>677</v>
      </c>
      <c r="G24" s="617">
        <f>SUM(H24:I24)</f>
        <v>-19297507.09</v>
      </c>
      <c r="H24" s="611">
        <v>0</v>
      </c>
      <c r="I24" s="611">
        <v>-19297507.09</v>
      </c>
      <c r="J24" s="553">
        <f>SUM(K24:L24)</f>
        <v>0</v>
      </c>
      <c r="K24" s="553">
        <f t="shared" si="3"/>
        <v>0</v>
      </c>
      <c r="L24" s="553">
        <f t="shared" si="3"/>
        <v>0</v>
      </c>
    </row>
    <row r="25" spans="1:12" x14ac:dyDescent="0.2">
      <c r="A25" s="2">
        <f t="shared" si="4"/>
        <v>15</v>
      </c>
      <c r="B25" s="555" t="s">
        <v>1586</v>
      </c>
      <c r="C25" s="616">
        <f t="shared" si="1"/>
        <v>213116.22</v>
      </c>
      <c r="D25" s="614">
        <v>0</v>
      </c>
      <c r="E25" s="614">
        <v>213116.22</v>
      </c>
      <c r="F25" s="557"/>
      <c r="G25" s="617">
        <f t="shared" si="0"/>
        <v>0</v>
      </c>
      <c r="H25" s="612"/>
      <c r="I25" s="612"/>
      <c r="J25" s="553">
        <f t="shared" si="2"/>
        <v>213116.22</v>
      </c>
      <c r="K25" s="553">
        <f t="shared" si="3"/>
        <v>0</v>
      </c>
      <c r="L25" s="553">
        <f t="shared" si="3"/>
        <v>213116.22</v>
      </c>
    </row>
    <row r="26" spans="1:12" x14ac:dyDescent="0.2">
      <c r="A26" s="2">
        <f t="shared" si="4"/>
        <v>16</v>
      </c>
      <c r="B26" s="555" t="s">
        <v>1587</v>
      </c>
      <c r="C26" s="616">
        <f t="shared" si="1"/>
        <v>7174782.3600000003</v>
      </c>
      <c r="D26" s="614">
        <v>0</v>
      </c>
      <c r="E26" s="614">
        <v>7174782.3600000003</v>
      </c>
      <c r="F26" s="550"/>
      <c r="G26" s="617">
        <f t="shared" si="0"/>
        <v>0</v>
      </c>
      <c r="H26" s="611"/>
      <c r="I26" s="611"/>
      <c r="J26" s="553">
        <f t="shared" si="2"/>
        <v>7174782.3600000003</v>
      </c>
      <c r="K26" s="553">
        <f t="shared" si="3"/>
        <v>0</v>
      </c>
      <c r="L26" s="553">
        <f t="shared" si="3"/>
        <v>7174782.3600000003</v>
      </c>
    </row>
    <row r="27" spans="1:12" x14ac:dyDescent="0.2">
      <c r="A27" s="2">
        <f t="shared" si="4"/>
        <v>17</v>
      </c>
      <c r="B27" s="555" t="s">
        <v>1588</v>
      </c>
      <c r="C27" s="616">
        <f t="shared" si="1"/>
        <v>34234537.149999999</v>
      </c>
      <c r="D27" s="614">
        <v>782457.35000000172</v>
      </c>
      <c r="E27" s="699">
        <v>33452079.799999997</v>
      </c>
      <c r="F27" s="550" t="s">
        <v>678</v>
      </c>
      <c r="G27" s="618">
        <f t="shared" si="0"/>
        <v>-34234537.149999999</v>
      </c>
      <c r="H27" s="611">
        <v>-782457.35000000172</v>
      </c>
      <c r="I27" s="611">
        <v>-33452079.799999997</v>
      </c>
      <c r="J27" s="553">
        <f t="shared" si="2"/>
        <v>0</v>
      </c>
      <c r="K27" s="553">
        <f t="shared" si="3"/>
        <v>0</v>
      </c>
      <c r="L27" s="553">
        <f t="shared" si="3"/>
        <v>0</v>
      </c>
    </row>
    <row r="28" spans="1:12" x14ac:dyDescent="0.2">
      <c r="A28" s="2">
        <f t="shared" si="4"/>
        <v>18</v>
      </c>
      <c r="B28" s="555" t="s">
        <v>1589</v>
      </c>
      <c r="C28" s="616">
        <f t="shared" si="1"/>
        <v>32945667.350000001</v>
      </c>
      <c r="D28" s="614">
        <v>12908743.550000001</v>
      </c>
      <c r="E28" s="614">
        <v>20036923.800000001</v>
      </c>
      <c r="F28" s="1023" t="s">
        <v>680</v>
      </c>
      <c r="G28" s="617">
        <f t="shared" si="0"/>
        <v>-38508.729999999996</v>
      </c>
      <c r="H28" s="611">
        <v>-166.839999999995</v>
      </c>
      <c r="I28" s="611">
        <v>-38341.89</v>
      </c>
      <c r="J28" s="553">
        <f t="shared" si="2"/>
        <v>32907158.620000001</v>
      </c>
      <c r="K28" s="553">
        <f t="shared" ref="K28:L58" si="5">D28+H28</f>
        <v>12908576.710000001</v>
      </c>
      <c r="L28" s="553">
        <f t="shared" si="5"/>
        <v>19998581.91</v>
      </c>
    </row>
    <row r="29" spans="1:12" x14ac:dyDescent="0.2">
      <c r="A29" s="2">
        <f t="shared" si="4"/>
        <v>19</v>
      </c>
      <c r="B29" s="555" t="s">
        <v>1590</v>
      </c>
      <c r="C29" s="616">
        <f t="shared" si="1"/>
        <v>1285320.6399999999</v>
      </c>
      <c r="D29" s="614">
        <v>929087.54999999993</v>
      </c>
      <c r="E29" s="614">
        <v>356233.08999999991</v>
      </c>
      <c r="F29" s="550"/>
      <c r="G29" s="617">
        <f t="shared" si="0"/>
        <v>0</v>
      </c>
      <c r="H29" s="611"/>
      <c r="I29" s="611"/>
      <c r="J29" s="553">
        <f t="shared" si="2"/>
        <v>1285320.6399999999</v>
      </c>
      <c r="K29" s="553">
        <f t="shared" si="5"/>
        <v>929087.54999999993</v>
      </c>
      <c r="L29" s="553">
        <f t="shared" si="5"/>
        <v>356233.08999999991</v>
      </c>
    </row>
    <row r="30" spans="1:12" x14ac:dyDescent="0.2">
      <c r="A30" s="2">
        <f t="shared" si="4"/>
        <v>20</v>
      </c>
      <c r="B30" s="555" t="s">
        <v>1591</v>
      </c>
      <c r="C30" s="616">
        <f t="shared" si="1"/>
        <v>1053464.77</v>
      </c>
      <c r="D30" s="614">
        <v>1003596.1200000001</v>
      </c>
      <c r="E30" s="614">
        <v>49868.649999999994</v>
      </c>
      <c r="F30" s="550"/>
      <c r="G30" s="617">
        <f t="shared" si="0"/>
        <v>0</v>
      </c>
      <c r="H30" s="611"/>
      <c r="I30" s="611"/>
      <c r="J30" s="553">
        <f t="shared" si="2"/>
        <v>1053464.77</v>
      </c>
      <c r="K30" s="553">
        <f t="shared" si="5"/>
        <v>1003596.1200000001</v>
      </c>
      <c r="L30" s="553">
        <f t="shared" si="5"/>
        <v>49868.649999999994</v>
      </c>
    </row>
    <row r="31" spans="1:12" x14ac:dyDescent="0.2">
      <c r="A31" s="2">
        <f t="shared" si="4"/>
        <v>21</v>
      </c>
      <c r="B31" s="555" t="s">
        <v>1592</v>
      </c>
      <c r="C31" s="616">
        <f t="shared" si="1"/>
        <v>5354105.8000000007</v>
      </c>
      <c r="D31" s="614">
        <v>3372171.8300000015</v>
      </c>
      <c r="E31" s="614">
        <v>1981933.9699999997</v>
      </c>
      <c r="F31" s="550"/>
      <c r="G31" s="617">
        <f t="shared" si="0"/>
        <v>0</v>
      </c>
      <c r="H31" s="611"/>
      <c r="I31" s="611"/>
      <c r="J31" s="553">
        <f t="shared" si="2"/>
        <v>5354105.8000000007</v>
      </c>
      <c r="K31" s="553">
        <f t="shared" si="5"/>
        <v>3372171.8300000015</v>
      </c>
      <c r="L31" s="553">
        <f t="shared" si="5"/>
        <v>1981933.9699999997</v>
      </c>
    </row>
    <row r="32" spans="1:12" x14ac:dyDescent="0.2">
      <c r="A32" s="2">
        <f t="shared" si="4"/>
        <v>22</v>
      </c>
      <c r="B32" s="555" t="s">
        <v>1593</v>
      </c>
      <c r="C32" s="616">
        <f t="shared" si="1"/>
        <v>1879678.5100000005</v>
      </c>
      <c r="D32" s="614">
        <v>1713252.7900000005</v>
      </c>
      <c r="E32" s="614">
        <v>166425.71999999997</v>
      </c>
      <c r="F32" s="550"/>
      <c r="G32" s="617">
        <f t="shared" si="0"/>
        <v>0</v>
      </c>
      <c r="H32" s="611"/>
      <c r="I32" s="611"/>
      <c r="J32" s="553">
        <f t="shared" si="2"/>
        <v>1879678.5100000005</v>
      </c>
      <c r="K32" s="553">
        <f t="shared" si="5"/>
        <v>1713252.7900000005</v>
      </c>
      <c r="L32" s="553">
        <f t="shared" si="5"/>
        <v>166425.71999999997</v>
      </c>
    </row>
    <row r="33" spans="1:12" x14ac:dyDescent="0.2">
      <c r="A33" s="2">
        <f t="shared" si="4"/>
        <v>23</v>
      </c>
      <c r="B33" s="555" t="s">
        <v>1594</v>
      </c>
      <c r="C33" s="616">
        <f t="shared" si="1"/>
        <v>-280150.78000000003</v>
      </c>
      <c r="D33" s="614">
        <v>0</v>
      </c>
      <c r="E33" s="614">
        <v>-280150.78000000003</v>
      </c>
      <c r="F33" s="550"/>
      <c r="G33" s="617">
        <f t="shared" si="0"/>
        <v>0</v>
      </c>
      <c r="H33" s="611"/>
      <c r="I33" s="611"/>
      <c r="J33" s="553">
        <f t="shared" si="2"/>
        <v>-280150.78000000003</v>
      </c>
      <c r="K33" s="553">
        <f t="shared" si="5"/>
        <v>0</v>
      </c>
      <c r="L33" s="553">
        <f t="shared" si="5"/>
        <v>-280150.78000000003</v>
      </c>
    </row>
    <row r="34" spans="1:12" x14ac:dyDescent="0.2">
      <c r="A34" s="2">
        <f t="shared" si="4"/>
        <v>24</v>
      </c>
      <c r="B34" s="555" t="s">
        <v>1595</v>
      </c>
      <c r="C34" s="616">
        <f t="shared" si="1"/>
        <v>7966718.4199999999</v>
      </c>
      <c r="D34" s="614">
        <v>-536.06000000003723</v>
      </c>
      <c r="E34" s="614">
        <v>7967254.4799999995</v>
      </c>
      <c r="F34" s="550"/>
      <c r="G34" s="617">
        <f t="shared" si="0"/>
        <v>0</v>
      </c>
      <c r="H34" s="611"/>
      <c r="I34" s="611"/>
      <c r="J34" s="553">
        <f t="shared" si="2"/>
        <v>7966718.4199999999</v>
      </c>
      <c r="K34" s="553">
        <f t="shared" si="5"/>
        <v>-536.06000000003723</v>
      </c>
      <c r="L34" s="553">
        <f t="shared" si="5"/>
        <v>7967254.4799999995</v>
      </c>
    </row>
    <row r="35" spans="1:12" x14ac:dyDescent="0.2">
      <c r="A35" s="2">
        <f t="shared" si="4"/>
        <v>25</v>
      </c>
      <c r="B35" s="54" t="s">
        <v>1596</v>
      </c>
      <c r="C35" s="616">
        <f t="shared" si="1"/>
        <v>1500000</v>
      </c>
      <c r="D35" s="614">
        <v>0</v>
      </c>
      <c r="E35" s="614">
        <v>1500000</v>
      </c>
      <c r="F35" s="550"/>
      <c r="G35" s="617">
        <f t="shared" si="0"/>
        <v>0</v>
      </c>
      <c r="H35" s="611"/>
      <c r="I35" s="611"/>
      <c r="J35" s="553">
        <f t="shared" si="2"/>
        <v>1500000</v>
      </c>
      <c r="K35" s="553">
        <f t="shared" si="5"/>
        <v>0</v>
      </c>
      <c r="L35" s="553">
        <f t="shared" si="5"/>
        <v>1500000</v>
      </c>
    </row>
    <row r="36" spans="1:12" x14ac:dyDescent="0.2">
      <c r="A36" s="2">
        <f t="shared" si="4"/>
        <v>26</v>
      </c>
      <c r="B36" s="54" t="s">
        <v>1597</v>
      </c>
      <c r="C36" s="616">
        <f t="shared" si="1"/>
        <v>24054.209999999981</v>
      </c>
      <c r="D36" s="614">
        <v>0</v>
      </c>
      <c r="E36" s="614">
        <v>24054.209999999981</v>
      </c>
      <c r="F36" s="550"/>
      <c r="G36" s="617">
        <f t="shared" si="0"/>
        <v>0</v>
      </c>
      <c r="H36" s="611"/>
      <c r="I36" s="611"/>
      <c r="J36" s="553">
        <f t="shared" si="2"/>
        <v>24054.209999999981</v>
      </c>
      <c r="K36" s="553">
        <f t="shared" si="5"/>
        <v>0</v>
      </c>
      <c r="L36" s="553">
        <f t="shared" si="5"/>
        <v>24054.209999999981</v>
      </c>
    </row>
    <row r="37" spans="1:12" x14ac:dyDescent="0.2">
      <c r="A37" s="2">
        <f t="shared" si="4"/>
        <v>27</v>
      </c>
      <c r="B37" s="54" t="s">
        <v>1598</v>
      </c>
      <c r="C37" s="616">
        <f t="shared" si="1"/>
        <v>314395.44000000006</v>
      </c>
      <c r="D37" s="614">
        <v>0</v>
      </c>
      <c r="E37" s="614">
        <v>314395.44000000006</v>
      </c>
      <c r="F37" s="550"/>
      <c r="G37" s="617">
        <f t="shared" si="0"/>
        <v>0</v>
      </c>
      <c r="H37" s="611"/>
      <c r="I37" s="611"/>
      <c r="J37" s="553">
        <f t="shared" si="2"/>
        <v>314395.44000000006</v>
      </c>
      <c r="K37" s="553">
        <f t="shared" si="5"/>
        <v>0</v>
      </c>
      <c r="L37" s="553">
        <f t="shared" si="5"/>
        <v>314395.44000000006</v>
      </c>
    </row>
    <row r="38" spans="1:12" x14ac:dyDescent="0.2">
      <c r="A38" s="2">
        <f t="shared" si="4"/>
        <v>28</v>
      </c>
      <c r="B38" s="54" t="s">
        <v>1599</v>
      </c>
      <c r="C38" s="616">
        <f t="shared" si="1"/>
        <v>2282907.6800000011</v>
      </c>
      <c r="D38" s="614">
        <v>1817597.1500000011</v>
      </c>
      <c r="E38" s="614">
        <v>465310.53000000014</v>
      </c>
      <c r="F38" s="550"/>
      <c r="G38" s="617">
        <f t="shared" si="0"/>
        <v>0</v>
      </c>
      <c r="H38" s="611"/>
      <c r="I38" s="611"/>
      <c r="J38" s="553">
        <f t="shared" si="2"/>
        <v>2282907.6800000011</v>
      </c>
      <c r="K38" s="553">
        <f t="shared" si="5"/>
        <v>1817597.1500000011</v>
      </c>
      <c r="L38" s="553">
        <f t="shared" si="5"/>
        <v>465310.53000000014</v>
      </c>
    </row>
    <row r="39" spans="1:12" x14ac:dyDescent="0.2">
      <c r="A39" s="2">
        <f t="shared" si="4"/>
        <v>29</v>
      </c>
      <c r="B39" s="54" t="s">
        <v>1600</v>
      </c>
      <c r="C39" s="616">
        <f t="shared" si="1"/>
        <v>106702.95</v>
      </c>
      <c r="D39" s="614">
        <v>0</v>
      </c>
      <c r="E39" s="614">
        <v>106702.95</v>
      </c>
      <c r="F39" s="550"/>
      <c r="G39" s="617">
        <f t="shared" si="0"/>
        <v>0</v>
      </c>
      <c r="H39" s="611"/>
      <c r="I39" s="611"/>
      <c r="J39" s="553">
        <f t="shared" si="2"/>
        <v>106702.95</v>
      </c>
      <c r="K39" s="553">
        <f t="shared" si="5"/>
        <v>0</v>
      </c>
      <c r="L39" s="553">
        <f t="shared" si="5"/>
        <v>106702.95</v>
      </c>
    </row>
    <row r="40" spans="1:12" x14ac:dyDescent="0.2">
      <c r="A40" s="2">
        <f t="shared" si="4"/>
        <v>30</v>
      </c>
      <c r="B40" s="54" t="s">
        <v>1601</v>
      </c>
      <c r="C40" s="616">
        <f t="shared" si="1"/>
        <v>34474.859999999993</v>
      </c>
      <c r="D40" s="614">
        <v>353.85999999999763</v>
      </c>
      <c r="E40" s="614">
        <v>34120.999999999993</v>
      </c>
      <c r="F40" s="550"/>
      <c r="G40" s="617">
        <f t="shared" si="0"/>
        <v>0</v>
      </c>
      <c r="H40" s="611"/>
      <c r="I40" s="611"/>
      <c r="J40" s="553">
        <f t="shared" si="2"/>
        <v>34474.859999999993</v>
      </c>
      <c r="K40" s="553">
        <f t="shared" si="5"/>
        <v>353.85999999999763</v>
      </c>
      <c r="L40" s="553">
        <f t="shared" si="5"/>
        <v>34120.999999999993</v>
      </c>
    </row>
    <row r="41" spans="1:12" x14ac:dyDescent="0.2">
      <c r="A41" s="2">
        <f t="shared" si="4"/>
        <v>31</v>
      </c>
      <c r="B41" s="54" t="s">
        <v>1602</v>
      </c>
      <c r="C41" s="616">
        <f t="shared" si="1"/>
        <v>6112402.1400000006</v>
      </c>
      <c r="D41" s="614"/>
      <c r="E41" s="614">
        <v>6112402.1400000006</v>
      </c>
      <c r="F41" s="550"/>
      <c r="G41" s="617">
        <f t="shared" si="0"/>
        <v>0</v>
      </c>
      <c r="H41" s="611"/>
      <c r="I41" s="611"/>
      <c r="J41" s="553">
        <f t="shared" si="2"/>
        <v>6112402.1400000006</v>
      </c>
      <c r="K41" s="553">
        <f t="shared" si="5"/>
        <v>0</v>
      </c>
      <c r="L41" s="553">
        <f t="shared" si="5"/>
        <v>6112402.1400000006</v>
      </c>
    </row>
    <row r="42" spans="1:12" x14ac:dyDescent="0.2">
      <c r="A42" s="2">
        <f t="shared" si="4"/>
        <v>32</v>
      </c>
      <c r="B42" s="54" t="s">
        <v>1603</v>
      </c>
      <c r="C42" s="616">
        <f t="shared" si="1"/>
        <v>8851685.1600000001</v>
      </c>
      <c r="D42" s="614"/>
      <c r="E42" s="614">
        <v>8851685.1600000001</v>
      </c>
      <c r="F42" s="550"/>
      <c r="G42" s="617">
        <f t="shared" si="0"/>
        <v>0</v>
      </c>
      <c r="H42" s="611"/>
      <c r="I42" s="611"/>
      <c r="J42" s="553">
        <f t="shared" si="2"/>
        <v>8851685.1600000001</v>
      </c>
      <c r="K42" s="553">
        <f t="shared" si="5"/>
        <v>0</v>
      </c>
      <c r="L42" s="553">
        <f t="shared" si="5"/>
        <v>8851685.1600000001</v>
      </c>
    </row>
    <row r="43" spans="1:12" x14ac:dyDescent="0.2">
      <c r="A43" s="2">
        <f t="shared" si="4"/>
        <v>33</v>
      </c>
      <c r="B43" s="54" t="s">
        <v>1604</v>
      </c>
      <c r="C43" s="616">
        <f t="shared" si="1"/>
        <v>3619242.0199999996</v>
      </c>
      <c r="D43" s="614"/>
      <c r="E43" s="614">
        <v>3619242.0199999996</v>
      </c>
      <c r="F43" s="550"/>
      <c r="G43" s="617">
        <f t="shared" si="0"/>
        <v>0</v>
      </c>
      <c r="H43" s="611"/>
      <c r="I43" s="611"/>
      <c r="J43" s="553">
        <f t="shared" si="2"/>
        <v>3619242.0199999996</v>
      </c>
      <c r="K43" s="553">
        <f t="shared" si="5"/>
        <v>0</v>
      </c>
      <c r="L43" s="553">
        <f t="shared" si="5"/>
        <v>3619242.0199999996</v>
      </c>
    </row>
    <row r="44" spans="1:12" x14ac:dyDescent="0.2">
      <c r="A44" s="2">
        <f t="shared" si="4"/>
        <v>34</v>
      </c>
      <c r="B44" s="54" t="s">
        <v>1605</v>
      </c>
      <c r="C44" s="616">
        <f t="shared" si="1"/>
        <v>110077.86</v>
      </c>
      <c r="D44" s="614">
        <v>0</v>
      </c>
      <c r="E44" s="614">
        <v>110077.86</v>
      </c>
      <c r="F44" s="550"/>
      <c r="G44" s="617">
        <f t="shared" si="0"/>
        <v>0</v>
      </c>
      <c r="H44" s="611"/>
      <c r="I44" s="611"/>
      <c r="J44" s="553">
        <f t="shared" si="2"/>
        <v>110077.86</v>
      </c>
      <c r="K44" s="553">
        <f t="shared" si="5"/>
        <v>0</v>
      </c>
      <c r="L44" s="553">
        <f t="shared" si="5"/>
        <v>110077.86</v>
      </c>
    </row>
    <row r="45" spans="1:12" x14ac:dyDescent="0.2">
      <c r="A45" s="2">
        <f t="shared" si="4"/>
        <v>35</v>
      </c>
      <c r="B45" s="54" t="s">
        <v>1606</v>
      </c>
      <c r="C45" s="616">
        <f t="shared" si="1"/>
        <v>919185.19000000053</v>
      </c>
      <c r="D45" s="614">
        <v>499563.45000000024</v>
      </c>
      <c r="E45" s="614">
        <v>419621.74000000028</v>
      </c>
      <c r="F45" s="550"/>
      <c r="G45" s="617">
        <f t="shared" si="0"/>
        <v>0</v>
      </c>
      <c r="H45" s="611"/>
      <c r="I45" s="611"/>
      <c r="J45" s="553">
        <f t="shared" si="2"/>
        <v>919185.19000000053</v>
      </c>
      <c r="K45" s="553">
        <f t="shared" si="5"/>
        <v>499563.45000000024</v>
      </c>
      <c r="L45" s="553">
        <f t="shared" si="5"/>
        <v>419621.74000000028</v>
      </c>
    </row>
    <row r="46" spans="1:12" x14ac:dyDescent="0.2">
      <c r="A46" s="2">
        <f t="shared" si="4"/>
        <v>36</v>
      </c>
      <c r="B46" s="54" t="s">
        <v>1607</v>
      </c>
      <c r="C46" s="616">
        <f t="shared" si="1"/>
        <v>1743473.7100000009</v>
      </c>
      <c r="D46" s="614">
        <v>1352737.8100000008</v>
      </c>
      <c r="E46" s="614">
        <v>390735.9</v>
      </c>
      <c r="F46" s="550"/>
      <c r="G46" s="617">
        <f t="shared" si="0"/>
        <v>0</v>
      </c>
      <c r="H46" s="611"/>
      <c r="I46" s="611"/>
      <c r="J46" s="553">
        <f t="shared" si="2"/>
        <v>1743473.7100000009</v>
      </c>
      <c r="K46" s="553">
        <f t="shared" si="5"/>
        <v>1352737.8100000008</v>
      </c>
      <c r="L46" s="553">
        <f t="shared" si="5"/>
        <v>390735.9</v>
      </c>
    </row>
    <row r="47" spans="1:12" x14ac:dyDescent="0.2">
      <c r="A47" s="2">
        <f t="shared" si="4"/>
        <v>37</v>
      </c>
      <c r="B47" s="54" t="s">
        <v>1608</v>
      </c>
      <c r="C47" s="616">
        <f t="shared" si="1"/>
        <v>184880.10000000003</v>
      </c>
      <c r="D47" s="614">
        <v>457757.66999999987</v>
      </c>
      <c r="E47" s="614">
        <v>-272877.56999999983</v>
      </c>
      <c r="F47" s="550"/>
      <c r="G47" s="617">
        <f t="shared" si="0"/>
        <v>0</v>
      </c>
      <c r="H47" s="611"/>
      <c r="I47" s="611"/>
      <c r="J47" s="553">
        <f t="shared" si="2"/>
        <v>184880.10000000003</v>
      </c>
      <c r="K47" s="553">
        <f t="shared" si="5"/>
        <v>457757.66999999987</v>
      </c>
      <c r="L47" s="553">
        <f t="shared" si="5"/>
        <v>-272877.56999999983</v>
      </c>
    </row>
    <row r="48" spans="1:12" x14ac:dyDescent="0.2">
      <c r="A48" s="2">
        <f t="shared" si="4"/>
        <v>38</v>
      </c>
      <c r="B48" s="54" t="s">
        <v>1609</v>
      </c>
      <c r="C48" s="616">
        <f t="shared" si="1"/>
        <v>2400625.339999998</v>
      </c>
      <c r="D48" s="614">
        <v>1307754.7399999974</v>
      </c>
      <c r="E48" s="614">
        <v>1092870.6000000008</v>
      </c>
      <c r="F48" s="550"/>
      <c r="G48" s="617">
        <f t="shared" si="0"/>
        <v>0</v>
      </c>
      <c r="H48" s="611"/>
      <c r="I48" s="611"/>
      <c r="J48" s="553">
        <f t="shared" si="2"/>
        <v>2400625.339999998</v>
      </c>
      <c r="K48" s="553">
        <f t="shared" si="5"/>
        <v>1307754.7399999974</v>
      </c>
      <c r="L48" s="553">
        <f t="shared" si="5"/>
        <v>1092870.6000000008</v>
      </c>
    </row>
    <row r="49" spans="1:12" x14ac:dyDescent="0.2">
      <c r="A49" s="2">
        <f t="shared" si="4"/>
        <v>39</v>
      </c>
      <c r="B49" t="s">
        <v>2070</v>
      </c>
      <c r="C49" s="616">
        <f t="shared" si="1"/>
        <v>4422892.6099999985</v>
      </c>
      <c r="D49" s="614">
        <v>759766.47000000009</v>
      </c>
      <c r="E49" s="614">
        <v>3663126.1399999987</v>
      </c>
      <c r="F49" s="550"/>
      <c r="G49" s="617">
        <f t="shared" si="0"/>
        <v>0</v>
      </c>
      <c r="H49" s="611"/>
      <c r="I49" s="611"/>
      <c r="J49" s="553">
        <f t="shared" si="2"/>
        <v>4422892.6099999985</v>
      </c>
      <c r="K49" s="553">
        <f t="shared" si="5"/>
        <v>759766.47000000009</v>
      </c>
      <c r="L49" s="553">
        <f t="shared" si="5"/>
        <v>3663126.1399999987</v>
      </c>
    </row>
    <row r="50" spans="1:12" x14ac:dyDescent="0.2">
      <c r="A50" s="2">
        <f t="shared" si="4"/>
        <v>40</v>
      </c>
      <c r="B50" s="54" t="s">
        <v>1610</v>
      </c>
      <c r="C50" s="616">
        <f t="shared" si="1"/>
        <v>788022.09</v>
      </c>
      <c r="D50" s="614">
        <v>0.88999999999998602</v>
      </c>
      <c r="E50" s="614">
        <v>788021.2</v>
      </c>
      <c r="F50" s="550"/>
      <c r="G50" s="617">
        <f t="shared" si="0"/>
        <v>0</v>
      </c>
      <c r="H50" s="611"/>
      <c r="I50" s="611"/>
      <c r="J50" s="553">
        <f t="shared" si="2"/>
        <v>788022.09</v>
      </c>
      <c r="K50" s="553">
        <f t="shared" si="5"/>
        <v>0.88999999999998602</v>
      </c>
      <c r="L50" s="553">
        <f t="shared" si="5"/>
        <v>788021.2</v>
      </c>
    </row>
    <row r="51" spans="1:12" x14ac:dyDescent="0.2">
      <c r="A51" s="2">
        <f t="shared" si="4"/>
        <v>41</v>
      </c>
      <c r="B51" s="54" t="s">
        <v>1611</v>
      </c>
      <c r="C51" s="616">
        <f t="shared" si="1"/>
        <v>2584988.5199999972</v>
      </c>
      <c r="D51" s="614">
        <v>1812440.7099999972</v>
      </c>
      <c r="E51" s="614">
        <v>772547.80999999994</v>
      </c>
      <c r="F51" s="550"/>
      <c r="G51" s="617">
        <f t="shared" si="0"/>
        <v>0</v>
      </c>
      <c r="H51" s="611"/>
      <c r="I51" s="611"/>
      <c r="J51" s="553">
        <f t="shared" si="2"/>
        <v>2584988.5199999972</v>
      </c>
      <c r="K51" s="553">
        <f t="shared" si="5"/>
        <v>1812440.7099999972</v>
      </c>
      <c r="L51" s="553">
        <f t="shared" si="5"/>
        <v>772547.80999999994</v>
      </c>
    </row>
    <row r="52" spans="1:12" x14ac:dyDescent="0.2">
      <c r="A52" s="2">
        <f t="shared" si="4"/>
        <v>42</v>
      </c>
      <c r="B52" s="54" t="s">
        <v>1612</v>
      </c>
      <c r="C52" s="616">
        <f t="shared" si="1"/>
        <v>7442521.8499999987</v>
      </c>
      <c r="D52" s="614">
        <v>3522714.0199999972</v>
      </c>
      <c r="E52" s="614">
        <v>3919807.8300000015</v>
      </c>
      <c r="F52" s="550"/>
      <c r="G52" s="617">
        <f t="shared" si="0"/>
        <v>0</v>
      </c>
      <c r="H52" s="611"/>
      <c r="I52" s="611"/>
      <c r="J52" s="553">
        <f t="shared" si="2"/>
        <v>7442521.8499999987</v>
      </c>
      <c r="K52" s="553">
        <f t="shared" si="5"/>
        <v>3522714.0199999972</v>
      </c>
      <c r="L52" s="553">
        <f t="shared" si="5"/>
        <v>3919807.8300000015</v>
      </c>
    </row>
    <row r="53" spans="1:12" x14ac:dyDescent="0.2">
      <c r="A53" s="2">
        <f t="shared" si="4"/>
        <v>43</v>
      </c>
      <c r="B53" s="54" t="s">
        <v>1613</v>
      </c>
      <c r="C53" s="616">
        <f t="shared" si="1"/>
        <v>12468841.099999962</v>
      </c>
      <c r="D53" s="614">
        <v>1207068.9399999978</v>
      </c>
      <c r="E53" s="614">
        <v>11261772.159999965</v>
      </c>
      <c r="F53" s="550"/>
      <c r="G53" s="618">
        <f t="shared" si="0"/>
        <v>0</v>
      </c>
      <c r="H53" s="611"/>
      <c r="I53" s="611"/>
      <c r="J53" s="553">
        <f t="shared" si="2"/>
        <v>12468841.099999962</v>
      </c>
      <c r="K53" s="553">
        <f t="shared" si="5"/>
        <v>1207068.9399999978</v>
      </c>
      <c r="L53" s="553">
        <f t="shared" si="5"/>
        <v>11261772.159999965</v>
      </c>
    </row>
    <row r="54" spans="1:12" x14ac:dyDescent="0.2">
      <c r="A54" s="696">
        <f t="shared" si="4"/>
        <v>44</v>
      </c>
      <c r="B54" s="555" t="s">
        <v>1840</v>
      </c>
      <c r="C54" s="616">
        <f t="shared" si="1"/>
        <v>6496602.0800000019</v>
      </c>
      <c r="D54" s="699">
        <v>1071427.3799999994</v>
      </c>
      <c r="E54" s="699">
        <v>5425174.700000002</v>
      </c>
      <c r="F54" s="550"/>
      <c r="G54" s="618">
        <f t="shared" si="0"/>
        <v>0</v>
      </c>
      <c r="H54" s="611"/>
      <c r="I54" s="611"/>
      <c r="J54" s="553">
        <f t="shared" ref="J54" si="6">SUM(K54:L54)</f>
        <v>6496602.0800000019</v>
      </c>
      <c r="K54" s="553">
        <f t="shared" ref="K54" si="7">D54+H54</f>
        <v>1071427.3799999994</v>
      </c>
      <c r="L54" s="553">
        <f t="shared" ref="L54" si="8">E54+I54</f>
        <v>5425174.700000002</v>
      </c>
    </row>
    <row r="55" spans="1:12" x14ac:dyDescent="0.2">
      <c r="A55" s="696">
        <f t="shared" si="4"/>
        <v>45</v>
      </c>
      <c r="B55" s="54" t="s">
        <v>1614</v>
      </c>
      <c r="C55" s="616">
        <f t="shared" si="1"/>
        <v>474217.91000000003</v>
      </c>
      <c r="D55" s="614">
        <v>0</v>
      </c>
      <c r="E55" s="614">
        <v>474217.91000000003</v>
      </c>
      <c r="F55" s="550"/>
      <c r="G55" s="617">
        <f t="shared" si="0"/>
        <v>0</v>
      </c>
      <c r="H55" s="611"/>
      <c r="I55" s="611"/>
      <c r="J55" s="553">
        <f t="shared" si="2"/>
        <v>474217.91000000003</v>
      </c>
      <c r="K55" s="553">
        <f t="shared" si="5"/>
        <v>0</v>
      </c>
      <c r="L55" s="553">
        <f t="shared" si="5"/>
        <v>474217.91000000003</v>
      </c>
    </row>
    <row r="56" spans="1:12" x14ac:dyDescent="0.2">
      <c r="A56" s="696">
        <f t="shared" si="4"/>
        <v>46</v>
      </c>
      <c r="B56" s="54" t="s">
        <v>1615</v>
      </c>
      <c r="C56" s="616">
        <f t="shared" si="1"/>
        <v>342167.80999999994</v>
      </c>
      <c r="D56" s="614">
        <v>110697.83000000002</v>
      </c>
      <c r="E56" s="614">
        <v>231469.97999999992</v>
      </c>
      <c r="F56" s="550"/>
      <c r="G56" s="617">
        <f t="shared" si="0"/>
        <v>0</v>
      </c>
      <c r="H56" s="611"/>
      <c r="I56" s="611"/>
      <c r="J56" s="553">
        <f t="shared" si="2"/>
        <v>342167.80999999994</v>
      </c>
      <c r="K56" s="553">
        <f t="shared" si="5"/>
        <v>110697.83000000002</v>
      </c>
      <c r="L56" s="553">
        <f t="shared" si="5"/>
        <v>231469.97999999992</v>
      </c>
    </row>
    <row r="57" spans="1:12" x14ac:dyDescent="0.2">
      <c r="A57" s="696">
        <f t="shared" si="4"/>
        <v>47</v>
      </c>
      <c r="B57" s="54" t="s">
        <v>1616</v>
      </c>
      <c r="C57" s="616">
        <f t="shared" si="1"/>
        <v>17493.63</v>
      </c>
      <c r="D57" s="614">
        <v>0</v>
      </c>
      <c r="E57" s="614">
        <v>17493.63</v>
      </c>
      <c r="F57" s="550"/>
      <c r="G57" s="617">
        <f t="shared" si="0"/>
        <v>0</v>
      </c>
      <c r="H57" s="611"/>
      <c r="I57" s="611"/>
      <c r="J57" s="553">
        <f t="shared" si="2"/>
        <v>17493.63</v>
      </c>
      <c r="K57" s="553">
        <f t="shared" si="5"/>
        <v>0</v>
      </c>
      <c r="L57" s="553">
        <f t="shared" si="5"/>
        <v>17493.63</v>
      </c>
    </row>
    <row r="58" spans="1:12" ht="15" x14ac:dyDescent="0.35">
      <c r="A58" s="696">
        <f t="shared" si="4"/>
        <v>48</v>
      </c>
      <c r="B58" s="54" t="s">
        <v>1617</v>
      </c>
      <c r="C58" s="615">
        <f t="shared" si="1"/>
        <v>3148853.0800000005</v>
      </c>
      <c r="D58" s="614">
        <v>473032.69000000041</v>
      </c>
      <c r="E58" s="614">
        <v>2675820.39</v>
      </c>
      <c r="F58" s="561"/>
      <c r="G58" s="619">
        <f t="shared" si="0"/>
        <v>0</v>
      </c>
      <c r="H58" s="613"/>
      <c r="I58" s="613"/>
      <c r="J58" s="563">
        <f t="shared" si="2"/>
        <v>3148853.0800000005</v>
      </c>
      <c r="K58" s="563">
        <f t="shared" si="5"/>
        <v>473032.69000000041</v>
      </c>
      <c r="L58" s="563">
        <f t="shared" si="5"/>
        <v>2675820.39</v>
      </c>
    </row>
    <row r="59" spans="1:12" ht="15" x14ac:dyDescent="0.35">
      <c r="A59" s="696">
        <f t="shared" si="4"/>
        <v>49</v>
      </c>
      <c r="B59" s="564" t="s">
        <v>617</v>
      </c>
      <c r="C59" s="565" t="s">
        <v>92</v>
      </c>
      <c r="D59" s="565" t="s">
        <v>92</v>
      </c>
      <c r="E59" s="565" t="s">
        <v>92</v>
      </c>
      <c r="F59" s="565" t="s">
        <v>92</v>
      </c>
      <c r="G59" s="620">
        <f t="shared" si="0"/>
        <v>0</v>
      </c>
      <c r="H59" s="565" t="s">
        <v>92</v>
      </c>
      <c r="I59" s="565" t="s">
        <v>92</v>
      </c>
      <c r="J59" s="566"/>
      <c r="K59" s="566"/>
      <c r="L59" s="566"/>
    </row>
    <row r="60" spans="1:12" x14ac:dyDescent="0.2">
      <c r="A60" s="696">
        <f t="shared" si="4"/>
        <v>50</v>
      </c>
      <c r="B60" s="555" t="s">
        <v>1644</v>
      </c>
      <c r="C60" s="567">
        <v>0</v>
      </c>
      <c r="D60" s="567">
        <v>0</v>
      </c>
      <c r="E60" s="567">
        <v>0</v>
      </c>
      <c r="F60" s="568" t="s">
        <v>679</v>
      </c>
      <c r="G60" s="621">
        <f t="shared" si="0"/>
        <v>11531030.655841717</v>
      </c>
      <c r="H60" s="631">
        <f>+C86*C187</f>
        <v>11531030.655841717</v>
      </c>
      <c r="I60" s="631">
        <v>0</v>
      </c>
      <c r="J60" s="626">
        <f t="shared" si="2"/>
        <v>11531030.655841717</v>
      </c>
      <c r="K60" s="626">
        <f>D60+H60</f>
        <v>11531030.655841717</v>
      </c>
      <c r="L60" s="626">
        <f>E60+I60</f>
        <v>0</v>
      </c>
    </row>
    <row r="61" spans="1:12" x14ac:dyDescent="0.2">
      <c r="A61" s="696">
        <f t="shared" si="4"/>
        <v>51</v>
      </c>
      <c r="B61" s="570" t="s">
        <v>1618</v>
      </c>
      <c r="C61" s="615">
        <f>SUM(D61:E61)</f>
        <v>265131507.36999995</v>
      </c>
      <c r="D61" s="623">
        <f>SUM(D11:D60)</f>
        <v>68083431.289999992</v>
      </c>
      <c r="E61" s="623">
        <f>SUM(E11:E60)</f>
        <v>197048076.07999995</v>
      </c>
      <c r="F61" s="624"/>
      <c r="G61" s="622">
        <f t="shared" ref="G61:L61" si="9">SUM(G11:G60)</f>
        <v>-78890079.264158279</v>
      </c>
      <c r="H61" s="625">
        <f t="shared" si="9"/>
        <v>10748406.465841716</v>
      </c>
      <c r="I61" s="625">
        <f t="shared" si="9"/>
        <v>-89638485.729999989</v>
      </c>
      <c r="J61" s="625">
        <f t="shared" si="9"/>
        <v>186241428.1058417</v>
      </c>
      <c r="K61" s="625">
        <f t="shared" si="9"/>
        <v>78831837.755841732</v>
      </c>
      <c r="L61" s="625">
        <f t="shared" si="9"/>
        <v>107409590.34999996</v>
      </c>
    </row>
    <row r="62" spans="1:12" x14ac:dyDescent="0.2">
      <c r="A62" s="696">
        <f t="shared" si="4"/>
        <v>52</v>
      </c>
      <c r="B62" s="554"/>
      <c r="C62" s="559"/>
      <c r="D62" s="571"/>
      <c r="E62" s="571"/>
      <c r="F62" s="572"/>
      <c r="G62" s="551"/>
      <c r="H62" s="574"/>
      <c r="I62" s="574"/>
      <c r="J62" s="553"/>
      <c r="K62" s="553"/>
      <c r="L62" s="553"/>
    </row>
    <row r="63" spans="1:12" x14ac:dyDescent="0.2">
      <c r="A63" s="2"/>
      <c r="B63" s="575"/>
      <c r="C63" s="571"/>
      <c r="D63" s="571"/>
      <c r="E63" s="571"/>
      <c r="F63" s="572"/>
      <c r="G63" s="576"/>
      <c r="H63" s="571"/>
      <c r="I63" s="571"/>
      <c r="J63" s="571"/>
      <c r="K63" s="571"/>
      <c r="L63" s="571"/>
    </row>
    <row r="64" spans="1:12" x14ac:dyDescent="0.2">
      <c r="A64" s="2"/>
      <c r="B64" s="529" t="s">
        <v>417</v>
      </c>
      <c r="C64" s="529" t="s">
        <v>400</v>
      </c>
      <c r="D64" s="529" t="s">
        <v>401</v>
      </c>
      <c r="E64" s="529" t="s">
        <v>402</v>
      </c>
      <c r="F64" s="530" t="s">
        <v>403</v>
      </c>
      <c r="G64" s="529" t="s">
        <v>404</v>
      </c>
      <c r="H64" s="529" t="s">
        <v>405</v>
      </c>
      <c r="I64" s="529" t="s">
        <v>654</v>
      </c>
      <c r="J64" s="529" t="s">
        <v>1128</v>
      </c>
      <c r="K64" s="529" t="s">
        <v>1145</v>
      </c>
      <c r="L64" s="529" t="s">
        <v>1148</v>
      </c>
    </row>
    <row r="65" spans="1:12" x14ac:dyDescent="0.2">
      <c r="A65" s="2"/>
      <c r="B65" s="575"/>
      <c r="C65" s="838" t="s">
        <v>1560</v>
      </c>
      <c r="D65" s="527"/>
      <c r="E65" s="527"/>
      <c r="F65" s="532" t="s">
        <v>419</v>
      </c>
      <c r="G65" s="838" t="s">
        <v>1561</v>
      </c>
      <c r="H65" s="533"/>
      <c r="I65" s="533"/>
      <c r="J65" s="838" t="s">
        <v>1562</v>
      </c>
      <c r="K65" s="838" t="s">
        <v>1563</v>
      </c>
      <c r="L65" s="839" t="s">
        <v>1564</v>
      </c>
    </row>
    <row r="66" spans="1:12" x14ac:dyDescent="0.2">
      <c r="A66" s="2"/>
      <c r="C66" s="559"/>
      <c r="D66" s="571"/>
      <c r="E66" s="571"/>
      <c r="F66" s="572"/>
      <c r="G66" s="551"/>
      <c r="H66" s="577"/>
      <c r="I66" s="577"/>
      <c r="J66" s="553"/>
      <c r="K66" s="553"/>
      <c r="L66" s="553"/>
    </row>
    <row r="67" spans="1:12" x14ac:dyDescent="0.2">
      <c r="A67" s="2"/>
      <c r="B67" s="1068" t="s">
        <v>1565</v>
      </c>
      <c r="C67" s="1070" t="s">
        <v>1566</v>
      </c>
      <c r="D67" s="1070"/>
      <c r="E67" s="1070"/>
      <c r="F67" s="543"/>
      <c r="G67" s="1066" t="s">
        <v>1567</v>
      </c>
      <c r="H67" s="1066"/>
      <c r="I67" s="1067"/>
      <c r="J67" s="1065" t="s">
        <v>1568</v>
      </c>
      <c r="K67" s="1066"/>
      <c r="L67" s="1067"/>
    </row>
    <row r="68" spans="1:12" x14ac:dyDescent="0.2">
      <c r="A68" s="2"/>
      <c r="B68" s="1069"/>
      <c r="C68" s="542" t="s">
        <v>225</v>
      </c>
      <c r="D68" s="542" t="s">
        <v>1569</v>
      </c>
      <c r="E68" s="544" t="s">
        <v>1570</v>
      </c>
      <c r="F68" s="545" t="s">
        <v>1492</v>
      </c>
      <c r="G68" s="544" t="s">
        <v>225</v>
      </c>
      <c r="H68" s="544" t="s">
        <v>1569</v>
      </c>
      <c r="I68" s="544" t="s">
        <v>1570</v>
      </c>
      <c r="J68" s="542" t="s">
        <v>225</v>
      </c>
      <c r="K68" s="544" t="s">
        <v>1569</v>
      </c>
      <c r="L68" s="544" t="s">
        <v>1570</v>
      </c>
    </row>
    <row r="69" spans="1:12" x14ac:dyDescent="0.2">
      <c r="A69" s="2"/>
      <c r="B69" s="578" t="s">
        <v>1619</v>
      </c>
      <c r="C69" s="296"/>
      <c r="D69" s="296"/>
      <c r="E69" s="547"/>
      <c r="F69" s="548"/>
      <c r="G69" s="547"/>
      <c r="H69" s="547"/>
      <c r="I69" s="547"/>
      <c r="J69" s="296"/>
      <c r="K69" s="547"/>
      <c r="L69" s="547"/>
    </row>
    <row r="70" spans="1:12" x14ac:dyDescent="0.2">
      <c r="A70" s="2">
        <f>A62+1</f>
        <v>53</v>
      </c>
      <c r="B70" s="54" t="s">
        <v>1620</v>
      </c>
      <c r="C70" s="549">
        <f t="shared" ref="C70:C78" si="10">SUM(D70:E70)</f>
        <v>19976391.669999994</v>
      </c>
      <c r="D70" s="614">
        <v>13694748.369999995</v>
      </c>
      <c r="E70" s="614">
        <v>6281643.2999999989</v>
      </c>
      <c r="F70" s="550"/>
      <c r="G70" s="551">
        <f t="shared" ref="G70:G78" si="11">SUM(H70:I70)</f>
        <v>0</v>
      </c>
      <c r="H70" s="552"/>
      <c r="I70" s="552"/>
      <c r="J70" s="553">
        <f t="shared" ref="J70:J77" si="12">SUM(K70:L70)</f>
        <v>19976391.669999994</v>
      </c>
      <c r="K70" s="553">
        <f t="shared" ref="K70:L79" si="13">D70+H70</f>
        <v>13694748.369999995</v>
      </c>
      <c r="L70" s="553">
        <f t="shared" si="13"/>
        <v>6281643.2999999989</v>
      </c>
    </row>
    <row r="71" spans="1:12" x14ac:dyDescent="0.2">
      <c r="A71" s="2">
        <f t="shared" ref="A71:A84" si="14">A70+1</f>
        <v>54</v>
      </c>
      <c r="B71" s="54" t="s">
        <v>1621</v>
      </c>
      <c r="C71" s="549">
        <f t="shared" si="10"/>
        <v>10011035.219999999</v>
      </c>
      <c r="D71" s="614">
        <v>7181278.4099999983</v>
      </c>
      <c r="E71" s="614">
        <v>2829756.8100000005</v>
      </c>
      <c r="F71" s="550"/>
      <c r="G71" s="551">
        <f t="shared" si="11"/>
        <v>0</v>
      </c>
      <c r="H71" s="552"/>
      <c r="I71" s="552"/>
      <c r="J71" s="553">
        <f t="shared" si="12"/>
        <v>10011035.219999999</v>
      </c>
      <c r="K71" s="553">
        <f t="shared" si="13"/>
        <v>7181278.4099999983</v>
      </c>
      <c r="L71" s="553">
        <f t="shared" si="13"/>
        <v>2829756.8100000005</v>
      </c>
    </row>
    <row r="72" spans="1:12" x14ac:dyDescent="0.2">
      <c r="A72" s="2">
        <f t="shared" si="14"/>
        <v>55</v>
      </c>
      <c r="B72" s="54" t="s">
        <v>1622</v>
      </c>
      <c r="C72" s="549">
        <f t="shared" si="10"/>
        <v>2267016.58</v>
      </c>
      <c r="D72" s="614">
        <v>1811480.8600000003</v>
      </c>
      <c r="E72" s="614">
        <v>455535.72</v>
      </c>
      <c r="F72" s="550"/>
      <c r="G72" s="551">
        <f t="shared" si="11"/>
        <v>0</v>
      </c>
      <c r="H72" s="552"/>
      <c r="I72" s="552"/>
      <c r="J72" s="553">
        <f t="shared" si="12"/>
        <v>2267016.58</v>
      </c>
      <c r="K72" s="553">
        <f t="shared" si="13"/>
        <v>1811480.8600000003</v>
      </c>
      <c r="L72" s="553">
        <f t="shared" si="13"/>
        <v>455535.72</v>
      </c>
    </row>
    <row r="73" spans="1:12" x14ac:dyDescent="0.2">
      <c r="A73" s="2">
        <f t="shared" si="14"/>
        <v>56</v>
      </c>
      <c r="B73" s="54" t="s">
        <v>1623</v>
      </c>
      <c r="C73" s="549">
        <f t="shared" si="10"/>
        <v>110635.80999999998</v>
      </c>
      <c r="D73" s="614">
        <v>19025.289999999997</v>
      </c>
      <c r="E73" s="614">
        <v>91610.51999999999</v>
      </c>
      <c r="F73" s="550"/>
      <c r="G73" s="551">
        <f t="shared" si="11"/>
        <v>0</v>
      </c>
      <c r="H73" s="552"/>
      <c r="I73" s="552"/>
      <c r="J73" s="553">
        <f t="shared" si="12"/>
        <v>110635.80999999998</v>
      </c>
      <c r="K73" s="553">
        <f t="shared" si="13"/>
        <v>19025.289999999997</v>
      </c>
      <c r="L73" s="553">
        <f t="shared" si="13"/>
        <v>91610.51999999999</v>
      </c>
    </row>
    <row r="74" spans="1:12" x14ac:dyDescent="0.2">
      <c r="A74" s="2">
        <f t="shared" si="14"/>
        <v>57</v>
      </c>
      <c r="B74" s="54" t="s">
        <v>1624</v>
      </c>
      <c r="C74" s="549">
        <f t="shared" si="10"/>
        <v>792709.81</v>
      </c>
      <c r="D74" s="614">
        <v>520742.43</v>
      </c>
      <c r="E74" s="614">
        <v>271967.38000000006</v>
      </c>
      <c r="F74" s="550"/>
      <c r="G74" s="551">
        <f t="shared" si="11"/>
        <v>0</v>
      </c>
      <c r="H74" s="552"/>
      <c r="I74" s="552"/>
      <c r="J74" s="553">
        <f t="shared" si="12"/>
        <v>792709.81</v>
      </c>
      <c r="K74" s="553">
        <f t="shared" si="13"/>
        <v>520742.43</v>
      </c>
      <c r="L74" s="553">
        <f t="shared" si="13"/>
        <v>271967.38000000006</v>
      </c>
    </row>
    <row r="75" spans="1:12" x14ac:dyDescent="0.2">
      <c r="A75" s="2">
        <f t="shared" si="14"/>
        <v>58</v>
      </c>
      <c r="B75" s="54" t="s">
        <v>1625</v>
      </c>
      <c r="C75" s="549">
        <f t="shared" si="10"/>
        <v>2143515.19</v>
      </c>
      <c r="D75" s="614">
        <v>1792190.25</v>
      </c>
      <c r="E75" s="614">
        <v>351324.94000000006</v>
      </c>
      <c r="F75" s="550"/>
      <c r="G75" s="551">
        <f t="shared" si="11"/>
        <v>0</v>
      </c>
      <c r="H75" s="552"/>
      <c r="I75" s="552"/>
      <c r="J75" s="553">
        <f t="shared" si="12"/>
        <v>2143515.19</v>
      </c>
      <c r="K75" s="553">
        <f t="shared" si="13"/>
        <v>1792190.25</v>
      </c>
      <c r="L75" s="553">
        <f t="shared" si="13"/>
        <v>351324.94000000006</v>
      </c>
    </row>
    <row r="76" spans="1:12" x14ac:dyDescent="0.2">
      <c r="A76" s="2">
        <f t="shared" si="14"/>
        <v>59</v>
      </c>
      <c r="B76" s="54" t="s">
        <v>1626</v>
      </c>
      <c r="C76" s="549">
        <f t="shared" si="10"/>
        <v>579608.49999999988</v>
      </c>
      <c r="D76" s="614">
        <v>450933.48999999987</v>
      </c>
      <c r="E76" s="614">
        <v>128675.01000000001</v>
      </c>
      <c r="F76" s="550"/>
      <c r="G76" s="551">
        <f t="shared" si="11"/>
        <v>0</v>
      </c>
      <c r="H76" s="552"/>
      <c r="I76" s="552"/>
      <c r="J76" s="553">
        <f t="shared" si="12"/>
        <v>579608.49999999988</v>
      </c>
      <c r="K76" s="553">
        <f t="shared" si="13"/>
        <v>450933.48999999987</v>
      </c>
      <c r="L76" s="553">
        <f t="shared" si="13"/>
        <v>128675.01000000001</v>
      </c>
    </row>
    <row r="77" spans="1:12" x14ac:dyDescent="0.2">
      <c r="A77" s="2">
        <f t="shared" si="14"/>
        <v>60</v>
      </c>
      <c r="B77" s="54" t="s">
        <v>1627</v>
      </c>
      <c r="C77" s="549">
        <f t="shared" si="10"/>
        <v>2721487.68</v>
      </c>
      <c r="D77" s="614">
        <v>1031422.7700000001</v>
      </c>
      <c r="E77" s="614">
        <v>1690064.9100000001</v>
      </c>
      <c r="F77" s="550"/>
      <c r="G77" s="551">
        <f t="shared" si="11"/>
        <v>0</v>
      </c>
      <c r="H77" s="552"/>
      <c r="I77" s="552"/>
      <c r="J77" s="553">
        <f t="shared" si="12"/>
        <v>2721487.68</v>
      </c>
      <c r="K77" s="553">
        <f t="shared" si="13"/>
        <v>1031422.7700000001</v>
      </c>
      <c r="L77" s="553">
        <f t="shared" si="13"/>
        <v>1690064.9100000001</v>
      </c>
    </row>
    <row r="78" spans="1:12" x14ac:dyDescent="0.2">
      <c r="A78" s="2">
        <f t="shared" si="14"/>
        <v>61</v>
      </c>
      <c r="B78" s="54" t="s">
        <v>1628</v>
      </c>
      <c r="C78" s="549">
        <f t="shared" si="10"/>
        <v>429042657.41999996</v>
      </c>
      <c r="D78" s="627">
        <v>179213312.13</v>
      </c>
      <c r="E78" s="627">
        <v>249829345.28999999</v>
      </c>
      <c r="F78" s="550" t="s">
        <v>680</v>
      </c>
      <c r="G78" s="551">
        <f t="shared" si="11"/>
        <v>-461950.78</v>
      </c>
      <c r="H78" s="552">
        <v>-126554.13</v>
      </c>
      <c r="I78" s="552">
        <v>-335396.65000000002</v>
      </c>
      <c r="J78" s="563">
        <f>C78+G78</f>
        <v>428580706.63999999</v>
      </c>
      <c r="K78" s="553">
        <f t="shared" si="13"/>
        <v>179086758</v>
      </c>
      <c r="L78" s="553">
        <f t="shared" si="13"/>
        <v>249493948.63999999</v>
      </c>
    </row>
    <row r="79" spans="1:12" x14ac:dyDescent="0.2">
      <c r="A79" s="2">
        <f>A78+1</f>
        <v>62</v>
      </c>
      <c r="B79" s="555" t="s">
        <v>1645</v>
      </c>
      <c r="C79" s="567">
        <v>0</v>
      </c>
      <c r="D79" s="567">
        <v>0</v>
      </c>
      <c r="E79" s="567">
        <v>0</v>
      </c>
      <c r="F79" s="568" t="s">
        <v>679</v>
      </c>
      <c r="G79" s="569">
        <f>SUM(H79:I79)</f>
        <v>34841186.344158292</v>
      </c>
      <c r="H79" s="568">
        <f>+C86*C188</f>
        <v>34841186.344158292</v>
      </c>
      <c r="I79" s="568">
        <v>0</v>
      </c>
      <c r="J79" s="579">
        <f>SUM(K79:L79)</f>
        <v>34841186.344158292</v>
      </c>
      <c r="K79" s="579">
        <f t="shared" si="13"/>
        <v>34841186.344158292</v>
      </c>
      <c r="L79" s="579">
        <f t="shared" si="13"/>
        <v>0</v>
      </c>
    </row>
    <row r="80" spans="1:12" x14ac:dyDescent="0.2">
      <c r="A80" s="2">
        <f t="shared" si="14"/>
        <v>63</v>
      </c>
      <c r="B80" s="575" t="s">
        <v>1629</v>
      </c>
      <c r="C80" s="571">
        <f>SUM(C70:C79)</f>
        <v>467645057.87999994</v>
      </c>
      <c r="D80" s="571">
        <f>SUM(D70:D79)</f>
        <v>205715134</v>
      </c>
      <c r="E80" s="571">
        <f>SUM(E70:E79)</f>
        <v>261929923.88</v>
      </c>
      <c r="F80" s="572"/>
      <c r="G80" s="576">
        <f t="shared" ref="G80:L80" si="15">SUM(G70:G79)</f>
        <v>34379235.564158291</v>
      </c>
      <c r="H80" s="571">
        <f t="shared" si="15"/>
        <v>34714632.214158289</v>
      </c>
      <c r="I80" s="571">
        <f t="shared" si="15"/>
        <v>-335396.65000000002</v>
      </c>
      <c r="J80" s="571">
        <f>SUM(J70:J79)</f>
        <v>502024293.44415826</v>
      </c>
      <c r="K80" s="571">
        <f t="shared" si="15"/>
        <v>240429766.2141583</v>
      </c>
      <c r="L80" s="571">
        <f t="shared" si="15"/>
        <v>261594527.22999999</v>
      </c>
    </row>
    <row r="81" spans="1:12" x14ac:dyDescent="0.2">
      <c r="A81" s="2">
        <f t="shared" si="14"/>
        <v>64</v>
      </c>
      <c r="B81" s="340"/>
      <c r="C81" s="549"/>
      <c r="D81" s="571"/>
      <c r="E81" s="571"/>
      <c r="F81" s="580"/>
      <c r="G81" s="551"/>
      <c r="H81" s="574"/>
      <c r="I81" s="574"/>
      <c r="J81" s="553"/>
      <c r="K81" s="553"/>
      <c r="L81" s="553"/>
    </row>
    <row r="82" spans="1:12" x14ac:dyDescent="0.2">
      <c r="A82" s="2">
        <f t="shared" si="14"/>
        <v>65</v>
      </c>
      <c r="B82" s="570" t="s">
        <v>1630</v>
      </c>
      <c r="C82" s="560">
        <f>+C61+C80</f>
        <v>732776565.24999988</v>
      </c>
      <c r="D82" s="560">
        <f>D80+D61</f>
        <v>273798565.28999996</v>
      </c>
      <c r="E82" s="560">
        <f>E80+E61</f>
        <v>458977999.95999992</v>
      </c>
      <c r="F82" s="581"/>
      <c r="G82" s="562">
        <f>+G61+G80</f>
        <v>-44510843.699999988</v>
      </c>
      <c r="H82" s="563">
        <f>H80+H61</f>
        <v>45463038.680000007</v>
      </c>
      <c r="I82" s="563">
        <f>I80+I61</f>
        <v>-89973882.379999995</v>
      </c>
      <c r="J82" s="563">
        <f>J80+J61</f>
        <v>688265721.54999995</v>
      </c>
      <c r="K82" s="563">
        <f>K80+K61</f>
        <v>319261603.97000003</v>
      </c>
      <c r="L82" s="563">
        <f>L80+L61</f>
        <v>369004117.57999992</v>
      </c>
    </row>
    <row r="83" spans="1:12" x14ac:dyDescent="0.2">
      <c r="A83" s="2">
        <f t="shared" si="14"/>
        <v>66</v>
      </c>
      <c r="B83" s="554"/>
      <c r="C83" s="559"/>
      <c r="D83" s="559"/>
      <c r="E83" s="559"/>
      <c r="F83" s="582"/>
      <c r="G83" s="583"/>
      <c r="H83" s="574"/>
      <c r="I83" s="574"/>
      <c r="J83" s="554"/>
      <c r="K83" s="554"/>
      <c r="L83" s="554"/>
    </row>
    <row r="84" spans="1:12" x14ac:dyDescent="0.2">
      <c r="A84" s="2">
        <f t="shared" si="14"/>
        <v>67</v>
      </c>
      <c r="B84" s="54" t="s">
        <v>1631</v>
      </c>
      <c r="C84" s="584">
        <v>265131506</v>
      </c>
      <c r="D84" s="585" t="s">
        <v>1632</v>
      </c>
      <c r="E84" s="560" t="str">
        <f>"Must equal Line "&amp;A61&amp;", Column 2."</f>
        <v>Must equal Line 51, Column 2.</v>
      </c>
      <c r="F84" s="581"/>
      <c r="G84" s="586"/>
      <c r="H84" s="587"/>
      <c r="I84" s="587"/>
      <c r="J84" s="587"/>
      <c r="K84" s="587"/>
      <c r="L84" s="587"/>
    </row>
    <row r="85" spans="1:12" x14ac:dyDescent="0.2">
      <c r="A85" s="2">
        <f>A84+1</f>
        <v>68</v>
      </c>
      <c r="B85" s="54" t="s">
        <v>1633</v>
      </c>
      <c r="C85" s="588">
        <v>467645059</v>
      </c>
      <c r="D85" s="585" t="s">
        <v>1634</v>
      </c>
      <c r="E85" s="560" t="str">
        <f>"Must equal Line "&amp;A80&amp;", Column 2."</f>
        <v>Must equal Line 63, Column 2.</v>
      </c>
      <c r="F85" s="581"/>
      <c r="G85" s="551"/>
      <c r="H85" s="553"/>
      <c r="I85" s="553"/>
      <c r="J85" s="553"/>
      <c r="K85" s="553"/>
      <c r="L85" s="553"/>
    </row>
    <row r="86" spans="1:12" x14ac:dyDescent="0.2">
      <c r="A86" s="2">
        <f>A85+1</f>
        <v>69</v>
      </c>
      <c r="B86" s="54" t="s">
        <v>1635</v>
      </c>
      <c r="C86" s="651">
        <f>AandG!E63</f>
        <v>46372217</v>
      </c>
      <c r="D86" s="585" t="str">
        <f>"AandG WS, Note 2, "&amp;AandG!B63&amp;""</f>
        <v>AandG WS, Note 2, g</v>
      </c>
      <c r="E86" s="560"/>
      <c r="F86" s="2"/>
      <c r="G86" s="551"/>
      <c r="H86" s="553"/>
      <c r="I86" s="553"/>
      <c r="J86" s="553"/>
      <c r="K86" s="553"/>
      <c r="L86" s="553"/>
    </row>
    <row r="87" spans="1:12" x14ac:dyDescent="0.2">
      <c r="A87" s="589"/>
      <c r="C87" s="590"/>
      <c r="D87" s="549"/>
      <c r="E87" s="549"/>
      <c r="F87" s="582"/>
      <c r="G87" s="551"/>
      <c r="H87" s="553"/>
      <c r="I87" s="553"/>
      <c r="J87" s="553"/>
      <c r="K87" s="553"/>
      <c r="L87" s="553"/>
    </row>
    <row r="88" spans="1:12" x14ac:dyDescent="0.2">
      <c r="A88" s="554"/>
      <c r="B88" s="518" t="s">
        <v>1719</v>
      </c>
      <c r="C88" s="559"/>
      <c r="D88" s="559"/>
      <c r="E88" s="559"/>
      <c r="F88" s="582"/>
      <c r="G88" s="583"/>
      <c r="H88" s="554"/>
      <c r="I88" s="554"/>
      <c r="J88" s="554"/>
      <c r="K88" s="554"/>
      <c r="L88" s="554"/>
    </row>
    <row r="89" spans="1:12" x14ac:dyDescent="0.2">
      <c r="A89" s="554"/>
      <c r="C89" s="559"/>
      <c r="D89" s="559"/>
      <c r="E89" s="559"/>
      <c r="F89" s="582"/>
      <c r="G89" s="583"/>
      <c r="H89" s="554"/>
      <c r="I89" s="554"/>
      <c r="J89" s="19"/>
      <c r="K89" s="554"/>
      <c r="L89" s="554"/>
    </row>
    <row r="90" spans="1:12" x14ac:dyDescent="0.2">
      <c r="A90" s="554"/>
      <c r="B90" s="99" t="s">
        <v>417</v>
      </c>
      <c r="C90" s="529" t="s">
        <v>400</v>
      </c>
      <c r="D90" s="529" t="s">
        <v>401</v>
      </c>
      <c r="E90" s="529" t="s">
        <v>402</v>
      </c>
      <c r="F90" s="530" t="s">
        <v>403</v>
      </c>
      <c r="G90" s="529" t="s">
        <v>404</v>
      </c>
      <c r="H90" s="529" t="s">
        <v>405</v>
      </c>
      <c r="I90" s="529" t="s">
        <v>654</v>
      </c>
      <c r="J90" s="99"/>
      <c r="K90" s="99"/>
      <c r="L90" s="99"/>
    </row>
    <row r="91" spans="1:12" x14ac:dyDescent="0.2">
      <c r="A91" s="554"/>
      <c r="C91" s="559" t="s">
        <v>1636</v>
      </c>
      <c r="D91" s="559" t="s">
        <v>1637</v>
      </c>
      <c r="E91" s="559" t="s">
        <v>1638</v>
      </c>
      <c r="F91" s="583" t="s">
        <v>1438</v>
      </c>
      <c r="G91" s="839" t="s">
        <v>1561</v>
      </c>
      <c r="H91" s="840" t="s">
        <v>2148</v>
      </c>
      <c r="I91" s="840" t="s">
        <v>2149</v>
      </c>
      <c r="K91" s="554"/>
      <c r="L91" s="554"/>
    </row>
    <row r="92" spans="1:12" x14ac:dyDescent="0.2">
      <c r="C92" s="559"/>
      <c r="D92" s="559"/>
      <c r="E92" s="559"/>
      <c r="F92" s="582"/>
      <c r="G92" s="583"/>
      <c r="H92" s="554"/>
      <c r="I92" s="554"/>
      <c r="J92" s="554"/>
      <c r="K92" s="554"/>
      <c r="L92" s="554"/>
    </row>
    <row r="93" spans="1:12" x14ac:dyDescent="0.2">
      <c r="A93" s="541"/>
      <c r="B93" s="1074" t="s">
        <v>1565</v>
      </c>
      <c r="C93" s="1065" t="s">
        <v>1568</v>
      </c>
      <c r="D93" s="1066"/>
      <c r="E93" s="1067"/>
      <c r="F93" s="591" t="s">
        <v>1791</v>
      </c>
      <c r="G93" s="1071" t="s">
        <v>1639</v>
      </c>
      <c r="H93" s="1072"/>
      <c r="I93" s="1073"/>
      <c r="J93" s="554"/>
      <c r="K93" s="554"/>
    </row>
    <row r="94" spans="1:12" x14ac:dyDescent="0.2">
      <c r="B94" s="1074"/>
      <c r="C94" s="542" t="s">
        <v>225</v>
      </c>
      <c r="D94" s="544" t="s">
        <v>1569</v>
      </c>
      <c r="E94" s="544" t="s">
        <v>1570</v>
      </c>
      <c r="F94" s="591" t="s">
        <v>517</v>
      </c>
      <c r="G94" s="542" t="s">
        <v>225</v>
      </c>
      <c r="H94" s="544" t="s">
        <v>1569</v>
      </c>
      <c r="I94" s="544" t="s">
        <v>1570</v>
      </c>
      <c r="K94" s="554"/>
      <c r="L94" s="554"/>
    </row>
    <row r="95" spans="1:12" x14ac:dyDescent="0.2">
      <c r="A95" s="53" t="s">
        <v>380</v>
      </c>
      <c r="B95" s="546" t="s">
        <v>1571</v>
      </c>
      <c r="C95" s="296"/>
      <c r="D95" s="547"/>
      <c r="E95" s="547"/>
      <c r="F95" s="592"/>
      <c r="G95" s="296"/>
      <c r="H95" s="547"/>
      <c r="I95" s="547"/>
      <c r="K95" s="554"/>
      <c r="L95" s="554"/>
    </row>
    <row r="96" spans="1:12" x14ac:dyDescent="0.2">
      <c r="A96" s="2">
        <f>A86+1</f>
        <v>70</v>
      </c>
      <c r="B96" s="54" t="s">
        <v>1572</v>
      </c>
      <c r="C96" s="553">
        <f t="shared" ref="C96:C111" si="16">J11</f>
        <v>11891955.749999996</v>
      </c>
      <c r="D96" s="553">
        <f t="shared" ref="D96:D111" si="17">K11</f>
        <v>6169237.2999999942</v>
      </c>
      <c r="E96" s="553">
        <f t="shared" ref="E96:E111" si="18">L11</f>
        <v>5722718.450000003</v>
      </c>
      <c r="F96" s="657">
        <v>0.4517579726602477</v>
      </c>
      <c r="G96" s="593">
        <f>SUM(H96:I96)</f>
        <v>5372285.8205853738</v>
      </c>
      <c r="H96" s="593">
        <f>D96*F96</f>
        <v>2787002.1355079776</v>
      </c>
      <c r="I96" s="593">
        <f>E96*F96</f>
        <v>2585283.6850773962</v>
      </c>
      <c r="K96" s="554"/>
      <c r="L96" s="554"/>
    </row>
    <row r="97" spans="1:12" x14ac:dyDescent="0.2">
      <c r="A97" s="2">
        <f t="shared" ref="A97:A147" si="19">A96+1</f>
        <v>71</v>
      </c>
      <c r="B97" s="54" t="s">
        <v>1573</v>
      </c>
      <c r="C97" s="553">
        <f t="shared" si="16"/>
        <v>131182.46</v>
      </c>
      <c r="D97" s="553">
        <f t="shared" si="17"/>
        <v>0</v>
      </c>
      <c r="E97" s="553">
        <f t="shared" si="18"/>
        <v>131182.46</v>
      </c>
      <c r="F97" s="657">
        <v>1</v>
      </c>
      <c r="G97" s="593">
        <f t="shared" ref="G97:G143" si="20">SUM(H97:I97)</f>
        <v>131182.46</v>
      </c>
      <c r="H97" s="593">
        <f t="shared" ref="H97:H143" si="21">D97*F97</f>
        <v>0</v>
      </c>
      <c r="I97" s="593">
        <f t="shared" ref="I97:I143" si="22">E97*F97</f>
        <v>131182.46</v>
      </c>
      <c r="K97" s="554"/>
      <c r="L97" s="554"/>
    </row>
    <row r="98" spans="1:12" x14ac:dyDescent="0.2">
      <c r="A98" s="2">
        <f t="shared" si="19"/>
        <v>72</v>
      </c>
      <c r="B98" s="54" t="s">
        <v>1574</v>
      </c>
      <c r="C98" s="553">
        <f t="shared" si="16"/>
        <v>0</v>
      </c>
      <c r="D98" s="553">
        <f t="shared" si="17"/>
        <v>0</v>
      </c>
      <c r="E98" s="553">
        <f t="shared" si="18"/>
        <v>0</v>
      </c>
      <c r="F98" s="657">
        <v>0.56499999999999995</v>
      </c>
      <c r="G98" s="593">
        <f t="shared" si="20"/>
        <v>0</v>
      </c>
      <c r="H98" s="593">
        <f t="shared" si="21"/>
        <v>0</v>
      </c>
      <c r="I98" s="593">
        <f t="shared" si="22"/>
        <v>0</v>
      </c>
      <c r="K98" s="554"/>
      <c r="L98" s="554"/>
    </row>
    <row r="99" spans="1:12" x14ac:dyDescent="0.2">
      <c r="A99" s="2">
        <f t="shared" si="19"/>
        <v>73</v>
      </c>
      <c r="B99" s="54" t="s">
        <v>1575</v>
      </c>
      <c r="C99" s="553">
        <f t="shared" si="16"/>
        <v>609477.08000000019</v>
      </c>
      <c r="D99" s="553">
        <f t="shared" si="17"/>
        <v>437554.28000000014</v>
      </c>
      <c r="E99" s="553">
        <f t="shared" si="18"/>
        <v>171922.80000000005</v>
      </c>
      <c r="F99" s="657">
        <v>0.56499999999999995</v>
      </c>
      <c r="G99" s="593">
        <f t="shared" si="20"/>
        <v>344354.55020000006</v>
      </c>
      <c r="H99" s="593">
        <f t="shared" si="21"/>
        <v>247218.16820000004</v>
      </c>
      <c r="I99" s="593">
        <f t="shared" si="22"/>
        <v>97136.382000000012</v>
      </c>
      <c r="K99" s="554"/>
      <c r="L99" s="554"/>
    </row>
    <row r="100" spans="1:12" x14ac:dyDescent="0.2">
      <c r="A100" s="2">
        <f t="shared" si="19"/>
        <v>74</v>
      </c>
      <c r="B100" s="54" t="s">
        <v>1576</v>
      </c>
      <c r="C100" s="553">
        <f t="shared" si="16"/>
        <v>5471075.9399999985</v>
      </c>
      <c r="D100" s="553">
        <f t="shared" si="17"/>
        <v>4481285.6799999978</v>
      </c>
      <c r="E100" s="553">
        <f t="shared" si="18"/>
        <v>989790.26000000094</v>
      </c>
      <c r="F100" s="657">
        <v>0.56499999999999995</v>
      </c>
      <c r="G100" s="593">
        <f t="shared" si="20"/>
        <v>3091157.9060999993</v>
      </c>
      <c r="H100" s="593">
        <f t="shared" si="21"/>
        <v>2531926.4091999987</v>
      </c>
      <c r="I100" s="593">
        <f t="shared" si="22"/>
        <v>559231.49690000049</v>
      </c>
      <c r="K100" s="554"/>
      <c r="L100" s="554"/>
    </row>
    <row r="101" spans="1:12" x14ac:dyDescent="0.2">
      <c r="A101" s="2">
        <f t="shared" si="19"/>
        <v>75</v>
      </c>
      <c r="B101" s="54" t="s">
        <v>1577</v>
      </c>
      <c r="C101" s="553">
        <f t="shared" si="16"/>
        <v>0</v>
      </c>
      <c r="D101" s="553">
        <f t="shared" si="17"/>
        <v>0</v>
      </c>
      <c r="E101" s="553">
        <f t="shared" si="18"/>
        <v>0</v>
      </c>
      <c r="F101" s="657">
        <v>0</v>
      </c>
      <c r="G101" s="593">
        <f t="shared" si="20"/>
        <v>0</v>
      </c>
      <c r="H101" s="593">
        <f t="shared" si="21"/>
        <v>0</v>
      </c>
      <c r="I101" s="593">
        <f t="shared" si="22"/>
        <v>0</v>
      </c>
      <c r="K101" s="554"/>
      <c r="L101" s="554"/>
    </row>
    <row r="102" spans="1:12" x14ac:dyDescent="0.2">
      <c r="A102" s="2">
        <f t="shared" si="19"/>
        <v>76</v>
      </c>
      <c r="B102" s="555" t="s">
        <v>1578</v>
      </c>
      <c r="C102" s="553">
        <f t="shared" si="16"/>
        <v>4595002.49</v>
      </c>
      <c r="D102" s="553">
        <f t="shared" si="17"/>
        <v>4003257.1999999997</v>
      </c>
      <c r="E102" s="553">
        <f t="shared" si="18"/>
        <v>591745.29</v>
      </c>
      <c r="F102" s="657">
        <v>1</v>
      </c>
      <c r="G102" s="593">
        <f t="shared" si="20"/>
        <v>4595002.49</v>
      </c>
      <c r="H102" s="593">
        <f t="shared" si="21"/>
        <v>4003257.1999999997</v>
      </c>
      <c r="I102" s="593">
        <f t="shared" si="22"/>
        <v>591745.29</v>
      </c>
      <c r="K102" s="554"/>
      <c r="L102" s="554"/>
    </row>
    <row r="103" spans="1:12" x14ac:dyDescent="0.2">
      <c r="A103" s="2">
        <f t="shared" si="19"/>
        <v>77</v>
      </c>
      <c r="B103" s="555" t="s">
        <v>1579</v>
      </c>
      <c r="C103" s="553">
        <f t="shared" si="16"/>
        <v>0</v>
      </c>
      <c r="D103" s="553">
        <f t="shared" si="17"/>
        <v>0</v>
      </c>
      <c r="E103" s="553">
        <f t="shared" si="18"/>
        <v>0</v>
      </c>
      <c r="F103" s="657">
        <v>0</v>
      </c>
      <c r="G103" s="593">
        <f t="shared" si="20"/>
        <v>0</v>
      </c>
      <c r="H103" s="593">
        <f t="shared" si="21"/>
        <v>0</v>
      </c>
      <c r="I103" s="593">
        <f t="shared" si="22"/>
        <v>0</v>
      </c>
      <c r="K103" s="553"/>
      <c r="L103" s="553"/>
    </row>
    <row r="104" spans="1:12" x14ac:dyDescent="0.2">
      <c r="A104" s="2">
        <f t="shared" si="19"/>
        <v>78</v>
      </c>
      <c r="B104" s="555" t="s">
        <v>1580</v>
      </c>
      <c r="C104" s="553">
        <f t="shared" si="16"/>
        <v>16881989.03000002</v>
      </c>
      <c r="D104" s="553">
        <f t="shared" si="17"/>
        <v>11531073.530000024</v>
      </c>
      <c r="E104" s="553">
        <f t="shared" si="18"/>
        <v>5350915.4999999963</v>
      </c>
      <c r="F104" s="657">
        <v>0.19700000000000001</v>
      </c>
      <c r="G104" s="593">
        <f t="shared" si="20"/>
        <v>3325751.8389100041</v>
      </c>
      <c r="H104" s="593">
        <f t="shared" si="21"/>
        <v>2271621.4854100049</v>
      </c>
      <c r="I104" s="593">
        <f t="shared" si="22"/>
        <v>1054130.3534999993</v>
      </c>
      <c r="K104" s="554"/>
      <c r="L104" s="554"/>
    </row>
    <row r="105" spans="1:12" x14ac:dyDescent="0.2">
      <c r="A105" s="2">
        <f t="shared" si="19"/>
        <v>79</v>
      </c>
      <c r="B105" s="555" t="s">
        <v>1581</v>
      </c>
      <c r="C105" s="553">
        <f t="shared" si="16"/>
        <v>3771471.1900000041</v>
      </c>
      <c r="D105" s="553">
        <f t="shared" si="17"/>
        <v>2359352.7500000023</v>
      </c>
      <c r="E105" s="553">
        <f t="shared" si="18"/>
        <v>1412118.4400000018</v>
      </c>
      <c r="F105" s="657">
        <v>0.20399999999999999</v>
      </c>
      <c r="G105" s="593">
        <f t="shared" si="20"/>
        <v>769380.12276000076</v>
      </c>
      <c r="H105" s="593">
        <f t="shared" si="21"/>
        <v>481307.96100000042</v>
      </c>
      <c r="I105" s="593">
        <f t="shared" si="22"/>
        <v>288072.16176000034</v>
      </c>
      <c r="K105" s="554"/>
      <c r="L105" s="554"/>
    </row>
    <row r="106" spans="1:12" x14ac:dyDescent="0.2">
      <c r="A106" s="2">
        <f t="shared" si="19"/>
        <v>80</v>
      </c>
      <c r="B106" s="555" t="s">
        <v>1582</v>
      </c>
      <c r="C106" s="553">
        <f t="shared" si="16"/>
        <v>1269360.8199999998</v>
      </c>
      <c r="D106" s="553">
        <f t="shared" si="17"/>
        <v>0</v>
      </c>
      <c r="E106" s="553">
        <f t="shared" si="18"/>
        <v>1269360.8199999998</v>
      </c>
      <c r="F106" s="657">
        <v>1</v>
      </c>
      <c r="G106" s="593">
        <f t="shared" si="20"/>
        <v>1269360.8199999998</v>
      </c>
      <c r="H106" s="593">
        <f t="shared" si="21"/>
        <v>0</v>
      </c>
      <c r="I106" s="593">
        <f t="shared" si="22"/>
        <v>1269360.8199999998</v>
      </c>
      <c r="K106" s="554"/>
      <c r="L106" s="554"/>
    </row>
    <row r="107" spans="1:12" x14ac:dyDescent="0.2">
      <c r="A107" s="2">
        <f t="shared" si="19"/>
        <v>81</v>
      </c>
      <c r="B107" s="555" t="s">
        <v>1583</v>
      </c>
      <c r="C107" s="553">
        <f t="shared" si="16"/>
        <v>4850100.919999999</v>
      </c>
      <c r="D107" s="553">
        <f t="shared" si="17"/>
        <v>3025175.7699999991</v>
      </c>
      <c r="E107" s="553">
        <f t="shared" si="18"/>
        <v>1824925.1499999997</v>
      </c>
      <c r="F107" s="657">
        <v>0.49199999999999999</v>
      </c>
      <c r="G107" s="593">
        <f t="shared" si="20"/>
        <v>2386249.6526399995</v>
      </c>
      <c r="H107" s="593">
        <f t="shared" si="21"/>
        <v>1488386.4788399995</v>
      </c>
      <c r="I107" s="593">
        <f t="shared" si="22"/>
        <v>897863.17379999987</v>
      </c>
      <c r="K107" s="554"/>
      <c r="L107" s="554"/>
    </row>
    <row r="108" spans="1:12" x14ac:dyDescent="0.2">
      <c r="A108" s="2">
        <f t="shared" si="19"/>
        <v>82</v>
      </c>
      <c r="B108" s="555" t="s">
        <v>1584</v>
      </c>
      <c r="C108" s="553">
        <f t="shared" si="16"/>
        <v>1293879.8700000001</v>
      </c>
      <c r="D108" s="553">
        <f t="shared" si="17"/>
        <v>974808.04000000027</v>
      </c>
      <c r="E108" s="553">
        <f t="shared" si="18"/>
        <v>319071.8299999999</v>
      </c>
      <c r="F108" s="657">
        <v>1.7000000000000001E-2</v>
      </c>
      <c r="G108" s="593">
        <f t="shared" si="20"/>
        <v>21995.957790000004</v>
      </c>
      <c r="H108" s="593">
        <f t="shared" si="21"/>
        <v>16571.736680000005</v>
      </c>
      <c r="I108" s="593">
        <f t="shared" si="22"/>
        <v>5424.2211099999986</v>
      </c>
      <c r="K108" s="554"/>
      <c r="L108" s="554"/>
    </row>
    <row r="109" spans="1:12" x14ac:dyDescent="0.2">
      <c r="A109" s="2">
        <f t="shared" si="19"/>
        <v>83</v>
      </c>
      <c r="B109" s="555" t="s">
        <v>1585</v>
      </c>
      <c r="C109" s="553">
        <f t="shared" si="16"/>
        <v>0</v>
      </c>
      <c r="D109" s="553">
        <f t="shared" si="17"/>
        <v>0</v>
      </c>
      <c r="E109" s="553">
        <f t="shared" si="18"/>
        <v>0</v>
      </c>
      <c r="F109" s="657">
        <v>0</v>
      </c>
      <c r="G109" s="593">
        <f t="shared" si="20"/>
        <v>0</v>
      </c>
      <c r="H109" s="593">
        <f t="shared" si="21"/>
        <v>0</v>
      </c>
      <c r="I109" s="593">
        <f t="shared" si="22"/>
        <v>0</v>
      </c>
      <c r="K109" s="553"/>
      <c r="L109" s="553"/>
    </row>
    <row r="110" spans="1:12" x14ac:dyDescent="0.2">
      <c r="A110" s="2">
        <f t="shared" si="19"/>
        <v>84</v>
      </c>
      <c r="B110" s="555" t="s">
        <v>1586</v>
      </c>
      <c r="C110" s="553">
        <f t="shared" si="16"/>
        <v>213116.22</v>
      </c>
      <c r="D110" s="553">
        <f t="shared" si="17"/>
        <v>0</v>
      </c>
      <c r="E110" s="553">
        <f t="shared" si="18"/>
        <v>213116.22</v>
      </c>
      <c r="F110" s="657">
        <v>0</v>
      </c>
      <c r="G110" s="593">
        <f t="shared" si="20"/>
        <v>0</v>
      </c>
      <c r="H110" s="593">
        <f t="shared" si="21"/>
        <v>0</v>
      </c>
      <c r="I110" s="593">
        <f t="shared" si="22"/>
        <v>0</v>
      </c>
      <c r="K110" s="554"/>
      <c r="L110" s="554"/>
    </row>
    <row r="111" spans="1:12" x14ac:dyDescent="0.2">
      <c r="A111" s="2">
        <f t="shared" si="19"/>
        <v>85</v>
      </c>
      <c r="B111" s="555" t="s">
        <v>1587</v>
      </c>
      <c r="C111" s="553">
        <f t="shared" si="16"/>
        <v>7174782.3600000003</v>
      </c>
      <c r="D111" s="553">
        <f t="shared" si="17"/>
        <v>0</v>
      </c>
      <c r="E111" s="553">
        <f t="shared" si="18"/>
        <v>7174782.3600000003</v>
      </c>
      <c r="F111" s="657">
        <v>1</v>
      </c>
      <c r="G111" s="593">
        <f t="shared" si="20"/>
        <v>7174782.3600000003</v>
      </c>
      <c r="H111" s="593">
        <f t="shared" si="21"/>
        <v>0</v>
      </c>
      <c r="I111" s="593">
        <f t="shared" si="22"/>
        <v>7174782.3600000003</v>
      </c>
      <c r="K111" s="554"/>
      <c r="L111" s="554"/>
    </row>
    <row r="112" spans="1:12" x14ac:dyDescent="0.2">
      <c r="A112" s="2">
        <f t="shared" si="19"/>
        <v>86</v>
      </c>
      <c r="B112" s="555" t="s">
        <v>1588</v>
      </c>
      <c r="C112" s="549">
        <f>SUM(D112:E112)</f>
        <v>0</v>
      </c>
      <c r="D112" s="553">
        <f t="shared" ref="D112:D143" si="23">K27</f>
        <v>0</v>
      </c>
      <c r="E112" s="553">
        <f t="shared" ref="E112:E143" si="24">L27</f>
        <v>0</v>
      </c>
      <c r="F112" s="657">
        <v>0</v>
      </c>
      <c r="G112" s="593">
        <f t="shared" si="20"/>
        <v>0</v>
      </c>
      <c r="H112" s="593">
        <f t="shared" si="21"/>
        <v>0</v>
      </c>
      <c r="I112" s="593">
        <f t="shared" si="22"/>
        <v>0</v>
      </c>
      <c r="K112" s="553"/>
      <c r="L112" s="553"/>
    </row>
    <row r="113" spans="1:12" x14ac:dyDescent="0.2">
      <c r="A113" s="2">
        <f t="shared" si="19"/>
        <v>87</v>
      </c>
      <c r="B113" s="555" t="s">
        <v>1589</v>
      </c>
      <c r="C113" s="553">
        <f t="shared" ref="C113:C139" si="25">J28</f>
        <v>32907158.620000001</v>
      </c>
      <c r="D113" s="553">
        <f t="shared" si="23"/>
        <v>12908576.710000001</v>
      </c>
      <c r="E113" s="553">
        <f t="shared" si="24"/>
        <v>19998581.91</v>
      </c>
      <c r="F113" s="657">
        <v>0.4517579726602477</v>
      </c>
      <c r="G113" s="593">
        <f t="shared" si="20"/>
        <v>14866071.264180396</v>
      </c>
      <c r="H113" s="593">
        <f t="shared" si="21"/>
        <v>5831552.4444388906</v>
      </c>
      <c r="I113" s="593">
        <f t="shared" si="22"/>
        <v>9034518.8197415043</v>
      </c>
      <c r="K113" s="554"/>
      <c r="L113" s="554"/>
    </row>
    <row r="114" spans="1:12" x14ac:dyDescent="0.2">
      <c r="A114" s="2">
        <f t="shared" si="19"/>
        <v>88</v>
      </c>
      <c r="B114" s="555" t="s">
        <v>1590</v>
      </c>
      <c r="C114" s="553">
        <f t="shared" si="25"/>
        <v>1285320.6399999999</v>
      </c>
      <c r="D114" s="553">
        <f t="shared" si="23"/>
        <v>929087.54999999993</v>
      </c>
      <c r="E114" s="553">
        <f t="shared" si="24"/>
        <v>356233.08999999991</v>
      </c>
      <c r="F114" s="657">
        <v>1</v>
      </c>
      <c r="G114" s="593">
        <f t="shared" si="20"/>
        <v>1285320.6399999999</v>
      </c>
      <c r="H114" s="593">
        <f t="shared" si="21"/>
        <v>929087.54999999993</v>
      </c>
      <c r="I114" s="593">
        <f t="shared" si="22"/>
        <v>356233.08999999991</v>
      </c>
      <c r="K114" s="554"/>
      <c r="L114" s="554"/>
    </row>
    <row r="115" spans="1:12" x14ac:dyDescent="0.2">
      <c r="A115" s="2">
        <f t="shared" si="19"/>
        <v>89</v>
      </c>
      <c r="B115" s="555" t="s">
        <v>1591</v>
      </c>
      <c r="C115" s="553">
        <f t="shared" si="25"/>
        <v>1053464.77</v>
      </c>
      <c r="D115" s="553">
        <f t="shared" si="23"/>
        <v>1003596.1200000001</v>
      </c>
      <c r="E115" s="553">
        <f t="shared" si="24"/>
        <v>49868.649999999994</v>
      </c>
      <c r="F115" s="657">
        <v>1</v>
      </c>
      <c r="G115" s="593">
        <f t="shared" si="20"/>
        <v>1053464.77</v>
      </c>
      <c r="H115" s="593">
        <f t="shared" si="21"/>
        <v>1003596.1200000001</v>
      </c>
      <c r="I115" s="593">
        <f t="shared" si="22"/>
        <v>49868.649999999994</v>
      </c>
      <c r="K115" s="553"/>
      <c r="L115" s="553"/>
    </row>
    <row r="116" spans="1:12" x14ac:dyDescent="0.2">
      <c r="A116" s="2">
        <f t="shared" si="19"/>
        <v>90</v>
      </c>
      <c r="B116" s="555" t="s">
        <v>1592</v>
      </c>
      <c r="C116" s="553">
        <f t="shared" si="25"/>
        <v>5354105.8000000007</v>
      </c>
      <c r="D116" s="553">
        <f t="shared" si="23"/>
        <v>3372171.8300000015</v>
      </c>
      <c r="E116" s="553">
        <f t="shared" si="24"/>
        <v>1981933.9699999997</v>
      </c>
      <c r="F116" s="657">
        <v>0.49</v>
      </c>
      <c r="G116" s="593">
        <f t="shared" si="20"/>
        <v>2623511.8420000006</v>
      </c>
      <c r="H116" s="593">
        <f t="shared" si="21"/>
        <v>1652364.1967000007</v>
      </c>
      <c r="I116" s="593">
        <f t="shared" si="22"/>
        <v>971147.64529999986</v>
      </c>
    </row>
    <row r="117" spans="1:12" x14ac:dyDescent="0.2">
      <c r="A117" s="2">
        <f t="shared" si="19"/>
        <v>91</v>
      </c>
      <c r="B117" s="555" t="s">
        <v>1593</v>
      </c>
      <c r="C117" s="553">
        <f t="shared" si="25"/>
        <v>1879678.5100000005</v>
      </c>
      <c r="D117" s="553">
        <f t="shared" si="23"/>
        <v>1713252.7900000005</v>
      </c>
      <c r="E117" s="553">
        <f t="shared" si="24"/>
        <v>166425.71999999997</v>
      </c>
      <c r="F117" s="657">
        <v>0.624</v>
      </c>
      <c r="G117" s="593">
        <f t="shared" si="20"/>
        <v>1172919.3902400003</v>
      </c>
      <c r="H117" s="593">
        <f t="shared" si="21"/>
        <v>1069069.7409600003</v>
      </c>
      <c r="I117" s="593">
        <f t="shared" si="22"/>
        <v>103849.64927999998</v>
      </c>
    </row>
    <row r="118" spans="1:12" x14ac:dyDescent="0.2">
      <c r="A118" s="2">
        <f t="shared" si="19"/>
        <v>92</v>
      </c>
      <c r="B118" s="54" t="s">
        <v>1594</v>
      </c>
      <c r="C118" s="553">
        <f t="shared" si="25"/>
        <v>-280150.78000000003</v>
      </c>
      <c r="D118" s="553">
        <f t="shared" si="23"/>
        <v>0</v>
      </c>
      <c r="E118" s="553">
        <f t="shared" si="24"/>
        <v>-280150.78000000003</v>
      </c>
      <c r="F118" s="657">
        <v>1</v>
      </c>
      <c r="G118" s="593">
        <f t="shared" si="20"/>
        <v>-280150.78000000003</v>
      </c>
      <c r="H118" s="593">
        <f t="shared" si="21"/>
        <v>0</v>
      </c>
      <c r="I118" s="593">
        <f t="shared" si="22"/>
        <v>-280150.78000000003</v>
      </c>
    </row>
    <row r="119" spans="1:12" x14ac:dyDescent="0.2">
      <c r="A119" s="2">
        <f t="shared" si="19"/>
        <v>93</v>
      </c>
      <c r="B119" s="54" t="s">
        <v>1595</v>
      </c>
      <c r="C119" s="553">
        <f t="shared" si="25"/>
        <v>7966718.4199999999</v>
      </c>
      <c r="D119" s="553">
        <f t="shared" si="23"/>
        <v>-536.06000000003723</v>
      </c>
      <c r="E119" s="553">
        <f t="shared" si="24"/>
        <v>7967254.4799999995</v>
      </c>
      <c r="F119" s="657">
        <v>0.67800000000000005</v>
      </c>
      <c r="G119" s="593">
        <f t="shared" si="20"/>
        <v>5401435.0887599997</v>
      </c>
      <c r="H119" s="593">
        <f t="shared" si="21"/>
        <v>-363.44868000002526</v>
      </c>
      <c r="I119" s="593">
        <f t="shared" si="22"/>
        <v>5401798.5374400001</v>
      </c>
    </row>
    <row r="120" spans="1:12" x14ac:dyDescent="0.2">
      <c r="A120" s="2">
        <f t="shared" si="19"/>
        <v>94</v>
      </c>
      <c r="B120" s="54" t="s">
        <v>1596</v>
      </c>
      <c r="C120" s="553">
        <f t="shared" si="25"/>
        <v>1500000</v>
      </c>
      <c r="D120" s="553">
        <f t="shared" si="23"/>
        <v>0</v>
      </c>
      <c r="E120" s="553">
        <f t="shared" si="24"/>
        <v>1500000</v>
      </c>
      <c r="F120" s="657">
        <v>0.90800000000000003</v>
      </c>
      <c r="G120" s="593">
        <f t="shared" si="20"/>
        <v>1362000</v>
      </c>
      <c r="H120" s="593">
        <f t="shared" si="21"/>
        <v>0</v>
      </c>
      <c r="I120" s="593">
        <f t="shared" si="22"/>
        <v>1362000</v>
      </c>
    </row>
    <row r="121" spans="1:12" x14ac:dyDescent="0.2">
      <c r="A121" s="2">
        <f t="shared" si="19"/>
        <v>95</v>
      </c>
      <c r="B121" s="555" t="s">
        <v>1597</v>
      </c>
      <c r="C121" s="549">
        <f t="shared" si="25"/>
        <v>24054.209999999981</v>
      </c>
      <c r="D121" s="549">
        <f t="shared" si="23"/>
        <v>0</v>
      </c>
      <c r="E121" s="549">
        <f t="shared" si="24"/>
        <v>24054.209999999981</v>
      </c>
      <c r="F121" s="657">
        <v>1</v>
      </c>
      <c r="G121" s="593">
        <f t="shared" si="20"/>
        <v>24054.209999999981</v>
      </c>
      <c r="H121" s="593">
        <f t="shared" si="21"/>
        <v>0</v>
      </c>
      <c r="I121" s="593">
        <f t="shared" si="22"/>
        <v>24054.209999999981</v>
      </c>
      <c r="K121" s="594"/>
      <c r="L121" s="594"/>
    </row>
    <row r="122" spans="1:12" x14ac:dyDescent="0.2">
      <c r="A122" s="2">
        <f t="shared" si="19"/>
        <v>96</v>
      </c>
      <c r="B122" s="54" t="s">
        <v>1598</v>
      </c>
      <c r="C122" s="553">
        <f t="shared" si="25"/>
        <v>314395.44000000006</v>
      </c>
      <c r="D122" s="553">
        <f t="shared" si="23"/>
        <v>0</v>
      </c>
      <c r="E122" s="553">
        <f t="shared" si="24"/>
        <v>314395.44000000006</v>
      </c>
      <c r="F122" s="657">
        <v>1</v>
      </c>
      <c r="G122" s="593">
        <f t="shared" si="20"/>
        <v>314395.44000000006</v>
      </c>
      <c r="H122" s="593">
        <f t="shared" si="21"/>
        <v>0</v>
      </c>
      <c r="I122" s="593">
        <f t="shared" si="22"/>
        <v>314395.44000000006</v>
      </c>
    </row>
    <row r="123" spans="1:12" x14ac:dyDescent="0.2">
      <c r="A123" s="2">
        <f t="shared" si="19"/>
        <v>97</v>
      </c>
      <c r="B123" s="54" t="s">
        <v>1599</v>
      </c>
      <c r="C123" s="553">
        <f t="shared" si="25"/>
        <v>2282907.6800000011</v>
      </c>
      <c r="D123" s="553">
        <f t="shared" si="23"/>
        <v>1817597.1500000011</v>
      </c>
      <c r="E123" s="553">
        <f t="shared" si="24"/>
        <v>465310.53000000014</v>
      </c>
      <c r="F123" s="657">
        <v>0.36663485111472482</v>
      </c>
      <c r="G123" s="593">
        <f t="shared" si="20"/>
        <v>836993.51736546238</v>
      </c>
      <c r="H123" s="593">
        <f t="shared" si="21"/>
        <v>666394.46047679859</v>
      </c>
      <c r="I123" s="593">
        <f t="shared" si="22"/>
        <v>170599.05688866376</v>
      </c>
    </row>
    <row r="124" spans="1:12" x14ac:dyDescent="0.2">
      <c r="A124" s="2">
        <f t="shared" si="19"/>
        <v>98</v>
      </c>
      <c r="B124" s="54" t="s">
        <v>1600</v>
      </c>
      <c r="C124" s="553">
        <f t="shared" si="25"/>
        <v>106702.95</v>
      </c>
      <c r="D124" s="553">
        <f t="shared" si="23"/>
        <v>0</v>
      </c>
      <c r="E124" s="553">
        <f t="shared" si="24"/>
        <v>106702.95</v>
      </c>
      <c r="F124" s="657">
        <v>1</v>
      </c>
      <c r="G124" s="593">
        <f t="shared" si="20"/>
        <v>106702.95</v>
      </c>
      <c r="H124" s="593">
        <f t="shared" si="21"/>
        <v>0</v>
      </c>
      <c r="I124" s="593">
        <f t="shared" si="22"/>
        <v>106702.95</v>
      </c>
    </row>
    <row r="125" spans="1:12" x14ac:dyDescent="0.2">
      <c r="A125" s="2">
        <f t="shared" si="19"/>
        <v>99</v>
      </c>
      <c r="B125" s="54" t="s">
        <v>1601</v>
      </c>
      <c r="C125" s="553">
        <f t="shared" si="25"/>
        <v>34474.859999999993</v>
      </c>
      <c r="D125" s="553">
        <f t="shared" si="23"/>
        <v>353.85999999999763</v>
      </c>
      <c r="E125" s="553">
        <f t="shared" si="24"/>
        <v>34120.999999999993</v>
      </c>
      <c r="F125" s="657">
        <v>0.23855383576517156</v>
      </c>
      <c r="G125" s="593">
        <f t="shared" si="20"/>
        <v>8224.1100904672803</v>
      </c>
      <c r="H125" s="593">
        <f t="shared" si="21"/>
        <v>84.414660323863046</v>
      </c>
      <c r="I125" s="593">
        <f t="shared" si="22"/>
        <v>8139.6954301434171</v>
      </c>
    </row>
    <row r="126" spans="1:12" x14ac:dyDescent="0.2">
      <c r="A126" s="2">
        <f t="shared" si="19"/>
        <v>100</v>
      </c>
      <c r="B126" s="54" t="s">
        <v>1602</v>
      </c>
      <c r="C126" s="553">
        <f t="shared" si="25"/>
        <v>6112402.1400000006</v>
      </c>
      <c r="D126" s="553">
        <f t="shared" si="23"/>
        <v>0</v>
      </c>
      <c r="E126" s="553">
        <f t="shared" si="24"/>
        <v>6112402.1400000006</v>
      </c>
      <c r="F126" s="657">
        <v>0.4517579726602477</v>
      </c>
      <c r="G126" s="593">
        <f t="shared" si="20"/>
        <v>2761326.3988505597</v>
      </c>
      <c r="H126" s="593">
        <f t="shared" si="21"/>
        <v>0</v>
      </c>
      <c r="I126" s="593">
        <f t="shared" si="22"/>
        <v>2761326.3988505597</v>
      </c>
    </row>
    <row r="127" spans="1:12" x14ac:dyDescent="0.2">
      <c r="A127" s="2">
        <f t="shared" si="19"/>
        <v>101</v>
      </c>
      <c r="B127" s="54" t="s">
        <v>1603</v>
      </c>
      <c r="C127" s="553">
        <f t="shared" si="25"/>
        <v>8851685.1600000001</v>
      </c>
      <c r="D127" s="553">
        <f t="shared" si="23"/>
        <v>0</v>
      </c>
      <c r="E127" s="553">
        <f t="shared" si="24"/>
        <v>8851685.1600000001</v>
      </c>
      <c r="F127" s="657">
        <v>0.4517579726602477</v>
      </c>
      <c r="G127" s="593">
        <f t="shared" si="20"/>
        <v>3998819.3425084003</v>
      </c>
      <c r="H127" s="593">
        <f t="shared" si="21"/>
        <v>0</v>
      </c>
      <c r="I127" s="593">
        <f t="shared" si="22"/>
        <v>3998819.3425084003</v>
      </c>
    </row>
    <row r="128" spans="1:12" x14ac:dyDescent="0.2">
      <c r="A128" s="2">
        <f t="shared" si="19"/>
        <v>102</v>
      </c>
      <c r="B128" s="54" t="s">
        <v>1604</v>
      </c>
      <c r="C128" s="553">
        <f t="shared" si="25"/>
        <v>3619242.0199999996</v>
      </c>
      <c r="D128" s="553">
        <f t="shared" si="23"/>
        <v>0</v>
      </c>
      <c r="E128" s="553">
        <f t="shared" si="24"/>
        <v>3619242.0199999996</v>
      </c>
      <c r="F128" s="657">
        <v>0.4517579726602477</v>
      </c>
      <c r="G128" s="593">
        <f t="shared" si="20"/>
        <v>1635021.4375219794</v>
      </c>
      <c r="H128" s="593">
        <f t="shared" si="21"/>
        <v>0</v>
      </c>
      <c r="I128" s="593">
        <f t="shared" si="22"/>
        <v>1635021.4375219794</v>
      </c>
    </row>
    <row r="129" spans="1:12" x14ac:dyDescent="0.2">
      <c r="A129" s="2">
        <f t="shared" si="19"/>
        <v>103</v>
      </c>
      <c r="B129" s="54" t="s">
        <v>1605</v>
      </c>
      <c r="C129" s="553">
        <f t="shared" si="25"/>
        <v>110077.86</v>
      </c>
      <c r="D129" s="553">
        <f t="shared" si="23"/>
        <v>0</v>
      </c>
      <c r="E129" s="553">
        <f t="shared" si="24"/>
        <v>110077.86</v>
      </c>
      <c r="F129" s="657">
        <v>1</v>
      </c>
      <c r="G129" s="593">
        <f t="shared" si="20"/>
        <v>110077.86</v>
      </c>
      <c r="H129" s="593">
        <f t="shared" si="21"/>
        <v>0</v>
      </c>
      <c r="I129" s="593">
        <f t="shared" si="22"/>
        <v>110077.86</v>
      </c>
    </row>
    <row r="130" spans="1:12" x14ac:dyDescent="0.2">
      <c r="A130" s="2">
        <f t="shared" si="19"/>
        <v>104</v>
      </c>
      <c r="B130" s="54" t="s">
        <v>1606</v>
      </c>
      <c r="C130" s="553">
        <f t="shared" si="25"/>
        <v>919185.19000000053</v>
      </c>
      <c r="D130" s="553">
        <f t="shared" si="23"/>
        <v>499563.45000000024</v>
      </c>
      <c r="E130" s="553">
        <f t="shared" si="24"/>
        <v>419621.74000000028</v>
      </c>
      <c r="F130" s="657">
        <v>0.22500000000000001</v>
      </c>
      <c r="G130" s="593">
        <f t="shared" si="20"/>
        <v>206816.66775000014</v>
      </c>
      <c r="H130" s="593">
        <f t="shared" si="21"/>
        <v>112401.77625000005</v>
      </c>
      <c r="I130" s="593">
        <f t="shared" si="22"/>
        <v>94414.891500000071</v>
      </c>
    </row>
    <row r="131" spans="1:12" x14ac:dyDescent="0.2">
      <c r="A131" s="2">
        <f t="shared" si="19"/>
        <v>105</v>
      </c>
      <c r="B131" s="54" t="s">
        <v>1607</v>
      </c>
      <c r="C131" s="553">
        <f t="shared" si="25"/>
        <v>1743473.7100000009</v>
      </c>
      <c r="D131" s="553">
        <f t="shared" si="23"/>
        <v>1352737.8100000008</v>
      </c>
      <c r="E131" s="553">
        <f t="shared" si="24"/>
        <v>390735.9</v>
      </c>
      <c r="F131" s="657">
        <v>0.30399999999999999</v>
      </c>
      <c r="G131" s="593">
        <f t="shared" si="20"/>
        <v>530016.00784000021</v>
      </c>
      <c r="H131" s="593">
        <f t="shared" si="21"/>
        <v>411232.29424000019</v>
      </c>
      <c r="I131" s="593">
        <f t="shared" si="22"/>
        <v>118783.7136</v>
      </c>
    </row>
    <row r="132" spans="1:12" x14ac:dyDescent="0.2">
      <c r="A132" s="2">
        <f t="shared" si="19"/>
        <v>106</v>
      </c>
      <c r="B132" s="54" t="s">
        <v>1608</v>
      </c>
      <c r="C132" s="553">
        <f t="shared" si="25"/>
        <v>184880.10000000003</v>
      </c>
      <c r="D132" s="553">
        <f t="shared" si="23"/>
        <v>457757.66999999987</v>
      </c>
      <c r="E132" s="553">
        <f t="shared" si="24"/>
        <v>-272877.56999999983</v>
      </c>
      <c r="F132" s="657">
        <v>0.79200000000000004</v>
      </c>
      <c r="G132" s="593">
        <f t="shared" si="20"/>
        <v>146425.0392</v>
      </c>
      <c r="H132" s="593">
        <f t="shared" si="21"/>
        <v>362544.07463999989</v>
      </c>
      <c r="I132" s="593">
        <f t="shared" si="22"/>
        <v>-216119.03543999989</v>
      </c>
    </row>
    <row r="133" spans="1:12" x14ac:dyDescent="0.2">
      <c r="A133" s="2">
        <f t="shared" si="19"/>
        <v>107</v>
      </c>
      <c r="B133" s="54" t="s">
        <v>1609</v>
      </c>
      <c r="C133" s="553">
        <f t="shared" si="25"/>
        <v>2400625.339999998</v>
      </c>
      <c r="D133" s="553">
        <f t="shared" si="23"/>
        <v>1307754.7399999974</v>
      </c>
      <c r="E133" s="553">
        <f t="shared" si="24"/>
        <v>1092870.6000000008</v>
      </c>
      <c r="F133" s="657">
        <v>0.36663472234609817</v>
      </c>
      <c r="G133" s="593">
        <f t="shared" si="20"/>
        <v>880152.60498790687</v>
      </c>
      <c r="H133" s="593">
        <f t="shared" si="21"/>
        <v>479468.29599669285</v>
      </c>
      <c r="I133" s="593">
        <f t="shared" si="22"/>
        <v>400684.30899121403</v>
      </c>
    </row>
    <row r="134" spans="1:12" x14ac:dyDescent="0.2">
      <c r="A134" s="2">
        <f t="shared" si="19"/>
        <v>108</v>
      </c>
      <c r="B134" t="s">
        <v>2070</v>
      </c>
      <c r="C134" s="553">
        <f t="shared" si="25"/>
        <v>4422892.6099999985</v>
      </c>
      <c r="D134" s="553">
        <f t="shared" si="23"/>
        <v>759766.47000000009</v>
      </c>
      <c r="E134" s="553">
        <f t="shared" si="24"/>
        <v>3663126.1399999987</v>
      </c>
      <c r="F134" s="657">
        <v>0.31546844614626535</v>
      </c>
      <c r="G134" s="593">
        <f t="shared" si="20"/>
        <v>1395283.0591484997</v>
      </c>
      <c r="H134" s="593">
        <f t="shared" si="21"/>
        <v>239682.34772493315</v>
      </c>
      <c r="I134" s="593">
        <f t="shared" si="22"/>
        <v>1155600.7114235666</v>
      </c>
    </row>
    <row r="135" spans="1:12" x14ac:dyDescent="0.2">
      <c r="A135" s="2">
        <f t="shared" si="19"/>
        <v>109</v>
      </c>
      <c r="B135" s="54" t="s">
        <v>1610</v>
      </c>
      <c r="C135" s="553">
        <f t="shared" si="25"/>
        <v>788022.09</v>
      </c>
      <c r="D135" s="553">
        <f t="shared" si="23"/>
        <v>0.88999999999998602</v>
      </c>
      <c r="E135" s="553">
        <f t="shared" si="24"/>
        <v>788021.2</v>
      </c>
      <c r="F135" s="657">
        <v>1</v>
      </c>
      <c r="G135" s="593">
        <f t="shared" si="20"/>
        <v>788022.09</v>
      </c>
      <c r="H135" s="593">
        <f t="shared" si="21"/>
        <v>0.88999999999998602</v>
      </c>
      <c r="I135" s="593">
        <f t="shared" si="22"/>
        <v>788021.2</v>
      </c>
    </row>
    <row r="136" spans="1:12" x14ac:dyDescent="0.2">
      <c r="A136" s="2">
        <f t="shared" si="19"/>
        <v>110</v>
      </c>
      <c r="B136" s="555" t="s">
        <v>1611</v>
      </c>
      <c r="C136" s="549">
        <f t="shared" si="25"/>
        <v>2584988.5199999972</v>
      </c>
      <c r="D136" s="549">
        <f t="shared" si="23"/>
        <v>1812440.7099999972</v>
      </c>
      <c r="E136" s="549">
        <f t="shared" si="24"/>
        <v>772547.80999999994</v>
      </c>
      <c r="F136" s="657">
        <v>0.49199999999999999</v>
      </c>
      <c r="G136" s="593">
        <f t="shared" si="20"/>
        <v>1271814.3518399985</v>
      </c>
      <c r="H136" s="593">
        <f t="shared" si="21"/>
        <v>891720.82931999862</v>
      </c>
      <c r="I136" s="593">
        <f t="shared" si="22"/>
        <v>380093.52251999994</v>
      </c>
      <c r="K136" s="594"/>
      <c r="L136" s="594"/>
    </row>
    <row r="137" spans="1:12" x14ac:dyDescent="0.2">
      <c r="A137" s="2">
        <f t="shared" si="19"/>
        <v>111</v>
      </c>
      <c r="B137" s="555" t="s">
        <v>1612</v>
      </c>
      <c r="C137" s="549">
        <f t="shared" si="25"/>
        <v>7442521.8499999987</v>
      </c>
      <c r="D137" s="549">
        <f t="shared" si="23"/>
        <v>3522714.0199999972</v>
      </c>
      <c r="E137" s="549">
        <f t="shared" si="24"/>
        <v>3919807.8300000015</v>
      </c>
      <c r="F137" s="657">
        <v>0.49199999999999999</v>
      </c>
      <c r="G137" s="593">
        <f t="shared" si="20"/>
        <v>3661720.7501999992</v>
      </c>
      <c r="H137" s="593">
        <f t="shared" si="21"/>
        <v>1733175.2978399985</v>
      </c>
      <c r="I137" s="593">
        <f t="shared" si="22"/>
        <v>1928545.4523600007</v>
      </c>
      <c r="K137" s="594"/>
      <c r="L137" s="594"/>
    </row>
    <row r="138" spans="1:12" x14ac:dyDescent="0.2">
      <c r="A138" s="2">
        <f t="shared" si="19"/>
        <v>112</v>
      </c>
      <c r="B138" s="555" t="s">
        <v>1613</v>
      </c>
      <c r="C138" s="549">
        <f t="shared" si="25"/>
        <v>12468841.099999962</v>
      </c>
      <c r="D138" s="549">
        <f t="shared" si="23"/>
        <v>1207068.9399999978</v>
      </c>
      <c r="E138" s="549">
        <f t="shared" si="24"/>
        <v>11261772.159999965</v>
      </c>
      <c r="F138" s="657">
        <v>0.49199999999999999</v>
      </c>
      <c r="G138" s="593">
        <f t="shared" si="20"/>
        <v>6134669.8211999815</v>
      </c>
      <c r="H138" s="593">
        <f t="shared" si="21"/>
        <v>593877.91847999895</v>
      </c>
      <c r="I138" s="593">
        <f t="shared" si="22"/>
        <v>5540791.9027199829</v>
      </c>
      <c r="K138" s="594"/>
      <c r="L138" s="594"/>
    </row>
    <row r="139" spans="1:12" x14ac:dyDescent="0.2">
      <c r="A139" s="696">
        <f t="shared" si="19"/>
        <v>113</v>
      </c>
      <c r="B139" s="555" t="s">
        <v>1840</v>
      </c>
      <c r="C139" s="549">
        <f t="shared" si="25"/>
        <v>6496602.0800000019</v>
      </c>
      <c r="D139" s="549">
        <f t="shared" si="23"/>
        <v>1071427.3799999994</v>
      </c>
      <c r="E139" s="549">
        <f t="shared" si="24"/>
        <v>5425174.700000002</v>
      </c>
      <c r="F139" s="657">
        <v>0.21465800432442175</v>
      </c>
      <c r="G139" s="593">
        <f t="shared" ref="G139" si="26">SUM(H139:I139)</f>
        <v>1394547.6373826878</v>
      </c>
      <c r="H139" s="593">
        <f t="shared" ref="H139" si="27">D139*F139</f>
        <v>229990.46316934374</v>
      </c>
      <c r="I139" s="593">
        <f t="shared" ref="I139" si="28">E139*F139</f>
        <v>1164557.174213344</v>
      </c>
      <c r="K139" s="594"/>
      <c r="L139" s="594"/>
    </row>
    <row r="140" spans="1:12" x14ac:dyDescent="0.2">
      <c r="A140" s="696">
        <f t="shared" si="19"/>
        <v>114</v>
      </c>
      <c r="B140" s="555" t="s">
        <v>1614</v>
      </c>
      <c r="C140" s="549">
        <f t="shared" ref="C140" si="29">J55</f>
        <v>474217.91000000003</v>
      </c>
      <c r="D140" s="549">
        <f t="shared" si="23"/>
        <v>0</v>
      </c>
      <c r="E140" s="549">
        <f t="shared" si="24"/>
        <v>474217.91000000003</v>
      </c>
      <c r="F140" s="657">
        <v>1</v>
      </c>
      <c r="G140" s="593">
        <f t="shared" si="20"/>
        <v>474217.91000000003</v>
      </c>
      <c r="H140" s="593">
        <f t="shared" si="21"/>
        <v>0</v>
      </c>
      <c r="I140" s="593">
        <f t="shared" si="22"/>
        <v>474217.91000000003</v>
      </c>
      <c r="K140" s="594"/>
      <c r="L140" s="594"/>
    </row>
    <row r="141" spans="1:12" x14ac:dyDescent="0.2">
      <c r="A141" s="696">
        <f t="shared" si="19"/>
        <v>115</v>
      </c>
      <c r="B141" s="54" t="s">
        <v>1615</v>
      </c>
      <c r="C141" s="553">
        <f>J56</f>
        <v>342167.80999999994</v>
      </c>
      <c r="D141" s="553">
        <f t="shared" si="23"/>
        <v>110697.83000000002</v>
      </c>
      <c r="E141" s="553">
        <f t="shared" si="24"/>
        <v>231469.97999999992</v>
      </c>
      <c r="F141" s="657">
        <v>1.7000000000000001E-2</v>
      </c>
      <c r="G141" s="593">
        <f t="shared" si="20"/>
        <v>5816.8527699999995</v>
      </c>
      <c r="H141" s="593">
        <f t="shared" si="21"/>
        <v>1881.8631100000005</v>
      </c>
      <c r="I141" s="593">
        <f t="shared" si="22"/>
        <v>3934.9896599999988</v>
      </c>
    </row>
    <row r="142" spans="1:12" x14ac:dyDescent="0.2">
      <c r="A142" s="696">
        <f t="shared" si="19"/>
        <v>116</v>
      </c>
      <c r="B142" s="54" t="s">
        <v>1616</v>
      </c>
      <c r="C142" s="553">
        <f>J57</f>
        <v>17493.63</v>
      </c>
      <c r="D142" s="553">
        <f t="shared" si="23"/>
        <v>0</v>
      </c>
      <c r="E142" s="553">
        <f t="shared" si="24"/>
        <v>17493.63</v>
      </c>
      <c r="F142" s="657">
        <v>1</v>
      </c>
      <c r="G142" s="593">
        <f t="shared" si="20"/>
        <v>17493.63</v>
      </c>
      <c r="H142" s="593">
        <f t="shared" si="21"/>
        <v>0</v>
      </c>
      <c r="I142" s="593">
        <f t="shared" si="22"/>
        <v>17493.63</v>
      </c>
    </row>
    <row r="143" spans="1:12" x14ac:dyDescent="0.2">
      <c r="A143" s="696">
        <f t="shared" si="19"/>
        <v>117</v>
      </c>
      <c r="B143" s="54" t="s">
        <v>1617</v>
      </c>
      <c r="C143" s="563">
        <f>J58</f>
        <v>3148853.0800000005</v>
      </c>
      <c r="D143" s="563">
        <f t="shared" si="23"/>
        <v>473032.69000000041</v>
      </c>
      <c r="E143" s="563">
        <f t="shared" si="24"/>
        <v>2675820.39</v>
      </c>
      <c r="F143" s="657">
        <v>0.46062100803299011</v>
      </c>
      <c r="G143" s="593">
        <f t="shared" si="20"/>
        <v>1450427.879857386</v>
      </c>
      <c r="H143" s="593">
        <f t="shared" si="21"/>
        <v>217888.79450035712</v>
      </c>
      <c r="I143" s="593">
        <f t="shared" si="22"/>
        <v>1232539.0853570288</v>
      </c>
    </row>
    <row r="144" spans="1:12" x14ac:dyDescent="0.2">
      <c r="A144" s="696">
        <f t="shared" si="19"/>
        <v>118</v>
      </c>
      <c r="B144" s="564" t="s">
        <v>617</v>
      </c>
      <c r="C144" s="565" t="s">
        <v>92</v>
      </c>
      <c r="D144" s="565" t="s">
        <v>92</v>
      </c>
      <c r="E144" s="565" t="s">
        <v>92</v>
      </c>
      <c r="F144" s="565" t="s">
        <v>92</v>
      </c>
      <c r="G144" s="565" t="s">
        <v>92</v>
      </c>
      <c r="H144" s="565" t="s">
        <v>92</v>
      </c>
      <c r="I144" s="565" t="s">
        <v>92</v>
      </c>
    </row>
    <row r="145" spans="1:12" x14ac:dyDescent="0.2">
      <c r="A145" s="696">
        <f t="shared" si="19"/>
        <v>119</v>
      </c>
      <c r="B145" s="633" t="s">
        <v>1720</v>
      </c>
      <c r="C145" s="595">
        <f>J60</f>
        <v>11531030.655841717</v>
      </c>
      <c r="D145" s="595">
        <f>K60</f>
        <v>11531030.655841717</v>
      </c>
      <c r="E145" s="595">
        <f>L60</f>
        <v>0</v>
      </c>
      <c r="F145" s="632"/>
      <c r="G145" s="596">
        <f>SUM(H145:I145)</f>
        <v>5183408.8697415944</v>
      </c>
      <c r="H145" s="596">
        <f>D145*(SUM(H96:H143)/SUM(D96:D143))</f>
        <v>5183408.8697415944</v>
      </c>
      <c r="I145" s="596">
        <v>0</v>
      </c>
    </row>
    <row r="146" spans="1:12" x14ac:dyDescent="0.2">
      <c r="A146" s="696">
        <f t="shared" si="19"/>
        <v>120</v>
      </c>
      <c r="B146" s="570" t="s">
        <v>1640</v>
      </c>
      <c r="C146" s="573">
        <f>SUM(C96:C145)</f>
        <v>186241428.1058417</v>
      </c>
      <c r="D146" s="573">
        <f>SUM(D96:D145)</f>
        <v>78831837.755841732</v>
      </c>
      <c r="E146" s="573">
        <f>SUM(E96:E145)</f>
        <v>107409590.34999996</v>
      </c>
      <c r="F146" s="597"/>
      <c r="G146" s="573">
        <f>SUM(G96:G145)</f>
        <v>89302524.632420719</v>
      </c>
      <c r="H146" s="573">
        <f>SUM(H96:H145)</f>
        <v>35436350.768406913</v>
      </c>
      <c r="I146" s="573">
        <f>SUM(I96:I145)</f>
        <v>53866173.864013799</v>
      </c>
      <c r="K146" s="599">
        <f>L146-H146</f>
        <v>-2782924.894542411</v>
      </c>
      <c r="L146" s="600">
        <v>32653425.873864502</v>
      </c>
    </row>
    <row r="147" spans="1:12" x14ac:dyDescent="0.2">
      <c r="A147" s="696">
        <f t="shared" si="19"/>
        <v>121</v>
      </c>
      <c r="B147" s="554"/>
      <c r="C147" s="553"/>
      <c r="D147" s="553"/>
      <c r="E147" s="553"/>
      <c r="F147" s="597"/>
      <c r="G147" s="598"/>
      <c r="H147" s="593"/>
      <c r="I147" s="593"/>
      <c r="J147" s="593"/>
      <c r="K147" s="599">
        <f>L147*1000-I146</f>
        <v>13129032.088066749</v>
      </c>
      <c r="L147" s="601">
        <v>66995.205952080549</v>
      </c>
    </row>
    <row r="148" spans="1:12" x14ac:dyDescent="0.2">
      <c r="A148" s="2"/>
      <c r="B148" s="575"/>
      <c r="C148" s="602"/>
      <c r="D148" s="602"/>
      <c r="E148" s="602"/>
      <c r="F148" s="603"/>
      <c r="G148" s="604"/>
      <c r="H148" s="602"/>
      <c r="I148" s="602"/>
      <c r="J148" s="602"/>
    </row>
    <row r="149" spans="1:12" x14ac:dyDescent="0.2">
      <c r="A149" s="2"/>
      <c r="B149" s="99" t="s">
        <v>417</v>
      </c>
      <c r="C149" s="529" t="s">
        <v>400</v>
      </c>
      <c r="D149" s="529" t="s">
        <v>401</v>
      </c>
      <c r="E149" s="529" t="s">
        <v>402</v>
      </c>
      <c r="F149" s="530" t="s">
        <v>403</v>
      </c>
      <c r="G149" s="529" t="s">
        <v>404</v>
      </c>
      <c r="H149" s="529" t="s">
        <v>405</v>
      </c>
      <c r="I149" s="529" t="s">
        <v>654</v>
      </c>
      <c r="J149" s="99"/>
    </row>
    <row r="150" spans="1:12" x14ac:dyDescent="0.2">
      <c r="A150" s="2"/>
      <c r="C150" s="559" t="s">
        <v>1636</v>
      </c>
      <c r="D150" s="559" t="s">
        <v>1637</v>
      </c>
      <c r="E150" s="559" t="s">
        <v>1638</v>
      </c>
      <c r="F150" s="583" t="s">
        <v>1438</v>
      </c>
      <c r="G150" s="839" t="s">
        <v>1561</v>
      </c>
      <c r="H150" s="840" t="s">
        <v>2148</v>
      </c>
      <c r="I150" s="840" t="s">
        <v>2149</v>
      </c>
    </row>
    <row r="151" spans="1:12" x14ac:dyDescent="0.2">
      <c r="A151" s="2"/>
      <c r="C151" s="559"/>
      <c r="D151" s="559"/>
      <c r="E151" s="559"/>
      <c r="F151" s="582"/>
      <c r="G151" s="583"/>
      <c r="H151" s="554"/>
      <c r="I151" s="554"/>
      <c r="J151" s="554"/>
    </row>
    <row r="152" spans="1:12" x14ac:dyDescent="0.2">
      <c r="A152" s="2"/>
      <c r="B152" s="1074" t="s">
        <v>1565</v>
      </c>
      <c r="C152" s="1065" t="s">
        <v>1568</v>
      </c>
      <c r="D152" s="1066"/>
      <c r="E152" s="1067"/>
      <c r="F152" s="591" t="s">
        <v>1791</v>
      </c>
      <c r="G152" s="1071" t="s">
        <v>1639</v>
      </c>
      <c r="H152" s="1072"/>
      <c r="I152" s="1073"/>
      <c r="J152" s="554"/>
    </row>
    <row r="153" spans="1:12" x14ac:dyDescent="0.2">
      <c r="A153" s="2"/>
      <c r="B153" s="1074"/>
      <c r="C153" s="542" t="s">
        <v>225</v>
      </c>
      <c r="D153" s="544" t="s">
        <v>1569</v>
      </c>
      <c r="E153" s="544" t="s">
        <v>1570</v>
      </c>
      <c r="F153" s="591" t="s">
        <v>517</v>
      </c>
      <c r="G153" s="542" t="s">
        <v>225</v>
      </c>
      <c r="H153" s="544" t="s">
        <v>1569</v>
      </c>
      <c r="I153" s="544" t="s">
        <v>1570</v>
      </c>
    </row>
    <row r="154" spans="1:12" ht="12.75" customHeight="1" x14ac:dyDescent="0.2">
      <c r="A154" s="2"/>
      <c r="B154" s="578" t="s">
        <v>1619</v>
      </c>
      <c r="C154" s="553"/>
      <c r="D154" s="553"/>
      <c r="E154" s="553"/>
      <c r="F154" s="597"/>
      <c r="G154" s="598"/>
      <c r="H154" s="593"/>
      <c r="I154" s="593"/>
      <c r="J154" s="593"/>
    </row>
    <row r="155" spans="1:12" ht="12.75" customHeight="1" x14ac:dyDescent="0.2">
      <c r="A155" s="2">
        <f>A147+1</f>
        <v>122</v>
      </c>
      <c r="B155" s="54" t="s">
        <v>1620</v>
      </c>
      <c r="C155" s="553">
        <f>J70</f>
        <v>19976391.669999994</v>
      </c>
      <c r="D155" s="553">
        <f t="shared" ref="C155:E162" si="30">K70</f>
        <v>13694748.369999995</v>
      </c>
      <c r="E155" s="553">
        <f t="shared" si="30"/>
        <v>6281643.2999999989</v>
      </c>
      <c r="F155" s="658">
        <v>2.3984107403434804E-2</v>
      </c>
      <c r="G155" s="593">
        <f t="shared" ref="G155:G162" si="31">SUM(H155:I155)</f>
        <v>479115.92334636021</v>
      </c>
      <c r="H155" s="593">
        <f>D155*F155</f>
        <v>328456.31576909358</v>
      </c>
      <c r="I155" s="593">
        <f>E155*F155</f>
        <v>150659.60757726661</v>
      </c>
    </row>
    <row r="156" spans="1:12" ht="12.75" customHeight="1" x14ac:dyDescent="0.2">
      <c r="A156" s="2">
        <f t="shared" ref="A156:A165" si="32">A155+1</f>
        <v>123</v>
      </c>
      <c r="B156" s="54" t="s">
        <v>1621</v>
      </c>
      <c r="C156" s="553">
        <f t="shared" si="30"/>
        <v>10011035.219999999</v>
      </c>
      <c r="D156" s="553">
        <f t="shared" si="30"/>
        <v>7181278.4099999983</v>
      </c>
      <c r="E156" s="553">
        <f t="shared" si="30"/>
        <v>2829756.8100000005</v>
      </c>
      <c r="F156" s="658">
        <v>2.3984107403434804E-2</v>
      </c>
      <c r="G156" s="593">
        <f t="shared" si="31"/>
        <v>240105.74393604853</v>
      </c>
      <c r="H156" s="593">
        <f t="shared" ref="H156:H163" si="33">D156*F156</f>
        <v>172236.55267940747</v>
      </c>
      <c r="I156" s="593">
        <f t="shared" ref="I156:I163" si="34">E156*F156</f>
        <v>67869.191256641061</v>
      </c>
    </row>
    <row r="157" spans="1:12" ht="12.75" customHeight="1" x14ac:dyDescent="0.2">
      <c r="A157" s="2">
        <f t="shared" si="32"/>
        <v>124</v>
      </c>
      <c r="B157" s="54" t="s">
        <v>1622</v>
      </c>
      <c r="C157" s="553">
        <f t="shared" si="30"/>
        <v>2267016.58</v>
      </c>
      <c r="D157" s="553">
        <f t="shared" si="30"/>
        <v>1811480.8600000003</v>
      </c>
      <c r="E157" s="553">
        <f t="shared" si="30"/>
        <v>455535.72</v>
      </c>
      <c r="F157" s="658">
        <v>2.3984107403434804E-2</v>
      </c>
      <c r="G157" s="593">
        <f t="shared" si="31"/>
        <v>54372.369140087452</v>
      </c>
      <c r="H157" s="593">
        <f t="shared" si="33"/>
        <v>43446.75150550645</v>
      </c>
      <c r="I157" s="593">
        <f t="shared" si="34"/>
        <v>10925.617634581004</v>
      </c>
    </row>
    <row r="158" spans="1:12" ht="12.75" customHeight="1" x14ac:dyDescent="0.2">
      <c r="A158" s="2">
        <f t="shared" si="32"/>
        <v>125</v>
      </c>
      <c r="B158" s="54" t="s">
        <v>1623</v>
      </c>
      <c r="C158" s="553">
        <f t="shared" si="30"/>
        <v>110635.80999999998</v>
      </c>
      <c r="D158" s="553">
        <f t="shared" si="30"/>
        <v>19025.289999999997</v>
      </c>
      <c r="E158" s="553">
        <f t="shared" si="30"/>
        <v>91610.51999999999</v>
      </c>
      <c r="F158" s="658">
        <v>2.3984107403434804E-2</v>
      </c>
      <c r="G158" s="593">
        <f t="shared" si="31"/>
        <v>2653.5011497060059</v>
      </c>
      <c r="H158" s="593">
        <f t="shared" si="33"/>
        <v>456.30459874149409</v>
      </c>
      <c r="I158" s="593">
        <f t="shared" si="34"/>
        <v>2197.196550964512</v>
      </c>
    </row>
    <row r="159" spans="1:12" ht="12.75" customHeight="1" x14ac:dyDescent="0.2">
      <c r="A159" s="2">
        <f t="shared" si="32"/>
        <v>126</v>
      </c>
      <c r="B159" s="54" t="s">
        <v>1624</v>
      </c>
      <c r="C159" s="553">
        <f t="shared" si="30"/>
        <v>792709.81</v>
      </c>
      <c r="D159" s="553">
        <f t="shared" si="30"/>
        <v>520742.43</v>
      </c>
      <c r="E159" s="553">
        <f t="shared" si="30"/>
        <v>271967.38000000006</v>
      </c>
      <c r="F159" s="658">
        <v>3.0000000000000001E-3</v>
      </c>
      <c r="G159" s="593">
        <f t="shared" si="31"/>
        <v>2378.1294300000004</v>
      </c>
      <c r="H159" s="593">
        <f t="shared" si="33"/>
        <v>1562.22729</v>
      </c>
      <c r="I159" s="593">
        <f t="shared" si="34"/>
        <v>815.90214000000026</v>
      </c>
    </row>
    <row r="160" spans="1:12" ht="12.75" customHeight="1" x14ac:dyDescent="0.2">
      <c r="A160" s="2">
        <f t="shared" si="32"/>
        <v>127</v>
      </c>
      <c r="B160" s="54" t="s">
        <v>1625</v>
      </c>
      <c r="C160" s="553">
        <f t="shared" si="30"/>
        <v>2143515.19</v>
      </c>
      <c r="D160" s="553">
        <f t="shared" si="30"/>
        <v>1792190.25</v>
      </c>
      <c r="E160" s="553">
        <f t="shared" si="30"/>
        <v>351324.94000000006</v>
      </c>
      <c r="F160" s="658">
        <v>1.7999999999999999E-2</v>
      </c>
      <c r="G160" s="593">
        <f t="shared" si="31"/>
        <v>38583.273419999998</v>
      </c>
      <c r="H160" s="593">
        <f t="shared" si="33"/>
        <v>32259.424499999997</v>
      </c>
      <c r="I160" s="593">
        <f t="shared" si="34"/>
        <v>6323.8489200000004</v>
      </c>
    </row>
    <row r="161" spans="1:11" ht="12.75" customHeight="1" x14ac:dyDescent="0.2">
      <c r="A161" s="2">
        <f t="shared" si="32"/>
        <v>128</v>
      </c>
      <c r="B161" s="54" t="s">
        <v>1626</v>
      </c>
      <c r="C161" s="553">
        <f t="shared" si="30"/>
        <v>579608.49999999988</v>
      </c>
      <c r="D161" s="553">
        <f t="shared" si="30"/>
        <v>450933.48999999987</v>
      </c>
      <c r="E161" s="553">
        <f t="shared" si="30"/>
        <v>128675.01000000001</v>
      </c>
      <c r="F161" s="658">
        <v>7.1999999999999995E-2</v>
      </c>
      <c r="G161" s="593">
        <f t="shared" si="31"/>
        <v>41731.811999999991</v>
      </c>
      <c r="H161" s="593">
        <f t="shared" si="33"/>
        <v>32467.211279999989</v>
      </c>
      <c r="I161" s="593">
        <f t="shared" si="34"/>
        <v>9264.6007200000004</v>
      </c>
    </row>
    <row r="162" spans="1:11" ht="12.75" customHeight="1" x14ac:dyDescent="0.2">
      <c r="A162" s="2">
        <f t="shared" si="32"/>
        <v>129</v>
      </c>
      <c r="B162" s="54" t="s">
        <v>1627</v>
      </c>
      <c r="C162" s="553">
        <f t="shared" si="30"/>
        <v>2721487.68</v>
      </c>
      <c r="D162" s="553">
        <f t="shared" si="30"/>
        <v>1031422.7700000001</v>
      </c>
      <c r="E162" s="553">
        <f t="shared" si="30"/>
        <v>1690064.9100000001</v>
      </c>
      <c r="F162" s="658">
        <v>2.3984107403434804E-2</v>
      </c>
      <c r="G162" s="593">
        <f t="shared" si="31"/>
        <v>65272.452814244622</v>
      </c>
      <c r="H162" s="593">
        <f t="shared" si="33"/>
        <v>24737.754494028235</v>
      </c>
      <c r="I162" s="593">
        <f t="shared" si="34"/>
        <v>40534.698320216383</v>
      </c>
    </row>
    <row r="163" spans="1:11" ht="12.75" customHeight="1" x14ac:dyDescent="0.35">
      <c r="A163" s="630">
        <f t="shared" si="32"/>
        <v>130</v>
      </c>
      <c r="B163" s="628" t="s">
        <v>1628</v>
      </c>
      <c r="C163" s="629">
        <f t="shared" ref="C163:E164" si="35">J78</f>
        <v>428580706.63999999</v>
      </c>
      <c r="D163" s="553">
        <f t="shared" si="35"/>
        <v>179086758</v>
      </c>
      <c r="E163" s="553">
        <f t="shared" si="35"/>
        <v>249493948.63999999</v>
      </c>
      <c r="F163" s="659">
        <v>0</v>
      </c>
      <c r="G163" s="605">
        <v>0</v>
      </c>
      <c r="H163" s="593">
        <f t="shared" si="33"/>
        <v>0</v>
      </c>
      <c r="I163" s="593">
        <f t="shared" si="34"/>
        <v>0</v>
      </c>
    </row>
    <row r="164" spans="1:11" ht="12.75" customHeight="1" x14ac:dyDescent="0.2">
      <c r="A164" s="2">
        <f t="shared" si="32"/>
        <v>131</v>
      </c>
      <c r="B164" s="633" t="s">
        <v>1721</v>
      </c>
      <c r="C164" s="579">
        <f t="shared" si="35"/>
        <v>34841186.344158292</v>
      </c>
      <c r="D164" s="579">
        <f t="shared" si="35"/>
        <v>34841186.344158292</v>
      </c>
      <c r="E164" s="579">
        <f t="shared" si="35"/>
        <v>0</v>
      </c>
      <c r="F164" s="660">
        <v>0</v>
      </c>
      <c r="G164" s="596">
        <f>SUM(H164:I164)</f>
        <v>0</v>
      </c>
      <c r="H164" s="596">
        <f>D164*F164</f>
        <v>0</v>
      </c>
      <c r="I164" s="596">
        <f>E164*F164</f>
        <v>0</v>
      </c>
    </row>
    <row r="165" spans="1:11" x14ac:dyDescent="0.2">
      <c r="A165" s="2">
        <f t="shared" si="32"/>
        <v>132</v>
      </c>
      <c r="B165" s="575" t="s">
        <v>1641</v>
      </c>
      <c r="C165" s="553">
        <f>SUM(C155:C164)</f>
        <v>502024293.44415826</v>
      </c>
      <c r="D165" s="553">
        <f>SUM(D155:D164)</f>
        <v>240429766.2141583</v>
      </c>
      <c r="E165" s="553">
        <f>SUM(E155:E164)</f>
        <v>261594527.22999999</v>
      </c>
      <c r="F165" s="603"/>
      <c r="G165" s="573">
        <f>SUM(G155:G163)</f>
        <v>924213.20523644681</v>
      </c>
      <c r="H165" s="573">
        <f>SUM(H155:H163)</f>
        <v>635622.54211677716</v>
      </c>
      <c r="I165" s="573">
        <f>SUM(I155:I163)</f>
        <v>288590.66311966954</v>
      </c>
    </row>
    <row r="166" spans="1:11" x14ac:dyDescent="0.2">
      <c r="A166" s="2">
        <f>+A165+1</f>
        <v>133</v>
      </c>
      <c r="B166" s="575"/>
      <c r="C166" s="553"/>
      <c r="D166" s="553"/>
      <c r="E166" s="553"/>
      <c r="F166" s="603"/>
      <c r="G166" s="573"/>
      <c r="H166" s="571"/>
      <c r="I166" s="606"/>
    </row>
    <row r="167" spans="1:11" x14ac:dyDescent="0.2">
      <c r="A167" s="2">
        <f>A166+1</f>
        <v>134</v>
      </c>
      <c r="B167" s="340"/>
      <c r="C167" s="549"/>
      <c r="D167" s="549"/>
      <c r="E167" s="549"/>
      <c r="F167" s="597"/>
      <c r="G167" s="593"/>
      <c r="H167" s="593"/>
      <c r="I167" s="593"/>
    </row>
    <row r="168" spans="1:11" x14ac:dyDescent="0.2">
      <c r="A168" s="2">
        <f>A167+1</f>
        <v>135</v>
      </c>
      <c r="B168" s="575" t="s">
        <v>2151</v>
      </c>
      <c r="C168" s="549">
        <f>+C146+C165</f>
        <v>688265721.54999995</v>
      </c>
      <c r="D168" s="549">
        <f>+D146+D165</f>
        <v>319261603.97000003</v>
      </c>
      <c r="E168" s="549">
        <f>+E146+E165</f>
        <v>369004117.57999992</v>
      </c>
      <c r="F168" s="548"/>
      <c r="G168" s="593">
        <f>SUM(H168:I168)</f>
        <v>90226737.837657154</v>
      </c>
      <c r="H168" s="549">
        <f>+H146+H165</f>
        <v>36071973.310523689</v>
      </c>
      <c r="I168" s="549">
        <f>+I146+I165</f>
        <v>54154764.527133465</v>
      </c>
    </row>
    <row r="169" spans="1:11" x14ac:dyDescent="0.2">
      <c r="A169" s="2">
        <f>A168+1</f>
        <v>136</v>
      </c>
      <c r="B169" s="513" t="str">
        <f>"Line "&amp;A146&amp;" +  Line "&amp;A165&amp;""</f>
        <v>Line 120 +  Line 132</v>
      </c>
    </row>
    <row r="171" spans="1:11" x14ac:dyDescent="0.2">
      <c r="B171" s="608" t="s">
        <v>269</v>
      </c>
    </row>
    <row r="172" spans="1:11" x14ac:dyDescent="0.2">
      <c r="B172" s="663" t="s">
        <v>1642</v>
      </c>
      <c r="G172" s="664"/>
      <c r="H172" s="665"/>
      <c r="I172" s="665"/>
      <c r="J172" s="594"/>
      <c r="K172" s="594"/>
    </row>
    <row r="173" spans="1:11" x14ac:dyDescent="0.2">
      <c r="B173" s="666" t="s">
        <v>1643</v>
      </c>
      <c r="G173" s="664"/>
      <c r="H173" s="665"/>
      <c r="I173" s="665"/>
      <c r="J173" s="594"/>
      <c r="K173" s="594"/>
    </row>
    <row r="174" spans="1:11" x14ac:dyDescent="0.2">
      <c r="B174" s="1024" t="s">
        <v>2399</v>
      </c>
      <c r="C174" s="557"/>
      <c r="D174" s="557"/>
      <c r="E174" s="557"/>
      <c r="F174" s="558"/>
      <c r="G174" s="609"/>
      <c r="H174" s="610"/>
      <c r="I174" s="610"/>
      <c r="J174" s="557"/>
      <c r="K174" s="557"/>
    </row>
    <row r="175" spans="1:11" x14ac:dyDescent="0.2">
      <c r="B175" s="1025" t="s">
        <v>2400</v>
      </c>
      <c r="C175" s="557"/>
      <c r="D175" s="557"/>
      <c r="E175" s="557"/>
      <c r="F175" s="558"/>
      <c r="G175" s="609"/>
      <c r="H175" s="610"/>
      <c r="I175" s="610"/>
      <c r="J175" s="557"/>
      <c r="K175" s="557"/>
    </row>
    <row r="176" spans="1:11" x14ac:dyDescent="0.2">
      <c r="B176" s="1025" t="s">
        <v>2499</v>
      </c>
      <c r="C176" s="557"/>
      <c r="D176" s="557"/>
      <c r="E176" s="557"/>
      <c r="F176" s="558"/>
      <c r="G176" s="609"/>
      <c r="H176" s="610"/>
      <c r="I176" s="610"/>
      <c r="J176" s="557"/>
      <c r="K176" s="557"/>
    </row>
    <row r="177" spans="2:11" x14ac:dyDescent="0.2">
      <c r="B177" s="1025" t="s">
        <v>2401</v>
      </c>
      <c r="C177" s="557"/>
      <c r="D177" s="557"/>
      <c r="E177" s="557"/>
      <c r="F177" s="558"/>
      <c r="G177" s="609"/>
      <c r="H177" s="610"/>
      <c r="I177" s="610"/>
      <c r="J177" s="557"/>
      <c r="K177" s="557"/>
    </row>
    <row r="178" spans="2:11" x14ac:dyDescent="0.2">
      <c r="B178" s="1026" t="s">
        <v>2402</v>
      </c>
      <c r="C178" s="557"/>
      <c r="D178" s="557"/>
      <c r="E178" s="557"/>
      <c r="F178" s="558"/>
      <c r="G178" s="609"/>
      <c r="H178" s="610"/>
      <c r="I178" s="610"/>
      <c r="J178" s="557"/>
      <c r="K178" s="557"/>
    </row>
    <row r="179" spans="2:11" x14ac:dyDescent="0.2">
      <c r="B179" s="1025" t="s">
        <v>2403</v>
      </c>
      <c r="C179" s="557"/>
      <c r="D179" s="557"/>
      <c r="E179" s="557"/>
      <c r="F179" s="558"/>
      <c r="G179" s="609"/>
      <c r="H179" s="610"/>
      <c r="I179" s="610"/>
      <c r="J179" s="557"/>
      <c r="K179" s="557"/>
    </row>
    <row r="180" spans="2:11" x14ac:dyDescent="0.2">
      <c r="B180" s="1025" t="s">
        <v>2404</v>
      </c>
      <c r="C180" s="557"/>
      <c r="D180" s="557"/>
      <c r="E180" s="557"/>
      <c r="F180" s="558"/>
      <c r="G180" s="609"/>
      <c r="H180" s="610"/>
      <c r="I180" s="610"/>
      <c r="J180" s="557"/>
      <c r="K180" s="557"/>
    </row>
    <row r="181" spans="2:11" x14ac:dyDescent="0.2">
      <c r="B181" s="594" t="s">
        <v>1796</v>
      </c>
      <c r="G181" s="664"/>
      <c r="H181" s="665"/>
      <c r="I181" s="665"/>
      <c r="J181" s="594"/>
      <c r="K181" s="594"/>
    </row>
    <row r="182" spans="2:11" x14ac:dyDescent="0.2">
      <c r="B182" s="513" t="s">
        <v>1795</v>
      </c>
      <c r="G182" s="664"/>
      <c r="H182" s="665"/>
      <c r="I182" s="665"/>
      <c r="J182" s="594"/>
      <c r="K182" s="594"/>
    </row>
    <row r="183" spans="2:11" x14ac:dyDescent="0.2">
      <c r="G183" s="664"/>
      <c r="H183" s="665"/>
      <c r="I183" s="665"/>
      <c r="J183" s="594"/>
      <c r="K183" s="594"/>
    </row>
    <row r="184" spans="2:11" x14ac:dyDescent="0.2">
      <c r="B184" s="670" t="s">
        <v>1794</v>
      </c>
      <c r="C184" s="557">
        <v>69</v>
      </c>
      <c r="G184" s="664"/>
      <c r="H184" s="665"/>
      <c r="I184" s="665"/>
      <c r="J184" s="594"/>
      <c r="K184" s="594"/>
    </row>
    <row r="185" spans="2:11" x14ac:dyDescent="0.2">
      <c r="G185" s="664"/>
      <c r="H185" s="665"/>
      <c r="I185" s="665"/>
      <c r="J185" s="594"/>
      <c r="K185" s="594"/>
    </row>
    <row r="186" spans="2:11" x14ac:dyDescent="0.2">
      <c r="B186" s="667"/>
      <c r="C186" s="668" t="s">
        <v>1793</v>
      </c>
      <c r="D186" s="668" t="s">
        <v>178</v>
      </c>
      <c r="G186" s="664"/>
      <c r="H186" s="665"/>
      <c r="I186" s="665"/>
      <c r="J186" s="594"/>
      <c r="K186" s="594"/>
    </row>
    <row r="187" spans="2:11" x14ac:dyDescent="0.2">
      <c r="B187" s="822" t="s">
        <v>2071</v>
      </c>
      <c r="C187" s="669">
        <f>D61/D82</f>
        <v>0.24866248374197242</v>
      </c>
      <c r="D187" s="667" t="str">
        <f>"Line "&amp;A61&amp;", Col 3 / Line "&amp;A82&amp;", Col 3"</f>
        <v>Line 51, Col 3 / Line 65, Col 3</v>
      </c>
      <c r="G187" s="664"/>
      <c r="H187" s="665"/>
      <c r="I187" s="665"/>
      <c r="J187" s="594"/>
      <c r="K187" s="594"/>
    </row>
    <row r="188" spans="2:11" x14ac:dyDescent="0.2">
      <c r="B188" s="667" t="s">
        <v>1792</v>
      </c>
      <c r="C188" s="669">
        <f>D80/D82</f>
        <v>0.75133751625802769</v>
      </c>
      <c r="D188" s="667" t="str">
        <f>"Line "&amp;A80&amp;", Col 3 / Line "&amp;A82&amp;", Col 3"</f>
        <v>Line 63, Col 3 / Line 65, Col 3</v>
      </c>
      <c r="G188" s="664"/>
      <c r="H188" s="665"/>
      <c r="I188" s="665"/>
      <c r="J188" s="594"/>
      <c r="K188" s="594"/>
    </row>
    <row r="189" spans="2:11" x14ac:dyDescent="0.2">
      <c r="G189" s="664"/>
      <c r="H189" s="665"/>
      <c r="I189" s="665"/>
      <c r="J189" s="594"/>
      <c r="K189" s="594"/>
    </row>
    <row r="190" spans="2:11" x14ac:dyDescent="0.2">
      <c r="B190" s="823" t="s">
        <v>2072</v>
      </c>
      <c r="G190" s="664"/>
      <c r="H190" s="665"/>
      <c r="I190" s="665"/>
      <c r="J190" s="594"/>
      <c r="K190" s="594"/>
    </row>
    <row r="191" spans="2:11" x14ac:dyDescent="0.2">
      <c r="B191" s="667" t="s">
        <v>1722</v>
      </c>
      <c r="H191" s="665"/>
      <c r="I191" s="665"/>
      <c r="J191" s="594"/>
      <c r="K191" s="594"/>
    </row>
    <row r="192" spans="2:11" x14ac:dyDescent="0.2">
      <c r="B192" s="695" t="s">
        <v>2150</v>
      </c>
      <c r="H192" s="665"/>
      <c r="I192" s="665"/>
      <c r="J192" s="594"/>
      <c r="K192" s="594"/>
    </row>
    <row r="193" spans="2:11" x14ac:dyDescent="0.2">
      <c r="B193" s="594" t="s">
        <v>1718</v>
      </c>
      <c r="H193" s="665"/>
      <c r="I193" s="665"/>
      <c r="J193" s="594"/>
      <c r="K193" s="594"/>
    </row>
    <row r="197" spans="2:11" x14ac:dyDescent="0.2">
      <c r="G197" s="664"/>
    </row>
    <row r="198" spans="2:11" x14ac:dyDescent="0.2">
      <c r="G198" s="664"/>
    </row>
    <row r="199" spans="2:11" x14ac:dyDescent="0.2">
      <c r="G199" s="664"/>
    </row>
  </sheetData>
  <mergeCells count="14">
    <mergeCell ref="G152:I152"/>
    <mergeCell ref="G93:I93"/>
    <mergeCell ref="B8:B9"/>
    <mergeCell ref="C8:E8"/>
    <mergeCell ref="G8:I8"/>
    <mergeCell ref="B93:B94"/>
    <mergeCell ref="C93:E93"/>
    <mergeCell ref="B152:B153"/>
    <mergeCell ref="C152:E152"/>
    <mergeCell ref="J8:L8"/>
    <mergeCell ref="B67:B68"/>
    <mergeCell ref="C67:E67"/>
    <mergeCell ref="G67:I67"/>
    <mergeCell ref="J67:L67"/>
  </mergeCells>
  <pageMargins left="0.7" right="0.7" top="0.75" bottom="0.75" header="0.3" footer="0.3"/>
  <pageSetup scale="60" orientation="landscape" r:id="rId1"/>
  <headerFooter>
    <oddHeader>&amp;CSchedule 19
Operations and Maintenance&amp;RDkt. No. ER11-3697
2014 Draft Informational Filing</oddHeader>
    <oddFooter>&amp;R&amp;A</oddFooter>
  </headerFooter>
  <rowBreaks count="3" manualBreakCount="3">
    <brk id="63" max="12" man="1"/>
    <brk id="87" max="16383" man="1"/>
    <brk id="14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topLeftCell="B1" zoomScale="110" zoomScaleNormal="110" workbookViewId="0">
      <selection activeCell="G83" sqref="G83"/>
    </sheetView>
  </sheetViews>
  <sheetFormatPr defaultRowHeight="12.75" x14ac:dyDescent="0.2"/>
  <cols>
    <col min="1" max="1" width="4.7109375" customWidth="1"/>
    <col min="2" max="2" width="2.7109375" customWidth="1"/>
    <col min="3" max="3" width="6.7109375" customWidth="1"/>
    <col min="4" max="4" width="32.5703125" customWidth="1"/>
    <col min="5" max="5" width="14.7109375" customWidth="1"/>
    <col min="6" max="6" width="15.7109375" customWidth="1"/>
    <col min="7" max="10" width="14.7109375" customWidth="1"/>
  </cols>
  <sheetData>
    <row r="1" spans="1:24" x14ac:dyDescent="0.2">
      <c r="A1" s="1" t="s">
        <v>325</v>
      </c>
      <c r="F1" s="44" t="s">
        <v>19</v>
      </c>
      <c r="G1" s="113"/>
      <c r="H1" s="64"/>
      <c r="I1" s="64"/>
    </row>
    <row r="2" spans="1:24" x14ac:dyDescent="0.2">
      <c r="E2" s="99" t="s">
        <v>417</v>
      </c>
      <c r="F2" s="99" t="s">
        <v>400</v>
      </c>
      <c r="G2" s="99" t="s">
        <v>401</v>
      </c>
      <c r="H2" s="99" t="s">
        <v>402</v>
      </c>
      <c r="I2" s="64"/>
    </row>
    <row r="3" spans="1:24" x14ac:dyDescent="0.2">
      <c r="G3" s="64" t="s">
        <v>247</v>
      </c>
    </row>
    <row r="4" spans="1:24" x14ac:dyDescent="0.2">
      <c r="E4" s="2" t="s">
        <v>576</v>
      </c>
      <c r="F4" s="26" t="s">
        <v>222</v>
      </c>
      <c r="G4" s="2" t="s">
        <v>1717</v>
      </c>
      <c r="I4" s="2"/>
    </row>
    <row r="5" spans="1:24" x14ac:dyDescent="0.2">
      <c r="A5" s="55" t="s">
        <v>369</v>
      </c>
      <c r="B5" s="3"/>
      <c r="C5" s="3" t="s">
        <v>133</v>
      </c>
      <c r="D5" s="3" t="s">
        <v>118</v>
      </c>
      <c r="E5" s="3" t="s">
        <v>203</v>
      </c>
      <c r="F5" s="25" t="s">
        <v>207</v>
      </c>
      <c r="G5" s="3" t="s">
        <v>134</v>
      </c>
      <c r="H5" s="3" t="s">
        <v>306</v>
      </c>
      <c r="I5" s="3" t="s">
        <v>196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2">
      <c r="A6" s="2">
        <v>1</v>
      </c>
      <c r="C6" s="64">
        <v>920</v>
      </c>
      <c r="D6" t="s">
        <v>120</v>
      </c>
      <c r="E6" s="94">
        <v>536918160</v>
      </c>
      <c r="F6" s="64" t="s">
        <v>135</v>
      </c>
      <c r="G6" s="67">
        <f>D36</f>
        <v>117462979.09999999</v>
      </c>
      <c r="H6" s="7">
        <f t="shared" ref="H6:H19" si="0">E6-G6</f>
        <v>419455180.89999998</v>
      </c>
    </row>
    <row r="7" spans="1:24" x14ac:dyDescent="0.2">
      <c r="A7" s="2">
        <f>A6+1</f>
        <v>2</v>
      </c>
      <c r="C7" s="64">
        <v>921</v>
      </c>
      <c r="D7" t="s">
        <v>121</v>
      </c>
      <c r="E7" s="94">
        <v>106486299</v>
      </c>
      <c r="F7" s="64" t="s">
        <v>136</v>
      </c>
      <c r="G7" s="67">
        <f t="shared" ref="G7:G19" si="1">D37</f>
        <v>582736.48</v>
      </c>
      <c r="H7" s="7">
        <f t="shared" si="0"/>
        <v>105903562.52</v>
      </c>
    </row>
    <row r="8" spans="1:24" x14ac:dyDescent="0.2">
      <c r="A8" s="2">
        <f>A7+1</f>
        <v>3</v>
      </c>
      <c r="C8" s="64">
        <v>922</v>
      </c>
      <c r="D8" t="s">
        <v>122</v>
      </c>
      <c r="E8" s="94">
        <v>-123052542</v>
      </c>
      <c r="F8" s="64" t="s">
        <v>137</v>
      </c>
      <c r="G8" s="67">
        <f t="shared" si="1"/>
        <v>32245481</v>
      </c>
      <c r="H8" s="7">
        <f t="shared" si="0"/>
        <v>-155298023</v>
      </c>
    </row>
    <row r="9" spans="1:24" x14ac:dyDescent="0.2">
      <c r="A9" s="2">
        <f t="shared" ref="A9:A20" si="2">A8+1</f>
        <v>4</v>
      </c>
      <c r="B9" s="2"/>
      <c r="C9" s="64">
        <v>923</v>
      </c>
      <c r="D9" t="s">
        <v>123</v>
      </c>
      <c r="E9" s="94">
        <v>67510845</v>
      </c>
      <c r="F9" s="64" t="s">
        <v>138</v>
      </c>
      <c r="G9" s="67">
        <f t="shared" si="1"/>
        <v>6383527.7199999988</v>
      </c>
      <c r="H9" s="7">
        <f t="shared" si="0"/>
        <v>61127317.280000001</v>
      </c>
    </row>
    <row r="10" spans="1:24" x14ac:dyDescent="0.2">
      <c r="A10" s="2">
        <f t="shared" si="2"/>
        <v>5</v>
      </c>
      <c r="B10" s="2"/>
      <c r="C10" s="64">
        <v>924</v>
      </c>
      <c r="D10" t="s">
        <v>124</v>
      </c>
      <c r="E10" s="94">
        <v>18713258</v>
      </c>
      <c r="F10" s="64" t="s">
        <v>139</v>
      </c>
      <c r="G10" s="67">
        <f t="shared" si="1"/>
        <v>0</v>
      </c>
      <c r="H10" s="7">
        <f t="shared" si="0"/>
        <v>18713258</v>
      </c>
    </row>
    <row r="11" spans="1:24" x14ac:dyDescent="0.2">
      <c r="A11" s="2">
        <f t="shared" si="2"/>
        <v>6</v>
      </c>
      <c r="B11" s="2"/>
      <c r="C11" s="64">
        <v>925</v>
      </c>
      <c r="D11" t="s">
        <v>125</v>
      </c>
      <c r="E11" s="94">
        <v>88220482</v>
      </c>
      <c r="F11" s="64" t="s">
        <v>140</v>
      </c>
      <c r="G11" s="67">
        <f t="shared" si="1"/>
        <v>117812.72</v>
      </c>
      <c r="H11" s="7">
        <f t="shared" si="0"/>
        <v>88102669.280000001</v>
      </c>
    </row>
    <row r="12" spans="1:24" x14ac:dyDescent="0.2">
      <c r="A12" s="2">
        <f t="shared" si="2"/>
        <v>7</v>
      </c>
      <c r="B12" s="2"/>
      <c r="C12" s="64">
        <v>926</v>
      </c>
      <c r="D12" t="s">
        <v>126</v>
      </c>
      <c r="E12" s="94">
        <v>293595750</v>
      </c>
      <c r="F12" s="64" t="s">
        <v>141</v>
      </c>
      <c r="G12" s="67">
        <f t="shared" si="1"/>
        <v>5621861.8899999997</v>
      </c>
      <c r="H12" s="7">
        <f t="shared" si="0"/>
        <v>287973888.11000001</v>
      </c>
    </row>
    <row r="13" spans="1:24" x14ac:dyDescent="0.2">
      <c r="A13" s="2">
        <f t="shared" si="2"/>
        <v>8</v>
      </c>
      <c r="B13" s="2"/>
      <c r="C13" s="64">
        <v>927</v>
      </c>
      <c r="D13" t="s">
        <v>127</v>
      </c>
      <c r="E13" s="94">
        <v>100359146</v>
      </c>
      <c r="F13" s="64" t="s">
        <v>142</v>
      </c>
      <c r="G13" s="67">
        <f t="shared" si="1"/>
        <v>100359146</v>
      </c>
      <c r="H13" s="7">
        <f t="shared" si="0"/>
        <v>0</v>
      </c>
    </row>
    <row r="14" spans="1:24" x14ac:dyDescent="0.2">
      <c r="A14" s="2">
        <f t="shared" si="2"/>
        <v>9</v>
      </c>
      <c r="B14" s="2"/>
      <c r="C14" s="64">
        <v>928</v>
      </c>
      <c r="D14" s="12" t="s">
        <v>128</v>
      </c>
      <c r="E14" s="94">
        <v>16645461</v>
      </c>
      <c r="F14" s="64" t="s">
        <v>143</v>
      </c>
      <c r="G14" s="67">
        <f t="shared" si="1"/>
        <v>9777613.9700000007</v>
      </c>
      <c r="H14" s="7">
        <f t="shared" si="0"/>
        <v>6867847.0299999993</v>
      </c>
    </row>
    <row r="15" spans="1:24" x14ac:dyDescent="0.2">
      <c r="A15" s="2">
        <f t="shared" si="2"/>
        <v>10</v>
      </c>
      <c r="B15" s="2"/>
      <c r="C15" s="64">
        <v>929</v>
      </c>
      <c r="D15" t="s">
        <v>129</v>
      </c>
      <c r="E15" s="94">
        <v>0</v>
      </c>
      <c r="F15" s="64" t="s">
        <v>144</v>
      </c>
      <c r="G15" s="67">
        <f t="shared" si="1"/>
        <v>0</v>
      </c>
      <c r="H15" s="7">
        <f t="shared" si="0"/>
        <v>0</v>
      </c>
    </row>
    <row r="16" spans="1:24" x14ac:dyDescent="0.2">
      <c r="A16" s="2">
        <f t="shared" si="2"/>
        <v>11</v>
      </c>
      <c r="B16" s="2"/>
      <c r="C16" s="64">
        <v>930.1</v>
      </c>
      <c r="D16" t="s">
        <v>130</v>
      </c>
      <c r="E16" s="94">
        <v>163377</v>
      </c>
      <c r="F16" s="64" t="s">
        <v>145</v>
      </c>
      <c r="G16" s="67">
        <f t="shared" si="1"/>
        <v>67883.75</v>
      </c>
      <c r="H16" s="7">
        <f t="shared" si="0"/>
        <v>95493.25</v>
      </c>
    </row>
    <row r="17" spans="1:8" x14ac:dyDescent="0.2">
      <c r="A17" s="2">
        <f t="shared" si="2"/>
        <v>12</v>
      </c>
      <c r="B17" s="2"/>
      <c r="C17" s="64">
        <v>930.2</v>
      </c>
      <c r="D17" t="s">
        <v>106</v>
      </c>
      <c r="E17" s="94">
        <v>4026668</v>
      </c>
      <c r="F17" s="64" t="s">
        <v>146</v>
      </c>
      <c r="G17" s="67">
        <f t="shared" si="1"/>
        <v>9586885.0600000005</v>
      </c>
      <c r="H17" s="7">
        <f t="shared" si="0"/>
        <v>-5560217.0600000005</v>
      </c>
    </row>
    <row r="18" spans="1:8" x14ac:dyDescent="0.2">
      <c r="A18" s="2">
        <f t="shared" si="2"/>
        <v>13</v>
      </c>
      <c r="B18" s="2"/>
      <c r="C18" s="64">
        <v>931</v>
      </c>
      <c r="D18" t="s">
        <v>131</v>
      </c>
      <c r="E18" s="94">
        <v>24059237</v>
      </c>
      <c r="F18" s="64" t="s">
        <v>147</v>
      </c>
      <c r="G18" s="67">
        <f t="shared" si="1"/>
        <v>75290.61</v>
      </c>
      <c r="H18" s="7">
        <f t="shared" si="0"/>
        <v>23983946.390000001</v>
      </c>
    </row>
    <row r="19" spans="1:8" x14ac:dyDescent="0.2">
      <c r="A19" s="2">
        <f t="shared" si="2"/>
        <v>14</v>
      </c>
      <c r="B19" s="2"/>
      <c r="C19" s="64">
        <v>935</v>
      </c>
      <c r="D19" t="s">
        <v>132</v>
      </c>
      <c r="E19" s="95">
        <v>11685945</v>
      </c>
      <c r="F19" s="64" t="s">
        <v>148</v>
      </c>
      <c r="G19" s="67">
        <f t="shared" si="1"/>
        <v>2272486.4900000002</v>
      </c>
      <c r="H19" s="107">
        <f t="shared" si="0"/>
        <v>9413458.5099999998</v>
      </c>
    </row>
    <row r="20" spans="1:8" x14ac:dyDescent="0.2">
      <c r="A20" s="2">
        <f t="shared" si="2"/>
        <v>15</v>
      </c>
      <c r="E20" s="7">
        <f>SUM(E6:E19)</f>
        <v>1145332086</v>
      </c>
      <c r="G20" s="37" t="s">
        <v>149</v>
      </c>
      <c r="H20" s="120">
        <f>SUM(H6:H19)</f>
        <v>860778381.20999992</v>
      </c>
    </row>
    <row r="22" spans="1:8" x14ac:dyDescent="0.2">
      <c r="F22" s="3" t="s">
        <v>203</v>
      </c>
      <c r="G22" s="3" t="s">
        <v>207</v>
      </c>
    </row>
    <row r="23" spans="1:8" x14ac:dyDescent="0.2">
      <c r="A23" s="2">
        <f>A20+1</f>
        <v>16</v>
      </c>
      <c r="E23" s="110" t="s">
        <v>341</v>
      </c>
      <c r="F23" s="7">
        <f>H20</f>
        <v>860778381.20999992</v>
      </c>
      <c r="G23" s="13" t="str">
        <f>"Line "&amp;A20&amp;""</f>
        <v>Line 15</v>
      </c>
    </row>
    <row r="24" spans="1:8" x14ac:dyDescent="0.2">
      <c r="A24" s="2">
        <f t="shared" ref="A24:A30" si="3">A23+1</f>
        <v>17</v>
      </c>
      <c r="E24" s="110" t="s">
        <v>340</v>
      </c>
      <c r="F24" s="107">
        <f>E10</f>
        <v>18713258</v>
      </c>
      <c r="G24" s="13" t="str">
        <f>"Line "&amp;A10&amp;""</f>
        <v>Line 5</v>
      </c>
    </row>
    <row r="25" spans="1:8" x14ac:dyDescent="0.2">
      <c r="A25" s="2">
        <f t="shared" si="3"/>
        <v>18</v>
      </c>
      <c r="E25" s="110" t="s">
        <v>1709</v>
      </c>
      <c r="F25" s="7">
        <f>F23-F24</f>
        <v>842065123.20999992</v>
      </c>
      <c r="G25" s="13" t="str">
        <f>"Line "&amp;A23&amp;" - Line "&amp;A24&amp;""</f>
        <v>Line 16 - Line 17</v>
      </c>
    </row>
    <row r="26" spans="1:8" x14ac:dyDescent="0.2">
      <c r="A26" s="2">
        <f t="shared" si="3"/>
        <v>19</v>
      </c>
      <c r="E26" s="37" t="s">
        <v>150</v>
      </c>
      <c r="F26" s="96">
        <f>Allocators!G15</f>
        <v>3.9310790220978262E-2</v>
      </c>
      <c r="G26" s="13" t="str">
        <f>"Allocators WS, Line "&amp;Allocators!A15&amp;""</f>
        <v>Allocators WS, Line 9</v>
      </c>
    </row>
    <row r="27" spans="1:8" x14ac:dyDescent="0.2">
      <c r="A27" s="2">
        <f t="shared" si="3"/>
        <v>20</v>
      </c>
      <c r="E27" s="110" t="s">
        <v>1710</v>
      </c>
      <c r="F27" s="7">
        <f>F25*F26</f>
        <v>33102245.410910521</v>
      </c>
      <c r="G27" s="13" t="str">
        <f>"Line "&amp;A25&amp;" * Line "&amp;A26&amp;""</f>
        <v>Line 18 * Line 19</v>
      </c>
    </row>
    <row r="28" spans="1:8" x14ac:dyDescent="0.2">
      <c r="A28" s="2">
        <f t="shared" si="3"/>
        <v>21</v>
      </c>
      <c r="E28" s="110" t="s">
        <v>112</v>
      </c>
      <c r="F28" s="8">
        <f>Allocators!G28</f>
        <v>0.10702566542980063</v>
      </c>
      <c r="G28" s="16" t="str">
        <f>"Allocators WS, Line "&amp;Allocators!A28&amp;""</f>
        <v>Allocators WS, Line 22</v>
      </c>
    </row>
    <row r="29" spans="1:8" x14ac:dyDescent="0.2">
      <c r="A29" s="2">
        <f t="shared" si="3"/>
        <v>22</v>
      </c>
      <c r="E29" s="110" t="s">
        <v>342</v>
      </c>
      <c r="F29" s="107">
        <f>H10*F28</f>
        <v>2002798.88980954</v>
      </c>
      <c r="G29" s="13" t="str">
        <f>"Line "&amp;A10&amp;" Col 4 * Line "&amp;A28&amp;""</f>
        <v>Line 5 Col 4 * Line 21</v>
      </c>
    </row>
    <row r="30" spans="1:8" x14ac:dyDescent="0.2">
      <c r="A30" s="2">
        <f t="shared" si="3"/>
        <v>23</v>
      </c>
      <c r="E30" s="110" t="s">
        <v>343</v>
      </c>
      <c r="F30" s="691">
        <f>F27+F29</f>
        <v>35105044.300720058</v>
      </c>
      <c r="G30" s="13" t="str">
        <f>"Line "&amp;A27&amp;" + Line "&amp;A29&amp;""</f>
        <v>Line 20 + Line 22</v>
      </c>
    </row>
    <row r="32" spans="1:8" x14ac:dyDescent="0.2">
      <c r="B32" s="1" t="s">
        <v>585</v>
      </c>
      <c r="E32" s="99" t="s">
        <v>417</v>
      </c>
      <c r="F32" s="99" t="s">
        <v>400</v>
      </c>
      <c r="G32" s="99" t="s">
        <v>401</v>
      </c>
      <c r="H32" s="99" t="s">
        <v>402</v>
      </c>
    </row>
    <row r="33" spans="1:9" x14ac:dyDescent="0.2">
      <c r="E33" s="2" t="s">
        <v>578</v>
      </c>
    </row>
    <row r="34" spans="1:9" x14ac:dyDescent="0.2">
      <c r="D34" s="2" t="s">
        <v>577</v>
      </c>
      <c r="E34" s="2" t="s">
        <v>662</v>
      </c>
      <c r="F34" s="2" t="s">
        <v>579</v>
      </c>
      <c r="G34" s="2" t="s">
        <v>184</v>
      </c>
      <c r="H34" s="2"/>
    </row>
    <row r="35" spans="1:9" x14ac:dyDescent="0.2">
      <c r="C35" s="3" t="s">
        <v>133</v>
      </c>
      <c r="D35" s="99" t="s">
        <v>1332</v>
      </c>
      <c r="E35" s="2" t="s">
        <v>663</v>
      </c>
      <c r="F35" s="3" t="s">
        <v>580</v>
      </c>
      <c r="G35" s="3" t="s">
        <v>581</v>
      </c>
      <c r="H35" s="3" t="s">
        <v>582</v>
      </c>
      <c r="I35" s="3" t="s">
        <v>196</v>
      </c>
    </row>
    <row r="36" spans="1:9" x14ac:dyDescent="0.2">
      <c r="A36" s="2">
        <f>A30+1</f>
        <v>24</v>
      </c>
      <c r="C36" s="64">
        <v>920</v>
      </c>
      <c r="D36" s="164">
        <f>SUM(E36:H36)</f>
        <v>117462979.09999999</v>
      </c>
      <c r="E36" s="127">
        <v>7305193.0999999996</v>
      </c>
      <c r="F36" s="127"/>
      <c r="G36" s="67">
        <f>G57</f>
        <v>110157786</v>
      </c>
      <c r="H36" s="127"/>
      <c r="I36" s="13" t="s">
        <v>246</v>
      </c>
    </row>
    <row r="37" spans="1:9" x14ac:dyDescent="0.2">
      <c r="A37" s="2">
        <f>A36+1</f>
        <v>25</v>
      </c>
      <c r="C37" s="64">
        <v>921</v>
      </c>
      <c r="D37" s="164">
        <f t="shared" ref="D37:D49" si="4">SUM(E37:H37)</f>
        <v>582736.48</v>
      </c>
      <c r="E37" s="127">
        <v>582736.48</v>
      </c>
      <c r="F37" s="127"/>
      <c r="G37" s="127"/>
      <c r="H37" s="127"/>
      <c r="I37" s="16"/>
    </row>
    <row r="38" spans="1:9" x14ac:dyDescent="0.2">
      <c r="A38" s="2">
        <f t="shared" ref="A38:A49" si="5">A37+1</f>
        <v>26</v>
      </c>
      <c r="C38" s="64">
        <v>922</v>
      </c>
      <c r="D38" s="164">
        <f t="shared" si="4"/>
        <v>32245481</v>
      </c>
      <c r="E38" s="127"/>
      <c r="F38" s="127"/>
      <c r="G38" s="127">
        <v>32245481</v>
      </c>
      <c r="H38" s="127"/>
      <c r="I38" s="16"/>
    </row>
    <row r="39" spans="1:9" x14ac:dyDescent="0.2">
      <c r="A39" s="2">
        <f t="shared" si="5"/>
        <v>27</v>
      </c>
      <c r="C39" s="64">
        <v>923</v>
      </c>
      <c r="D39" s="164">
        <f t="shared" si="4"/>
        <v>6383527.7199999988</v>
      </c>
      <c r="E39" s="127">
        <v>6383527.7199999988</v>
      </c>
      <c r="F39" s="127"/>
      <c r="G39" s="127"/>
      <c r="H39" s="127"/>
      <c r="I39" s="16"/>
    </row>
    <row r="40" spans="1:9" x14ac:dyDescent="0.2">
      <c r="A40" s="2">
        <f t="shared" si="5"/>
        <v>28</v>
      </c>
      <c r="C40" s="64">
        <v>924</v>
      </c>
      <c r="D40" s="164">
        <f t="shared" si="4"/>
        <v>0</v>
      </c>
      <c r="E40" s="127"/>
      <c r="F40" s="127"/>
      <c r="G40" s="127"/>
      <c r="H40" s="127"/>
      <c r="I40" s="16"/>
    </row>
    <row r="41" spans="1:9" x14ac:dyDescent="0.2">
      <c r="A41" s="2">
        <f t="shared" si="5"/>
        <v>29</v>
      </c>
      <c r="C41" s="64">
        <v>925</v>
      </c>
      <c r="D41" s="164">
        <f t="shared" si="4"/>
        <v>117812.72</v>
      </c>
      <c r="E41" s="127">
        <v>117812.72</v>
      </c>
      <c r="F41" s="127"/>
      <c r="G41" s="127"/>
      <c r="H41" s="127"/>
      <c r="I41" s="13"/>
    </row>
    <row r="42" spans="1:9" x14ac:dyDescent="0.2">
      <c r="A42" s="2">
        <f t="shared" si="5"/>
        <v>30</v>
      </c>
      <c r="C42" s="64">
        <v>926</v>
      </c>
      <c r="D42" s="164">
        <f t="shared" si="4"/>
        <v>5621861.8899999997</v>
      </c>
      <c r="E42" s="127">
        <v>7052861.8899999997</v>
      </c>
      <c r="F42" s="127"/>
      <c r="G42" s="127"/>
      <c r="H42" s="67">
        <f>E70</f>
        <v>-1431000</v>
      </c>
      <c r="I42" s="13" t="s">
        <v>328</v>
      </c>
    </row>
    <row r="43" spans="1:9" x14ac:dyDescent="0.2">
      <c r="A43" s="2">
        <f t="shared" si="5"/>
        <v>31</v>
      </c>
      <c r="C43" s="64">
        <v>927</v>
      </c>
      <c r="D43" s="164">
        <f t="shared" si="4"/>
        <v>100359146</v>
      </c>
      <c r="E43" s="67">
        <v>0</v>
      </c>
      <c r="F43" s="678">
        <f>E13</f>
        <v>100359146</v>
      </c>
      <c r="G43" s="67">
        <v>0</v>
      </c>
      <c r="H43" s="67">
        <v>0</v>
      </c>
      <c r="I43" s="16" t="s">
        <v>1130</v>
      </c>
    </row>
    <row r="44" spans="1:9" x14ac:dyDescent="0.2">
      <c r="A44" s="2">
        <f t="shared" si="5"/>
        <v>32</v>
      </c>
      <c r="C44" s="64">
        <v>928</v>
      </c>
      <c r="D44" s="164">
        <f t="shared" si="4"/>
        <v>9777613.9700000007</v>
      </c>
      <c r="E44" s="127">
        <v>9777613.9700000007</v>
      </c>
      <c r="F44" s="127"/>
      <c r="G44" s="127"/>
      <c r="H44" s="127"/>
      <c r="I44" s="16"/>
    </row>
    <row r="45" spans="1:9" x14ac:dyDescent="0.2">
      <c r="A45" s="2">
        <f t="shared" si="5"/>
        <v>33</v>
      </c>
      <c r="C45" s="64">
        <v>929</v>
      </c>
      <c r="D45" s="164">
        <f t="shared" si="4"/>
        <v>0</v>
      </c>
      <c r="E45" s="127"/>
      <c r="F45" s="127"/>
      <c r="G45" s="127"/>
      <c r="H45" s="127"/>
      <c r="I45" s="16"/>
    </row>
    <row r="46" spans="1:9" x14ac:dyDescent="0.2">
      <c r="A46" s="2">
        <f t="shared" si="5"/>
        <v>34</v>
      </c>
      <c r="C46" s="64">
        <v>930.1</v>
      </c>
      <c r="D46" s="164">
        <f t="shared" si="4"/>
        <v>67883.75</v>
      </c>
      <c r="E46" s="127">
        <v>67883.75</v>
      </c>
      <c r="F46" s="127"/>
      <c r="G46" s="127"/>
      <c r="H46" s="127"/>
      <c r="I46" s="16"/>
    </row>
    <row r="47" spans="1:9" x14ac:dyDescent="0.2">
      <c r="A47" s="2">
        <f t="shared" si="5"/>
        <v>35</v>
      </c>
      <c r="C47" s="64">
        <v>930.2</v>
      </c>
      <c r="D47" s="164">
        <f t="shared" si="4"/>
        <v>9586885.0600000005</v>
      </c>
      <c r="E47" s="127">
        <v>9586885.0600000005</v>
      </c>
      <c r="F47" s="127"/>
      <c r="G47" s="127"/>
      <c r="H47" s="127"/>
      <c r="I47" s="16"/>
    </row>
    <row r="48" spans="1:9" x14ac:dyDescent="0.2">
      <c r="A48" s="2">
        <f t="shared" si="5"/>
        <v>36</v>
      </c>
      <c r="C48" s="64">
        <v>931</v>
      </c>
      <c r="D48" s="164">
        <f t="shared" si="4"/>
        <v>75290.61</v>
      </c>
      <c r="E48" s="127">
        <v>75290.61</v>
      </c>
      <c r="F48" s="127"/>
      <c r="G48" s="127"/>
      <c r="H48" s="127"/>
      <c r="I48" s="16"/>
    </row>
    <row r="49" spans="1:9" x14ac:dyDescent="0.2">
      <c r="A49" s="2">
        <f t="shared" si="5"/>
        <v>37</v>
      </c>
      <c r="C49" s="64">
        <v>935</v>
      </c>
      <c r="D49" s="164">
        <f t="shared" si="4"/>
        <v>2272486.4900000002</v>
      </c>
      <c r="E49" s="127">
        <v>2272486.4900000002</v>
      </c>
      <c r="F49" s="127"/>
      <c r="G49" s="127"/>
      <c r="H49" s="127"/>
      <c r="I49" s="16"/>
    </row>
    <row r="51" spans="1:9" x14ac:dyDescent="0.2">
      <c r="B51" s="1" t="s">
        <v>2209</v>
      </c>
    </row>
    <row r="52" spans="1:9" x14ac:dyDescent="0.2">
      <c r="B52" s="1"/>
      <c r="C52" s="683" t="s">
        <v>2208</v>
      </c>
      <c r="G52" s="860"/>
      <c r="H52" s="860"/>
    </row>
    <row r="53" spans="1:9" x14ac:dyDescent="0.2">
      <c r="B53" s="1"/>
      <c r="C53" s="683" t="s">
        <v>2210</v>
      </c>
      <c r="G53" s="860"/>
      <c r="H53" s="860"/>
    </row>
    <row r="54" spans="1:9" x14ac:dyDescent="0.2">
      <c r="B54" s="1"/>
      <c r="G54" s="3" t="s">
        <v>203</v>
      </c>
      <c r="H54" s="3" t="s">
        <v>207</v>
      </c>
    </row>
    <row r="55" spans="1:9" x14ac:dyDescent="0.2">
      <c r="A55" s="2"/>
      <c r="B55" s="860" t="s">
        <v>2202</v>
      </c>
      <c r="F55" s="681" t="s">
        <v>2211</v>
      </c>
      <c r="G55" s="127">
        <v>162855964</v>
      </c>
      <c r="H55" s="687" t="s">
        <v>419</v>
      </c>
    </row>
    <row r="56" spans="1:9" x14ac:dyDescent="0.2">
      <c r="A56" s="2"/>
      <c r="B56" s="860" t="s">
        <v>2203</v>
      </c>
      <c r="C56" s="12"/>
      <c r="F56" s="681" t="s">
        <v>2212</v>
      </c>
      <c r="G56" s="121">
        <f>E60</f>
        <v>52698178</v>
      </c>
      <c r="H56" s="687" t="str">
        <f>"Note 2, "&amp;B60&amp;""</f>
        <v>Note 2, d</v>
      </c>
    </row>
    <row r="57" spans="1:9" x14ac:dyDescent="0.2">
      <c r="A57" s="2"/>
      <c r="B57" s="860" t="s">
        <v>2204</v>
      </c>
      <c r="F57" s="681" t="s">
        <v>2213</v>
      </c>
      <c r="G57" s="7">
        <f>G55-G56</f>
        <v>110157786</v>
      </c>
    </row>
    <row r="58" spans="1:9" x14ac:dyDescent="0.2">
      <c r="A58" s="2"/>
      <c r="C58" t="s">
        <v>1711</v>
      </c>
      <c r="G58" s="7"/>
    </row>
    <row r="59" spans="1:9" x14ac:dyDescent="0.2">
      <c r="A59" s="2"/>
      <c r="D59" s="53" t="s">
        <v>1712</v>
      </c>
      <c r="E59" s="3" t="s">
        <v>203</v>
      </c>
      <c r="F59" s="65" t="s">
        <v>207</v>
      </c>
      <c r="G59" s="7"/>
    </row>
    <row r="60" spans="1:9" x14ac:dyDescent="0.2">
      <c r="A60" s="2"/>
      <c r="B60" s="860" t="s">
        <v>2205</v>
      </c>
      <c r="D60" t="s">
        <v>1713</v>
      </c>
      <c r="E60" s="127">
        <v>52698178</v>
      </c>
      <c r="F60" s="687" t="s">
        <v>419</v>
      </c>
      <c r="G60" s="7"/>
    </row>
    <row r="61" spans="1:9" x14ac:dyDescent="0.2">
      <c r="A61" s="2"/>
      <c r="B61" s="860" t="s">
        <v>2206</v>
      </c>
      <c r="D61" s="12" t="s">
        <v>1714</v>
      </c>
      <c r="E61" s="127">
        <v>16746373</v>
      </c>
      <c r="F61" s="687" t="s">
        <v>419</v>
      </c>
      <c r="G61" s="7"/>
    </row>
    <row r="62" spans="1:9" x14ac:dyDescent="0.2">
      <c r="A62" s="2"/>
      <c r="B62" s="860" t="s">
        <v>2207</v>
      </c>
      <c r="D62" s="12" t="s">
        <v>1715</v>
      </c>
      <c r="E62" s="127">
        <v>21265234</v>
      </c>
      <c r="F62" s="687" t="s">
        <v>419</v>
      </c>
      <c r="G62" s="7"/>
    </row>
    <row r="63" spans="1:9" x14ac:dyDescent="0.2">
      <c r="A63" s="2"/>
      <c r="B63" s="860" t="s">
        <v>2214</v>
      </c>
      <c r="D63" s="12" t="s">
        <v>1716</v>
      </c>
      <c r="E63" s="138">
        <v>46372217</v>
      </c>
      <c r="F63" s="687" t="s">
        <v>419</v>
      </c>
      <c r="G63" s="7"/>
    </row>
    <row r="64" spans="1:9" x14ac:dyDescent="0.2">
      <c r="A64" s="2"/>
      <c r="D64" s="110" t="s">
        <v>4</v>
      </c>
      <c r="E64" s="7">
        <f>SUM(E60:E63)</f>
        <v>137082002</v>
      </c>
      <c r="F64" s="13" t="str">
        <f>"Sum of "&amp;B60&amp;" to "&amp;B63&amp;""</f>
        <v>Sum of d to g</v>
      </c>
      <c r="G64" s="7"/>
    </row>
    <row r="66" spans="1:8" x14ac:dyDescent="0.2">
      <c r="B66" s="1" t="s">
        <v>587</v>
      </c>
    </row>
    <row r="67" spans="1:8" x14ac:dyDescent="0.2">
      <c r="E67" s="3" t="s">
        <v>203</v>
      </c>
      <c r="F67" s="53" t="s">
        <v>275</v>
      </c>
    </row>
    <row r="68" spans="1:8" x14ac:dyDescent="0.2">
      <c r="A68" s="2"/>
      <c r="B68" s="860" t="s">
        <v>2202</v>
      </c>
      <c r="D68" s="110" t="s">
        <v>583</v>
      </c>
      <c r="E68" s="125">
        <v>52707000</v>
      </c>
      <c r="F68" s="13" t="s">
        <v>589</v>
      </c>
    </row>
    <row r="69" spans="1:8" x14ac:dyDescent="0.2">
      <c r="A69" s="2"/>
      <c r="B69" s="860" t="s">
        <v>2203</v>
      </c>
      <c r="D69" s="110" t="s">
        <v>584</v>
      </c>
      <c r="E69" s="166">
        <v>51276000</v>
      </c>
      <c r="F69" s="13" t="s">
        <v>589</v>
      </c>
    </row>
    <row r="70" spans="1:8" x14ac:dyDescent="0.2">
      <c r="A70" s="2"/>
      <c r="B70" s="860" t="s">
        <v>2204</v>
      </c>
      <c r="D70" s="110" t="s">
        <v>586</v>
      </c>
      <c r="E70" s="165">
        <f>E69-E68</f>
        <v>-1431000</v>
      </c>
      <c r="F70" s="13" t="str">
        <f>""&amp;B69&amp;" - "&amp;B68&amp;""</f>
        <v>b - a</v>
      </c>
    </row>
    <row r="71" spans="1:8" x14ac:dyDescent="0.2">
      <c r="A71" s="675"/>
      <c r="D71" s="110"/>
      <c r="E71" s="165"/>
      <c r="F71" s="13"/>
    </row>
    <row r="72" spans="1:8" x14ac:dyDescent="0.2">
      <c r="A72" s="675"/>
      <c r="B72" s="1" t="s">
        <v>1815</v>
      </c>
      <c r="D72" s="110"/>
      <c r="E72" s="165"/>
      <c r="F72" s="13"/>
    </row>
    <row r="73" spans="1:8" x14ac:dyDescent="0.2">
      <c r="A73" s="675"/>
      <c r="B73" s="1"/>
      <c r="C73" t="str">
        <f>"Amount in Line "&amp;A43&amp;", column 2 equals amount in Line "&amp;A13&amp;", column 1 because all Franchise Requirements Expenses are excluded"</f>
        <v>Amount in Line 31, column 2 equals amount in Line 8, column 1 because all Franchise Requirements Expenses are excluded</v>
      </c>
      <c r="D73" s="110"/>
      <c r="E73" s="165"/>
      <c r="F73" s="13"/>
    </row>
    <row r="74" spans="1:8" x14ac:dyDescent="0.2">
      <c r="A74" s="675"/>
      <c r="B74" s="1"/>
      <c r="C74" s="12" t="s">
        <v>1816</v>
      </c>
      <c r="D74" s="110"/>
      <c r="E74" s="165"/>
      <c r="F74" s="13"/>
    </row>
    <row r="76" spans="1:8" x14ac:dyDescent="0.2">
      <c r="B76" s="1" t="s">
        <v>445</v>
      </c>
    </row>
    <row r="77" spans="1:8" x14ac:dyDescent="0.2">
      <c r="C77" s="12" t="str">
        <f>"1) Enter amounts of A&amp;G expenses from FERC Form 1 in Lines "&amp;A6&amp;" to "&amp;A19&amp;"."</f>
        <v>1) Enter amounts of A&amp;G expenses from FERC Form 1 in Lines 1 to 14.</v>
      </c>
    </row>
    <row r="78" spans="1:8" x14ac:dyDescent="0.2">
      <c r="C78" s="683" t="s">
        <v>2152</v>
      </c>
      <c r="H78" s="1045" t="s">
        <v>2497</v>
      </c>
    </row>
    <row r="79" spans="1:8" x14ac:dyDescent="0.2">
      <c r="C79" s="687" t="s">
        <v>2153</v>
      </c>
      <c r="F79" s="1053" t="s">
        <v>2498</v>
      </c>
      <c r="G79" s="12" t="s">
        <v>1381</v>
      </c>
    </row>
    <row r="80" spans="1:8" x14ac:dyDescent="0.2">
      <c r="C80" s="687" t="s">
        <v>2154</v>
      </c>
    </row>
    <row r="81" spans="3:3" x14ac:dyDescent="0.2">
      <c r="C81" s="687" t="s">
        <v>2155</v>
      </c>
    </row>
    <row r="82" spans="3:3" x14ac:dyDescent="0.2">
      <c r="C82" s="13" t="s">
        <v>588</v>
      </c>
    </row>
    <row r="83" spans="3:3" x14ac:dyDescent="0.2">
      <c r="C83" s="687" t="s">
        <v>1832</v>
      </c>
    </row>
    <row r="84" spans="3:3" x14ac:dyDescent="0.2">
      <c r="C84" s="687" t="s">
        <v>1833</v>
      </c>
    </row>
    <row r="85" spans="3:3" x14ac:dyDescent="0.2">
      <c r="C85" s="687" t="s">
        <v>2156</v>
      </c>
    </row>
    <row r="86" spans="3:3" x14ac:dyDescent="0.2">
      <c r="C86" s="52" t="s">
        <v>1382</v>
      </c>
    </row>
    <row r="87" spans="3:3" x14ac:dyDescent="0.2">
      <c r="C87" s="12" t="s">
        <v>1353</v>
      </c>
    </row>
    <row r="88" spans="3:3" x14ac:dyDescent="0.2">
      <c r="C88" s="12" t="str">
        <f>"4) Determine the PBOPs exclusion.  The authorized amount of PBOPs expense (line "&amp;A68&amp;") may only be revised"</f>
        <v>4) Determine the PBOPs exclusion.  The authorized amount of PBOPs expense (line ) may only be revised</v>
      </c>
    </row>
    <row r="89" spans="3:3" x14ac:dyDescent="0.2">
      <c r="C89" s="12" t="s">
        <v>1331</v>
      </c>
    </row>
    <row r="90" spans="3:3" x14ac:dyDescent="0.2">
      <c r="C90" s="12" t="s">
        <v>1352</v>
      </c>
    </row>
    <row r="91" spans="3:3" x14ac:dyDescent="0.2">
      <c r="C91" s="12" t="s">
        <v>1354</v>
      </c>
    </row>
  </sheetData>
  <phoneticPr fontId="8" type="noConversion"/>
  <pageMargins left="0.75" right="0.75" top="1" bottom="1" header="0.5" footer="0.5"/>
  <pageSetup scale="75" orientation="landscape" r:id="rId1"/>
  <headerFooter alignWithMargins="0">
    <oddHeader>&amp;CSchedule 20
Administrative and General Expenses&amp;RDkt. No. ER11-3697
2014 Draft Informational Filing</oddHeader>
    <oddFooter>&amp;R&amp;A</oddFooter>
  </headerFooter>
  <rowBreaks count="2" manualBreakCount="2">
    <brk id="49" max="9" man="1"/>
    <brk id="91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36"/>
  <sheetViews>
    <sheetView zoomScale="90" zoomScaleNormal="90" zoomScalePageLayoutView="80" workbookViewId="0">
      <selection activeCell="E215" sqref="E215"/>
    </sheetView>
  </sheetViews>
  <sheetFormatPr defaultRowHeight="12.75" x14ac:dyDescent="0.2"/>
  <cols>
    <col min="1" max="1" width="7" style="256" customWidth="1"/>
    <col min="2" max="2" width="8.5703125" style="41" customWidth="1"/>
    <col min="3" max="3" width="9.85546875" style="256" customWidth="1"/>
    <col min="4" max="4" width="51.5703125" style="41" customWidth="1"/>
    <col min="5" max="5" width="16.28515625" style="418" customWidth="1"/>
    <col min="6" max="6" width="16.140625" style="418" customWidth="1"/>
    <col min="7" max="7" width="18.42578125" style="418" bestFit="1" customWidth="1"/>
    <col min="8" max="8" width="15.85546875" style="254" bestFit="1" customWidth="1"/>
    <col min="9" max="9" width="16.85546875" style="254" bestFit="1" customWidth="1"/>
    <col min="10" max="10" width="15.7109375" style="418" customWidth="1"/>
    <col min="11" max="11" width="6.5703125" style="372" customWidth="1"/>
    <col min="12" max="12" width="16.42578125" style="358" customWidth="1"/>
    <col min="13" max="13" width="17.140625" style="247" bestFit="1" customWidth="1"/>
    <col min="14" max="14" width="18.42578125" style="418" bestFit="1" customWidth="1"/>
    <col min="15" max="15" width="8.5703125" style="247" customWidth="1"/>
  </cols>
  <sheetData>
    <row r="1" spans="1:15" x14ac:dyDescent="0.2">
      <c r="A1" s="394"/>
      <c r="B1" s="226" t="s">
        <v>675</v>
      </c>
      <c r="C1" s="227" t="s">
        <v>676</v>
      </c>
      <c r="D1" s="226" t="s">
        <v>677</v>
      </c>
      <c r="E1" s="227" t="s">
        <v>678</v>
      </c>
      <c r="F1" s="226" t="s">
        <v>679</v>
      </c>
      <c r="G1" s="227" t="s">
        <v>680</v>
      </c>
      <c r="H1" s="226" t="s">
        <v>681</v>
      </c>
      <c r="I1" s="227" t="s">
        <v>682</v>
      </c>
      <c r="J1" s="226" t="s">
        <v>683</v>
      </c>
      <c r="K1" s="227" t="s">
        <v>684</v>
      </c>
      <c r="L1" s="226" t="s">
        <v>685</v>
      </c>
      <c r="M1" s="227" t="s">
        <v>686</v>
      </c>
      <c r="N1" s="226" t="s">
        <v>687</v>
      </c>
      <c r="O1" s="227" t="s">
        <v>688</v>
      </c>
    </row>
    <row r="2" spans="1:15" x14ac:dyDescent="0.2">
      <c r="A2" s="391"/>
      <c r="B2" s="392"/>
      <c r="C2" s="392"/>
      <c r="D2" s="392"/>
      <c r="E2" s="393"/>
      <c r="F2" s="393"/>
      <c r="G2" s="1095" t="s">
        <v>689</v>
      </c>
      <c r="H2" s="1096"/>
      <c r="I2" s="1097"/>
      <c r="J2" s="1095" t="s">
        <v>690</v>
      </c>
      <c r="K2" s="1096"/>
      <c r="L2" s="1096"/>
      <c r="M2" s="1097"/>
      <c r="N2" s="375" t="s">
        <v>691</v>
      </c>
      <c r="O2" s="391"/>
    </row>
    <row r="3" spans="1:15" ht="25.5" x14ac:dyDescent="0.2">
      <c r="A3" s="228" t="s">
        <v>380</v>
      </c>
      <c r="B3" s="229" t="s">
        <v>692</v>
      </c>
      <c r="C3" s="230" t="s">
        <v>693</v>
      </c>
      <c r="D3" s="229" t="s">
        <v>694</v>
      </c>
      <c r="E3" s="348" t="s">
        <v>695</v>
      </c>
      <c r="F3" s="349" t="s">
        <v>696</v>
      </c>
      <c r="G3" s="349" t="s">
        <v>225</v>
      </c>
      <c r="H3" s="231" t="s">
        <v>517</v>
      </c>
      <c r="I3" s="231" t="s">
        <v>697</v>
      </c>
      <c r="J3" s="348" t="s">
        <v>225</v>
      </c>
      <c r="K3" s="371" t="s">
        <v>698</v>
      </c>
      <c r="L3" s="351" t="s">
        <v>699</v>
      </c>
      <c r="M3" s="232" t="s">
        <v>346</v>
      </c>
      <c r="N3" s="348" t="s">
        <v>225</v>
      </c>
      <c r="O3" s="232" t="s">
        <v>196</v>
      </c>
    </row>
    <row r="4" spans="1:15" x14ac:dyDescent="0.2">
      <c r="A4" s="233" t="s">
        <v>700</v>
      </c>
      <c r="B4" s="234">
        <v>450</v>
      </c>
      <c r="C4" s="234" t="s">
        <v>701</v>
      </c>
      <c r="D4" s="235" t="s">
        <v>1466</v>
      </c>
      <c r="E4" s="360">
        <v>6261804.6500000004</v>
      </c>
      <c r="F4" s="356" t="str">
        <f>$G$2</f>
        <v>Traditional OOR</v>
      </c>
      <c r="G4" s="356">
        <f>IF(F4=$G$2,E4,0)</f>
        <v>6261804.6500000004</v>
      </c>
      <c r="H4" s="236">
        <v>0</v>
      </c>
      <c r="I4" s="237">
        <f>G4-H4</f>
        <v>6261804.6500000004</v>
      </c>
      <c r="J4" s="356">
        <f>IF(F4=$J$2,E4,0)</f>
        <v>0</v>
      </c>
      <c r="K4" s="350"/>
      <c r="L4" s="360"/>
      <c r="M4" s="238">
        <f>J4-L4</f>
        <v>0</v>
      </c>
      <c r="N4" s="356">
        <f>IF(F4=$N$2,E4,0)</f>
        <v>0</v>
      </c>
      <c r="O4" s="236">
        <v>1</v>
      </c>
    </row>
    <row r="5" spans="1:15" x14ac:dyDescent="0.2">
      <c r="A5" s="239" t="s">
        <v>702</v>
      </c>
      <c r="B5" s="234">
        <v>450</v>
      </c>
      <c r="C5" s="235" t="s">
        <v>703</v>
      </c>
      <c r="D5" s="235" t="s">
        <v>704</v>
      </c>
      <c r="E5" s="360">
        <v>10849095.289999999</v>
      </c>
      <c r="F5" s="356" t="str">
        <f>$G$2</f>
        <v>Traditional OOR</v>
      </c>
      <c r="G5" s="356">
        <f>IF(F5=$G$2,E5,0)</f>
        <v>10849095.289999999</v>
      </c>
      <c r="H5" s="236">
        <v>0</v>
      </c>
      <c r="I5" s="237">
        <f>G5-H5</f>
        <v>10849095.289999999</v>
      </c>
      <c r="J5" s="356">
        <f>IF(F5=$J$2,E5,0)</f>
        <v>0</v>
      </c>
      <c r="K5" s="350"/>
      <c r="L5" s="360"/>
      <c r="M5" s="238">
        <f>J5-L5</f>
        <v>0</v>
      </c>
      <c r="N5" s="356">
        <f>IF(F5=$N$2,E5,0)</f>
        <v>0</v>
      </c>
      <c r="O5" s="241">
        <v>1</v>
      </c>
    </row>
    <row r="6" spans="1:15" x14ac:dyDescent="0.2">
      <c r="A6" s="239" t="s">
        <v>705</v>
      </c>
      <c r="B6" s="234">
        <v>450</v>
      </c>
      <c r="C6" s="235" t="s">
        <v>706</v>
      </c>
      <c r="D6" s="235" t="s">
        <v>707</v>
      </c>
      <c r="E6" s="652">
        <v>0</v>
      </c>
      <c r="F6" s="356" t="str">
        <f>$G$2</f>
        <v>Traditional OOR</v>
      </c>
      <c r="G6" s="356">
        <f>IF(F6=$G$2,E6,0)</f>
        <v>0</v>
      </c>
      <c r="H6" s="236">
        <v>0</v>
      </c>
      <c r="I6" s="237">
        <f>G6-H6</f>
        <v>0</v>
      </c>
      <c r="J6" s="356">
        <f>IF(F6=$J$2,E6,0)</f>
        <v>0</v>
      </c>
      <c r="K6" s="350"/>
      <c r="L6" s="360"/>
      <c r="M6" s="238">
        <f>J6-L6</f>
        <v>0</v>
      </c>
      <c r="N6" s="356">
        <f>IF(F6=$N$2,E6,0)</f>
        <v>0</v>
      </c>
      <c r="O6" s="241">
        <v>1</v>
      </c>
    </row>
    <row r="7" spans="1:15" x14ac:dyDescent="0.2">
      <c r="A7" s="1013"/>
      <c r="B7" s="386"/>
      <c r="C7" s="385"/>
      <c r="D7" s="387"/>
      <c r="E7" s="365"/>
      <c r="F7" s="365"/>
      <c r="G7" s="360"/>
      <c r="H7" s="361"/>
      <c r="I7" s="362"/>
      <c r="J7" s="360"/>
      <c r="K7" s="364"/>
      <c r="L7" s="360"/>
      <c r="M7" s="362"/>
      <c r="N7" s="360"/>
      <c r="O7" s="361"/>
    </row>
    <row r="8" spans="1:15" x14ac:dyDescent="0.2">
      <c r="A8" s="390"/>
      <c r="B8" s="386"/>
      <c r="C8" s="385"/>
      <c r="D8" s="387"/>
      <c r="E8" s="365"/>
      <c r="F8" s="365"/>
      <c r="G8" s="360"/>
      <c r="H8" s="361"/>
      <c r="I8" s="362"/>
      <c r="J8" s="360"/>
      <c r="K8" s="364"/>
      <c r="L8" s="360"/>
      <c r="M8" s="362"/>
      <c r="N8" s="360"/>
      <c r="O8" s="361"/>
    </row>
    <row r="9" spans="1:15" x14ac:dyDescent="0.2">
      <c r="A9" s="239">
        <v>2</v>
      </c>
      <c r="B9" s="1092" t="s">
        <v>708</v>
      </c>
      <c r="C9" s="1083"/>
      <c r="D9" s="1084"/>
      <c r="E9" s="353">
        <f>SUM(E4:E8)</f>
        <v>17110899.939999998</v>
      </c>
      <c r="F9" s="378"/>
      <c r="G9" s="353">
        <f>SUM(G4:G8)</f>
        <v>17110899.939999998</v>
      </c>
      <c r="H9" s="227">
        <f>SUM(H4:H8)</f>
        <v>0</v>
      </c>
      <c r="I9" s="369">
        <f>SUM(I4:I8)</f>
        <v>17110899.939999998</v>
      </c>
      <c r="J9" s="353">
        <f>SUM(J4:J8)</f>
        <v>0</v>
      </c>
      <c r="K9" s="378"/>
      <c r="L9" s="353">
        <f>SUM(L4:L8)</f>
        <v>0</v>
      </c>
      <c r="M9" s="353">
        <f>SUM(M4:M8)</f>
        <v>0</v>
      </c>
      <c r="N9" s="353">
        <f>SUM(N4:N8)</f>
        <v>0</v>
      </c>
      <c r="O9" s="241"/>
    </row>
    <row r="10" spans="1:15" ht="12.75" customHeight="1" x14ac:dyDescent="0.2">
      <c r="A10" s="239">
        <v>3</v>
      </c>
      <c r="B10" s="1087" t="s">
        <v>1514</v>
      </c>
      <c r="C10" s="1088"/>
      <c r="D10" s="1089"/>
      <c r="E10" s="366">
        <v>17110900</v>
      </c>
      <c r="F10" s="368"/>
      <c r="G10" s="354"/>
      <c r="H10" s="368"/>
      <c r="I10" s="368"/>
      <c r="J10" s="354"/>
      <c r="K10" s="368"/>
      <c r="L10" s="354"/>
      <c r="M10" s="354"/>
      <c r="N10" s="354"/>
      <c r="O10" s="225"/>
    </row>
    <row r="11" spans="1:15" x14ac:dyDescent="0.2">
      <c r="A11" s="242"/>
      <c r="B11" s="243"/>
      <c r="C11" s="244"/>
      <c r="D11" s="245"/>
      <c r="E11" s="354"/>
      <c r="F11" s="354"/>
      <c r="G11" s="354"/>
      <c r="H11" s="368"/>
      <c r="I11" s="368"/>
      <c r="J11" s="354"/>
      <c r="K11" s="368"/>
      <c r="L11" s="354"/>
      <c r="M11" s="354"/>
      <c r="N11" s="354"/>
      <c r="O11" s="225"/>
    </row>
    <row r="12" spans="1:15" x14ac:dyDescent="0.2">
      <c r="A12" s="239" t="s">
        <v>709</v>
      </c>
      <c r="B12" s="234">
        <v>451</v>
      </c>
      <c r="C12" s="235" t="s">
        <v>710</v>
      </c>
      <c r="D12" s="235" t="s">
        <v>711</v>
      </c>
      <c r="E12" s="360">
        <v>204897.05</v>
      </c>
      <c r="F12" s="356" t="str">
        <f t="shared" ref="F12:F18" si="0">$G$2</f>
        <v>Traditional OOR</v>
      </c>
      <c r="G12" s="356">
        <f>IF(F12=$G$2,E12,0)</f>
        <v>204897.05</v>
      </c>
      <c r="H12" s="236">
        <v>0</v>
      </c>
      <c r="I12" s="237">
        <f t="shared" ref="I12:I25" si="1">G12-H12</f>
        <v>204897.05</v>
      </c>
      <c r="J12" s="356">
        <f>IF(F12=$J$2,E12,0)</f>
        <v>0</v>
      </c>
      <c r="K12" s="356"/>
      <c r="L12" s="362"/>
      <c r="M12" s="238">
        <f t="shared" ref="M12:M18" si="2">J12-L12</f>
        <v>0</v>
      </c>
      <c r="N12" s="356">
        <f>IF(F12=$N$2,E12,0)</f>
        <v>0</v>
      </c>
      <c r="O12" s="241">
        <v>1</v>
      </c>
    </row>
    <row r="13" spans="1:15" x14ac:dyDescent="0.2">
      <c r="A13" s="239" t="s">
        <v>712</v>
      </c>
      <c r="B13" s="234">
        <v>451</v>
      </c>
      <c r="C13" s="235" t="s">
        <v>713</v>
      </c>
      <c r="D13" s="235" t="s">
        <v>714</v>
      </c>
      <c r="E13" s="360">
        <v>1722959.5</v>
      </c>
      <c r="F13" s="356" t="str">
        <f t="shared" si="0"/>
        <v>Traditional OOR</v>
      </c>
      <c r="G13" s="356">
        <f t="shared" ref="G13:G25" si="3">IF(F13=$G$2,E13,0)</f>
        <v>1722959.5</v>
      </c>
      <c r="H13" s="236">
        <v>0</v>
      </c>
      <c r="I13" s="237">
        <f t="shared" si="1"/>
        <v>1722959.5</v>
      </c>
      <c r="J13" s="356">
        <f t="shared" ref="J13:J25" si="4">IF(F13=$J$2,E13,0)</f>
        <v>0</v>
      </c>
      <c r="K13" s="356"/>
      <c r="L13" s="362"/>
      <c r="M13" s="238">
        <f t="shared" si="2"/>
        <v>0</v>
      </c>
      <c r="N13" s="356">
        <f t="shared" ref="N13:N25" si="5">IF(F13=$N$2,E13,0)</f>
        <v>0</v>
      </c>
      <c r="O13" s="241">
        <v>1</v>
      </c>
    </row>
    <row r="14" spans="1:15" x14ac:dyDescent="0.2">
      <c r="A14" s="239" t="s">
        <v>715</v>
      </c>
      <c r="B14" s="234">
        <v>451</v>
      </c>
      <c r="C14" s="235" t="s">
        <v>716</v>
      </c>
      <c r="D14" s="235" t="s">
        <v>717</v>
      </c>
      <c r="E14" s="360">
        <v>4348</v>
      </c>
      <c r="F14" s="356" t="str">
        <f t="shared" si="0"/>
        <v>Traditional OOR</v>
      </c>
      <c r="G14" s="356">
        <f t="shared" si="3"/>
        <v>4348</v>
      </c>
      <c r="H14" s="236">
        <v>0</v>
      </c>
      <c r="I14" s="237">
        <f t="shared" si="1"/>
        <v>4348</v>
      </c>
      <c r="J14" s="356">
        <f t="shared" si="4"/>
        <v>0</v>
      </c>
      <c r="K14" s="356"/>
      <c r="L14" s="362"/>
      <c r="M14" s="238">
        <f t="shared" si="2"/>
        <v>0</v>
      </c>
      <c r="N14" s="356">
        <f t="shared" si="5"/>
        <v>0</v>
      </c>
      <c r="O14" s="241">
        <v>1</v>
      </c>
    </row>
    <row r="15" spans="1:15" x14ac:dyDescent="0.2">
      <c r="A15" s="239" t="s">
        <v>718</v>
      </c>
      <c r="B15" s="234">
        <v>451</v>
      </c>
      <c r="C15" s="235" t="s">
        <v>719</v>
      </c>
      <c r="D15" s="235" t="s">
        <v>720</v>
      </c>
      <c r="E15" s="360">
        <v>1623285.88</v>
      </c>
      <c r="F15" s="356" t="str">
        <f t="shared" si="0"/>
        <v>Traditional OOR</v>
      </c>
      <c r="G15" s="356">
        <f t="shared" si="3"/>
        <v>1623285.88</v>
      </c>
      <c r="H15" s="236">
        <v>0</v>
      </c>
      <c r="I15" s="237">
        <f t="shared" si="1"/>
        <v>1623285.88</v>
      </c>
      <c r="J15" s="356">
        <f t="shared" si="4"/>
        <v>0</v>
      </c>
      <c r="K15" s="356"/>
      <c r="L15" s="362"/>
      <c r="M15" s="238">
        <f t="shared" si="2"/>
        <v>0</v>
      </c>
      <c r="N15" s="356">
        <f t="shared" si="5"/>
        <v>0</v>
      </c>
      <c r="O15" s="241">
        <v>1</v>
      </c>
    </row>
    <row r="16" spans="1:15" x14ac:dyDescent="0.2">
      <c r="A16" s="239" t="s">
        <v>721</v>
      </c>
      <c r="B16" s="234">
        <v>451</v>
      </c>
      <c r="C16" s="235" t="s">
        <v>722</v>
      </c>
      <c r="D16" s="235" t="s">
        <v>723</v>
      </c>
      <c r="E16" s="360">
        <v>4861925.7300000004</v>
      </c>
      <c r="F16" s="356" t="str">
        <f t="shared" si="0"/>
        <v>Traditional OOR</v>
      </c>
      <c r="G16" s="356">
        <f t="shared" si="3"/>
        <v>4861925.7300000004</v>
      </c>
      <c r="H16" s="236">
        <v>0</v>
      </c>
      <c r="I16" s="237">
        <f t="shared" si="1"/>
        <v>4861925.7300000004</v>
      </c>
      <c r="J16" s="356">
        <f t="shared" si="4"/>
        <v>0</v>
      </c>
      <c r="K16" s="356"/>
      <c r="L16" s="362"/>
      <c r="M16" s="238">
        <f t="shared" si="2"/>
        <v>0</v>
      </c>
      <c r="N16" s="356">
        <f t="shared" si="5"/>
        <v>0</v>
      </c>
      <c r="O16" s="241">
        <v>1</v>
      </c>
    </row>
    <row r="17" spans="1:15" x14ac:dyDescent="0.2">
      <c r="A17" s="239" t="s">
        <v>724</v>
      </c>
      <c r="B17" s="234">
        <v>451</v>
      </c>
      <c r="C17" s="235" t="s">
        <v>725</v>
      </c>
      <c r="D17" s="235" t="s">
        <v>726</v>
      </c>
      <c r="E17" s="360">
        <v>15793728.07</v>
      </c>
      <c r="F17" s="356" t="str">
        <f t="shared" si="0"/>
        <v>Traditional OOR</v>
      </c>
      <c r="G17" s="356">
        <f t="shared" si="3"/>
        <v>15793728.07</v>
      </c>
      <c r="H17" s="236">
        <v>0</v>
      </c>
      <c r="I17" s="237">
        <f t="shared" si="1"/>
        <v>15793728.07</v>
      </c>
      <c r="J17" s="356">
        <f t="shared" si="4"/>
        <v>0</v>
      </c>
      <c r="K17" s="356"/>
      <c r="L17" s="362"/>
      <c r="M17" s="238">
        <f t="shared" si="2"/>
        <v>0</v>
      </c>
      <c r="N17" s="356">
        <f t="shared" si="5"/>
        <v>0</v>
      </c>
      <c r="O17" s="241">
        <v>1</v>
      </c>
    </row>
    <row r="18" spans="1:15" x14ac:dyDescent="0.2">
      <c r="A18" s="239" t="s">
        <v>727</v>
      </c>
      <c r="B18" s="234">
        <v>451</v>
      </c>
      <c r="C18" s="235" t="s">
        <v>728</v>
      </c>
      <c r="D18" s="235" t="s">
        <v>729</v>
      </c>
      <c r="E18" s="360">
        <v>3154090.73</v>
      </c>
      <c r="F18" s="356" t="str">
        <f t="shared" si="0"/>
        <v>Traditional OOR</v>
      </c>
      <c r="G18" s="356">
        <f t="shared" si="3"/>
        <v>3154090.73</v>
      </c>
      <c r="H18" s="236">
        <v>0</v>
      </c>
      <c r="I18" s="237">
        <f t="shared" si="1"/>
        <v>3154090.73</v>
      </c>
      <c r="J18" s="356">
        <f t="shared" si="4"/>
        <v>0</v>
      </c>
      <c r="K18" s="356"/>
      <c r="L18" s="362"/>
      <c r="M18" s="238">
        <f t="shared" si="2"/>
        <v>0</v>
      </c>
      <c r="N18" s="356">
        <f t="shared" si="5"/>
        <v>0</v>
      </c>
      <c r="O18" s="241">
        <v>1</v>
      </c>
    </row>
    <row r="19" spans="1:15" x14ac:dyDescent="0.2">
      <c r="A19" s="239" t="s">
        <v>730</v>
      </c>
      <c r="B19" s="234">
        <v>451</v>
      </c>
      <c r="C19" s="235" t="s">
        <v>731</v>
      </c>
      <c r="D19" s="235" t="s">
        <v>732</v>
      </c>
      <c r="E19" s="360">
        <v>290324.7</v>
      </c>
      <c r="F19" s="356" t="str">
        <f>$J$2</f>
        <v>GRSM</v>
      </c>
      <c r="G19" s="356">
        <f t="shared" si="3"/>
        <v>0</v>
      </c>
      <c r="H19" s="236">
        <v>0</v>
      </c>
      <c r="I19" s="237">
        <f t="shared" si="1"/>
        <v>0</v>
      </c>
      <c r="J19" s="356">
        <f t="shared" si="4"/>
        <v>290324.7</v>
      </c>
      <c r="K19" s="395" t="s">
        <v>733</v>
      </c>
      <c r="L19" s="362">
        <v>288260.59999999998</v>
      </c>
      <c r="M19" s="238">
        <f>J19-L19</f>
        <v>2064.1000000000349</v>
      </c>
      <c r="N19" s="356">
        <f t="shared" si="5"/>
        <v>0</v>
      </c>
      <c r="O19" s="241">
        <v>2</v>
      </c>
    </row>
    <row r="20" spans="1:15" x14ac:dyDescent="0.2">
      <c r="A20" s="239" t="s">
        <v>734</v>
      </c>
      <c r="B20" s="234">
        <v>451</v>
      </c>
      <c r="C20" s="235" t="s">
        <v>735</v>
      </c>
      <c r="D20" s="235" t="s">
        <v>736</v>
      </c>
      <c r="E20" s="360">
        <v>237104.65</v>
      </c>
      <c r="F20" s="356" t="str">
        <f>$N$2</f>
        <v>Other Ratemaking</v>
      </c>
      <c r="G20" s="356">
        <f t="shared" si="3"/>
        <v>0</v>
      </c>
      <c r="H20" s="236">
        <v>0</v>
      </c>
      <c r="I20" s="237">
        <f t="shared" si="1"/>
        <v>0</v>
      </c>
      <c r="J20" s="356">
        <f t="shared" si="4"/>
        <v>0</v>
      </c>
      <c r="K20" s="356"/>
      <c r="L20" s="362"/>
      <c r="M20" s="238">
        <f>J20-L20</f>
        <v>0</v>
      </c>
      <c r="N20" s="356">
        <f t="shared" si="5"/>
        <v>237104.65</v>
      </c>
      <c r="O20" s="241">
        <v>6</v>
      </c>
    </row>
    <row r="21" spans="1:15" x14ac:dyDescent="0.2">
      <c r="A21" s="1013" t="s">
        <v>2358</v>
      </c>
      <c r="B21" s="386">
        <v>451</v>
      </c>
      <c r="C21" s="386">
        <v>4182120</v>
      </c>
      <c r="D21" s="1014" t="s">
        <v>2359</v>
      </c>
      <c r="E21" s="360">
        <v>-9859.73</v>
      </c>
      <c r="F21" s="715" t="s">
        <v>689</v>
      </c>
      <c r="G21" s="360">
        <f t="shared" si="3"/>
        <v>-9859.73</v>
      </c>
      <c r="H21" s="361">
        <v>0</v>
      </c>
      <c r="I21" s="362">
        <f>G21-H21</f>
        <v>-9859.73</v>
      </c>
      <c r="J21" s="360">
        <f t="shared" si="4"/>
        <v>0</v>
      </c>
      <c r="K21" s="360"/>
      <c r="L21" s="362"/>
      <c r="M21" s="362">
        <f t="shared" ref="M21:M25" si="6">J21-L21</f>
        <v>0</v>
      </c>
      <c r="N21" s="360">
        <f t="shared" si="5"/>
        <v>0</v>
      </c>
      <c r="O21" s="361">
        <v>1</v>
      </c>
    </row>
    <row r="22" spans="1:15" x14ac:dyDescent="0.2">
      <c r="A22" s="1013" t="s">
        <v>2360</v>
      </c>
      <c r="B22" s="386">
        <v>451</v>
      </c>
      <c r="C22" s="386">
        <v>4192152</v>
      </c>
      <c r="D22" s="1014" t="s">
        <v>2361</v>
      </c>
      <c r="E22" s="360">
        <v>50400</v>
      </c>
      <c r="F22" s="715" t="s">
        <v>691</v>
      </c>
      <c r="G22" s="360">
        <f t="shared" si="3"/>
        <v>0</v>
      </c>
      <c r="H22" s="361">
        <v>0</v>
      </c>
      <c r="I22" s="362">
        <f t="shared" si="1"/>
        <v>0</v>
      </c>
      <c r="J22" s="360">
        <f t="shared" si="4"/>
        <v>0</v>
      </c>
      <c r="K22" s="360"/>
      <c r="L22" s="362"/>
      <c r="M22" s="362">
        <f t="shared" si="6"/>
        <v>0</v>
      </c>
      <c r="N22" s="360">
        <f t="shared" si="5"/>
        <v>50400</v>
      </c>
      <c r="O22" s="361">
        <v>1</v>
      </c>
    </row>
    <row r="23" spans="1:15" x14ac:dyDescent="0.2">
      <c r="A23" s="1013" t="s">
        <v>2362</v>
      </c>
      <c r="B23" s="386">
        <v>451</v>
      </c>
      <c r="C23" s="386">
        <v>4192155</v>
      </c>
      <c r="D23" s="1014" t="s">
        <v>2365</v>
      </c>
      <c r="E23" s="360">
        <v>100645</v>
      </c>
      <c r="F23" s="715" t="s">
        <v>691</v>
      </c>
      <c r="G23" s="360">
        <f t="shared" si="3"/>
        <v>0</v>
      </c>
      <c r="H23" s="361">
        <v>0</v>
      </c>
      <c r="I23" s="362">
        <f t="shared" si="1"/>
        <v>0</v>
      </c>
      <c r="J23" s="360">
        <f t="shared" si="4"/>
        <v>0</v>
      </c>
      <c r="K23" s="360"/>
      <c r="L23" s="362"/>
      <c r="M23" s="362">
        <f t="shared" si="6"/>
        <v>0</v>
      </c>
      <c r="N23" s="360">
        <f t="shared" si="5"/>
        <v>100645</v>
      </c>
      <c r="O23" s="361">
        <v>1</v>
      </c>
    </row>
    <row r="24" spans="1:15" x14ac:dyDescent="0.2">
      <c r="A24" s="1013" t="s">
        <v>2363</v>
      </c>
      <c r="B24" s="386">
        <v>451</v>
      </c>
      <c r="C24" s="386">
        <v>4192158</v>
      </c>
      <c r="D24" s="1014" t="s">
        <v>2366</v>
      </c>
      <c r="E24" s="360">
        <v>1114265</v>
      </c>
      <c r="F24" s="715" t="s">
        <v>691</v>
      </c>
      <c r="G24" s="360">
        <f t="shared" si="3"/>
        <v>0</v>
      </c>
      <c r="H24" s="361">
        <v>0</v>
      </c>
      <c r="I24" s="362">
        <f t="shared" si="1"/>
        <v>0</v>
      </c>
      <c r="J24" s="360">
        <f t="shared" si="4"/>
        <v>0</v>
      </c>
      <c r="K24" s="360"/>
      <c r="L24" s="362"/>
      <c r="M24" s="362">
        <f t="shared" si="6"/>
        <v>0</v>
      </c>
      <c r="N24" s="360">
        <f t="shared" si="5"/>
        <v>1114265</v>
      </c>
      <c r="O24" s="361">
        <v>1</v>
      </c>
    </row>
    <row r="25" spans="1:15" x14ac:dyDescent="0.2">
      <c r="A25" s="1013" t="s">
        <v>2364</v>
      </c>
      <c r="B25" s="386">
        <v>451</v>
      </c>
      <c r="C25" s="386">
        <v>4192160</v>
      </c>
      <c r="D25" s="1014" t="s">
        <v>2367</v>
      </c>
      <c r="E25" s="360">
        <v>661990</v>
      </c>
      <c r="F25" s="715" t="s">
        <v>691</v>
      </c>
      <c r="G25" s="360">
        <f t="shared" si="3"/>
        <v>0</v>
      </c>
      <c r="H25" s="361">
        <v>0</v>
      </c>
      <c r="I25" s="362">
        <f t="shared" si="1"/>
        <v>0</v>
      </c>
      <c r="J25" s="360">
        <f t="shared" si="4"/>
        <v>0</v>
      </c>
      <c r="K25" s="360"/>
      <c r="L25" s="362"/>
      <c r="M25" s="362">
        <f t="shared" si="6"/>
        <v>0</v>
      </c>
      <c r="N25" s="360">
        <f t="shared" si="5"/>
        <v>661990</v>
      </c>
      <c r="O25" s="361">
        <v>1</v>
      </c>
    </row>
    <row r="26" spans="1:15" x14ac:dyDescent="0.2">
      <c r="A26" s="1013"/>
      <c r="B26" s="386"/>
      <c r="C26" s="386"/>
      <c r="D26" s="1015"/>
      <c r="E26" s="360"/>
      <c r="F26" s="360"/>
      <c r="G26" s="364"/>
      <c r="H26" s="361"/>
      <c r="I26" s="362"/>
      <c r="J26" s="360"/>
      <c r="K26" s="360"/>
      <c r="L26" s="362"/>
      <c r="M26" s="362"/>
      <c r="N26" s="360"/>
      <c r="O26" s="361"/>
    </row>
    <row r="27" spans="1:15" x14ac:dyDescent="0.2">
      <c r="A27" s="239">
        <v>5</v>
      </c>
      <c r="B27" s="1092" t="s">
        <v>737</v>
      </c>
      <c r="C27" s="1083"/>
      <c r="D27" s="1084"/>
      <c r="E27" s="353">
        <f>SUM(E12:E25)</f>
        <v>29810104.579999998</v>
      </c>
      <c r="F27" s="378"/>
      <c r="G27" s="353">
        <f>SUM(G12:G22)</f>
        <v>27355375.23</v>
      </c>
      <c r="H27" s="227">
        <f>SUM(H12:H22)</f>
        <v>0</v>
      </c>
      <c r="I27" s="369">
        <f>SUM(I12:I22)</f>
        <v>27355375.23</v>
      </c>
      <c r="J27" s="353">
        <f>SUM(J12:J22)</f>
        <v>290324.7</v>
      </c>
      <c r="K27" s="378"/>
      <c r="L27" s="353">
        <f>SUM(L12:L22)</f>
        <v>288260.59999999998</v>
      </c>
      <c r="M27" s="353">
        <f>SUM(M12:M22)</f>
        <v>2064.1000000000349</v>
      </c>
      <c r="N27" s="353">
        <f>SUM(N12:N22)</f>
        <v>287504.65000000002</v>
      </c>
      <c r="O27" s="241"/>
    </row>
    <row r="28" spans="1:15" ht="25.5" customHeight="1" x14ac:dyDescent="0.2">
      <c r="A28" s="239">
        <v>6</v>
      </c>
      <c r="B28" s="1087" t="s">
        <v>1515</v>
      </c>
      <c r="C28" s="1088"/>
      <c r="D28" s="1089"/>
      <c r="E28" s="366">
        <v>29810105</v>
      </c>
      <c r="F28" s="368"/>
      <c r="G28" s="354"/>
      <c r="H28" s="246"/>
      <c r="I28" s="246"/>
      <c r="J28" s="354"/>
      <c r="K28" s="368"/>
      <c r="L28" s="354"/>
      <c r="M28" s="354"/>
      <c r="N28" s="354"/>
    </row>
    <row r="29" spans="1:15" x14ac:dyDescent="0.2">
      <c r="A29" s="248"/>
      <c r="B29" s="243"/>
      <c r="C29" s="244"/>
      <c r="D29" s="245"/>
      <c r="E29" s="354"/>
      <c r="F29" s="354"/>
      <c r="G29" s="354"/>
      <c r="H29" s="246"/>
      <c r="I29" s="246"/>
      <c r="J29" s="354"/>
      <c r="K29" s="368"/>
      <c r="L29" s="354"/>
      <c r="M29" s="354"/>
      <c r="N29" s="354"/>
    </row>
    <row r="30" spans="1:15" x14ac:dyDescent="0.2">
      <c r="A30" s="239" t="s">
        <v>738</v>
      </c>
      <c r="B30" s="234">
        <v>453</v>
      </c>
      <c r="C30" s="240" t="s">
        <v>741</v>
      </c>
      <c r="D30" s="235" t="s">
        <v>742</v>
      </c>
      <c r="E30" s="360">
        <v>0</v>
      </c>
      <c r="F30" s="356" t="str">
        <f>$G$2</f>
        <v>Traditional OOR</v>
      </c>
      <c r="G30" s="356">
        <f>IF(F30=$G$2,E30,0)</f>
        <v>0</v>
      </c>
      <c r="H30" s="236">
        <v>0</v>
      </c>
      <c r="I30" s="237">
        <f>G30-H30</f>
        <v>0</v>
      </c>
      <c r="J30" s="356">
        <f>IF(F30=$J$2,E30,0)</f>
        <v>0</v>
      </c>
      <c r="K30" s="356"/>
      <c r="L30" s="362"/>
      <c r="M30" s="238">
        <f>J30-L30</f>
        <v>0</v>
      </c>
      <c r="N30" s="356">
        <f>IF(F30=$N$2,E30,0)</f>
        <v>0</v>
      </c>
      <c r="O30" s="241">
        <v>3</v>
      </c>
    </row>
    <row r="31" spans="1:15" x14ac:dyDescent="0.2">
      <c r="A31" s="239" t="s">
        <v>739</v>
      </c>
      <c r="B31" s="234">
        <v>453</v>
      </c>
      <c r="C31" s="240" t="s">
        <v>743</v>
      </c>
      <c r="D31" s="235" t="s">
        <v>744</v>
      </c>
      <c r="E31" s="360">
        <v>0</v>
      </c>
      <c r="F31" s="356" t="str">
        <f>$G$2</f>
        <v>Traditional OOR</v>
      </c>
      <c r="G31" s="356">
        <f>IF(F31=$G$2,E31,0)</f>
        <v>0</v>
      </c>
      <c r="H31" s="236">
        <v>0</v>
      </c>
      <c r="I31" s="237">
        <f>G31-H31</f>
        <v>0</v>
      </c>
      <c r="J31" s="356">
        <f>IF(F31=$J$2,E31,0)</f>
        <v>0</v>
      </c>
      <c r="K31" s="356"/>
      <c r="L31" s="362"/>
      <c r="M31" s="238">
        <f>J31-L31</f>
        <v>0</v>
      </c>
      <c r="N31" s="356">
        <f>IF(F31=$N$2,E31,0)</f>
        <v>0</v>
      </c>
      <c r="O31" s="241">
        <v>3</v>
      </c>
    </row>
    <row r="32" spans="1:15" x14ac:dyDescent="0.2">
      <c r="A32" s="239" t="s">
        <v>740</v>
      </c>
      <c r="B32" s="234">
        <v>453</v>
      </c>
      <c r="C32" s="239" t="s">
        <v>1726</v>
      </c>
      <c r="D32" s="235" t="s">
        <v>1725</v>
      </c>
      <c r="E32" s="360">
        <v>17694.89</v>
      </c>
      <c r="F32" s="356" t="str">
        <f>$G$2</f>
        <v>Traditional OOR</v>
      </c>
      <c r="G32" s="356">
        <f>IF(F32=$G$2,E32,0)</f>
        <v>17694.89</v>
      </c>
      <c r="H32" s="236">
        <v>0</v>
      </c>
      <c r="I32" s="237">
        <f>G32-H32</f>
        <v>17694.89</v>
      </c>
      <c r="J32" s="356">
        <f>IF(F32=$J$2,E32,0)</f>
        <v>0</v>
      </c>
      <c r="K32" s="356"/>
      <c r="L32" s="362"/>
      <c r="M32" s="238">
        <f>J32-L32</f>
        <v>0</v>
      </c>
      <c r="N32" s="356">
        <f>IF(F32=$N$2,E32,0)</f>
        <v>0</v>
      </c>
      <c r="O32" s="241">
        <v>3</v>
      </c>
    </row>
    <row r="33" spans="1:15" x14ac:dyDescent="0.2">
      <c r="A33" s="1013"/>
      <c r="B33" s="386"/>
      <c r="C33" s="386"/>
      <c r="D33" s="1014"/>
      <c r="E33" s="360"/>
      <c r="F33" s="715"/>
      <c r="G33" s="364"/>
      <c r="H33" s="361"/>
      <c r="I33" s="362"/>
      <c r="J33" s="360"/>
      <c r="K33" s="360"/>
      <c r="L33" s="362"/>
      <c r="M33" s="362"/>
      <c r="N33" s="360"/>
      <c r="O33" s="361"/>
    </row>
    <row r="34" spans="1:15" x14ac:dyDescent="0.2">
      <c r="A34" s="390"/>
      <c r="B34" s="386"/>
      <c r="C34" s="385"/>
      <c r="D34" s="387"/>
      <c r="E34" s="360"/>
      <c r="F34" s="360"/>
      <c r="G34" s="364"/>
      <c r="H34" s="361"/>
      <c r="I34" s="362"/>
      <c r="J34" s="360"/>
      <c r="K34" s="360"/>
      <c r="L34" s="362"/>
      <c r="M34" s="362"/>
      <c r="N34" s="360"/>
      <c r="O34" s="361"/>
    </row>
    <row r="35" spans="1:15" x14ac:dyDescent="0.2">
      <c r="A35" s="239">
        <v>8</v>
      </c>
      <c r="B35" s="1092" t="s">
        <v>745</v>
      </c>
      <c r="C35" s="1083"/>
      <c r="D35" s="1084"/>
      <c r="E35" s="369">
        <f>SUM(E30:E34)</f>
        <v>17694.89</v>
      </c>
      <c r="F35" s="378"/>
      <c r="G35" s="369">
        <f>SUM(G30:G34)</f>
        <v>17694.89</v>
      </c>
      <c r="H35" s="227">
        <f>SUM(H30:H34)</f>
        <v>0</v>
      </c>
      <c r="I35" s="369">
        <f>SUM(I30:I34)</f>
        <v>17694.89</v>
      </c>
      <c r="J35" s="369">
        <f>SUM(J30:J34)</f>
        <v>0</v>
      </c>
      <c r="K35" s="378"/>
      <c r="L35" s="369">
        <f>SUM(L30:L34)</f>
        <v>0</v>
      </c>
      <c r="M35" s="369">
        <f>SUM(M30:M34)</f>
        <v>0</v>
      </c>
      <c r="N35" s="369">
        <f>SUM(N30:N34)</f>
        <v>0</v>
      </c>
      <c r="O35" s="227"/>
    </row>
    <row r="36" spans="1:15" ht="25.5" customHeight="1" x14ac:dyDescent="0.2">
      <c r="A36" s="239">
        <v>9</v>
      </c>
      <c r="B36" s="1098" t="s">
        <v>1516</v>
      </c>
      <c r="C36" s="1091"/>
      <c r="D36" s="1091"/>
      <c r="E36" s="381">
        <v>17695</v>
      </c>
      <c r="F36" s="368"/>
      <c r="G36" s="354"/>
      <c r="H36" s="246"/>
      <c r="I36" s="250"/>
      <c r="J36" s="354"/>
      <c r="K36" s="368"/>
      <c r="L36" s="354"/>
      <c r="M36" s="354"/>
      <c r="N36" s="354"/>
      <c r="O36" s="225"/>
    </row>
    <row r="37" spans="1:15" x14ac:dyDescent="0.2">
      <c r="A37" s="242"/>
      <c r="B37" s="243"/>
      <c r="C37" s="244"/>
      <c r="D37" s="245"/>
      <c r="E37" s="354"/>
      <c r="F37" s="354"/>
      <c r="G37" s="354"/>
      <c r="H37" s="246"/>
      <c r="I37" s="250"/>
      <c r="J37" s="354"/>
      <c r="K37" s="368"/>
      <c r="L37" s="354"/>
      <c r="M37" s="354"/>
      <c r="N37" s="354"/>
      <c r="O37" s="225"/>
    </row>
    <row r="38" spans="1:15" x14ac:dyDescent="0.2">
      <c r="A38" s="239" t="s">
        <v>746</v>
      </c>
      <c r="B38" s="234">
        <v>454</v>
      </c>
      <c r="C38" s="235" t="s">
        <v>750</v>
      </c>
      <c r="D38" s="235" t="s">
        <v>751</v>
      </c>
      <c r="E38" s="360">
        <v>511079.67</v>
      </c>
      <c r="F38" s="356" t="str">
        <f t="shared" ref="F38:F43" si="7">$G$2</f>
        <v>Traditional OOR</v>
      </c>
      <c r="G38" s="356">
        <f>IF(F38=$G$2,E38,0)</f>
        <v>511079.67</v>
      </c>
      <c r="H38" s="237">
        <v>0</v>
      </c>
      <c r="I38" s="237">
        <f t="shared" ref="I38:I48" si="8">G38-H38</f>
        <v>511079.67</v>
      </c>
      <c r="J38" s="356">
        <f t="shared" ref="J38:J63" si="9">IF(F38=$J$2,E38,0)</f>
        <v>0</v>
      </c>
      <c r="K38" s="356"/>
      <c r="L38" s="362"/>
      <c r="M38" s="237">
        <f t="shared" ref="M38:M43" si="10">J38-L38</f>
        <v>0</v>
      </c>
      <c r="N38" s="356">
        <f t="shared" ref="N38:N63" si="11">IF(F38=$N$2,E38,0)</f>
        <v>0</v>
      </c>
      <c r="O38" s="236">
        <v>4</v>
      </c>
    </row>
    <row r="39" spans="1:15" x14ac:dyDescent="0.2">
      <c r="A39" s="239" t="s">
        <v>747</v>
      </c>
      <c r="B39" s="234">
        <v>454</v>
      </c>
      <c r="C39" s="235" t="s">
        <v>753</v>
      </c>
      <c r="D39" s="235" t="s">
        <v>754</v>
      </c>
      <c r="E39" s="360">
        <v>2663424.9500000002</v>
      </c>
      <c r="F39" s="356" t="str">
        <f t="shared" si="7"/>
        <v>Traditional OOR</v>
      </c>
      <c r="G39" s="356">
        <f t="shared" ref="G39:G63" si="12">IF(F39=$G$2,E39,0)</f>
        <v>2663424.9500000002</v>
      </c>
      <c r="H39" s="237">
        <v>0</v>
      </c>
      <c r="I39" s="237">
        <f t="shared" si="8"/>
        <v>2663424.9500000002</v>
      </c>
      <c r="J39" s="356">
        <f t="shared" si="9"/>
        <v>0</v>
      </c>
      <c r="K39" s="356"/>
      <c r="L39" s="362"/>
      <c r="M39" s="238">
        <f t="shared" si="10"/>
        <v>0</v>
      </c>
      <c r="N39" s="356">
        <f t="shared" si="11"/>
        <v>0</v>
      </c>
      <c r="O39" s="241">
        <v>4</v>
      </c>
    </row>
    <row r="40" spans="1:15" x14ac:dyDescent="0.2">
      <c r="A40" s="239" t="s">
        <v>748</v>
      </c>
      <c r="B40" s="234">
        <v>454</v>
      </c>
      <c r="C40" s="235" t="s">
        <v>756</v>
      </c>
      <c r="D40" s="235" t="s">
        <v>757</v>
      </c>
      <c r="E40" s="360">
        <v>485440</v>
      </c>
      <c r="F40" s="356" t="str">
        <f t="shared" si="7"/>
        <v>Traditional OOR</v>
      </c>
      <c r="G40" s="356">
        <f t="shared" si="12"/>
        <v>485440</v>
      </c>
      <c r="H40" s="237">
        <v>0</v>
      </c>
      <c r="I40" s="237">
        <f t="shared" si="8"/>
        <v>485440</v>
      </c>
      <c r="J40" s="356">
        <f t="shared" si="9"/>
        <v>0</v>
      </c>
      <c r="K40" s="356"/>
      <c r="L40" s="362"/>
      <c r="M40" s="238">
        <f t="shared" si="10"/>
        <v>0</v>
      </c>
      <c r="N40" s="356">
        <f t="shared" si="11"/>
        <v>0</v>
      </c>
      <c r="O40" s="241">
        <v>4</v>
      </c>
    </row>
    <row r="41" spans="1:15" x14ac:dyDescent="0.2">
      <c r="A41" s="239" t="s">
        <v>749</v>
      </c>
      <c r="B41" s="234">
        <v>454</v>
      </c>
      <c r="C41" s="235" t="s">
        <v>759</v>
      </c>
      <c r="D41" s="235" t="s">
        <v>760</v>
      </c>
      <c r="E41" s="360">
        <v>0</v>
      </c>
      <c r="F41" s="356" t="str">
        <f t="shared" si="7"/>
        <v>Traditional OOR</v>
      </c>
      <c r="G41" s="356">
        <f t="shared" si="12"/>
        <v>0</v>
      </c>
      <c r="H41" s="237">
        <v>0</v>
      </c>
      <c r="I41" s="237">
        <f t="shared" si="8"/>
        <v>0</v>
      </c>
      <c r="J41" s="356">
        <f t="shared" si="9"/>
        <v>0</v>
      </c>
      <c r="K41" s="356"/>
      <c r="L41" s="362"/>
      <c r="M41" s="238">
        <f t="shared" si="10"/>
        <v>0</v>
      </c>
      <c r="N41" s="356">
        <f t="shared" si="11"/>
        <v>0</v>
      </c>
      <c r="O41" s="241">
        <v>4</v>
      </c>
    </row>
    <row r="42" spans="1:15" x14ac:dyDescent="0.2">
      <c r="A42" s="239" t="s">
        <v>752</v>
      </c>
      <c r="B42" s="234">
        <v>454</v>
      </c>
      <c r="C42" s="235" t="s">
        <v>762</v>
      </c>
      <c r="D42" s="235" t="s">
        <v>763</v>
      </c>
      <c r="E42" s="360">
        <v>0</v>
      </c>
      <c r="F42" s="356" t="str">
        <f t="shared" si="7"/>
        <v>Traditional OOR</v>
      </c>
      <c r="G42" s="356">
        <f t="shared" si="12"/>
        <v>0</v>
      </c>
      <c r="H42" s="237">
        <v>0</v>
      </c>
      <c r="I42" s="237">
        <f t="shared" si="8"/>
        <v>0</v>
      </c>
      <c r="J42" s="356">
        <f t="shared" si="9"/>
        <v>0</v>
      </c>
      <c r="K42" s="356"/>
      <c r="L42" s="362"/>
      <c r="M42" s="238">
        <f t="shared" si="10"/>
        <v>0</v>
      </c>
      <c r="N42" s="356">
        <f t="shared" si="11"/>
        <v>0</v>
      </c>
      <c r="O42" s="241">
        <v>4</v>
      </c>
    </row>
    <row r="43" spans="1:15" x14ac:dyDescent="0.2">
      <c r="A43" s="239" t="s">
        <v>755</v>
      </c>
      <c r="B43" s="234">
        <v>454</v>
      </c>
      <c r="C43" s="234">
        <v>4184120</v>
      </c>
      <c r="D43" s="235" t="s">
        <v>1723</v>
      </c>
      <c r="E43" s="360">
        <v>0</v>
      </c>
      <c r="F43" s="356" t="str">
        <f t="shared" si="7"/>
        <v>Traditional OOR</v>
      </c>
      <c r="G43" s="356">
        <f>IF(F43=$G$2,E43,0)</f>
        <v>0</v>
      </c>
      <c r="H43" s="237">
        <v>0</v>
      </c>
      <c r="I43" s="237">
        <f>G43-H43</f>
        <v>0</v>
      </c>
      <c r="J43" s="356">
        <f t="shared" si="9"/>
        <v>0</v>
      </c>
      <c r="K43" s="356"/>
      <c r="L43" s="362"/>
      <c r="M43" s="238">
        <f t="shared" si="10"/>
        <v>0</v>
      </c>
      <c r="N43" s="356">
        <f t="shared" si="11"/>
        <v>0</v>
      </c>
      <c r="O43" s="241">
        <v>4</v>
      </c>
    </row>
    <row r="44" spans="1:15" x14ac:dyDescent="0.2">
      <c r="A44" s="239" t="s">
        <v>758</v>
      </c>
      <c r="B44" s="234">
        <v>454</v>
      </c>
      <c r="C44" s="235" t="s">
        <v>765</v>
      </c>
      <c r="D44" s="235" t="s">
        <v>766</v>
      </c>
      <c r="E44" s="360">
        <v>125209.13</v>
      </c>
      <c r="F44" s="356" t="str">
        <f>$J$2</f>
        <v>GRSM</v>
      </c>
      <c r="G44" s="356">
        <f t="shared" si="12"/>
        <v>0</v>
      </c>
      <c r="H44" s="237">
        <v>0</v>
      </c>
      <c r="I44" s="237">
        <f t="shared" si="8"/>
        <v>0</v>
      </c>
      <c r="J44" s="356">
        <f t="shared" si="9"/>
        <v>125209.13</v>
      </c>
      <c r="K44" s="395" t="s">
        <v>733</v>
      </c>
      <c r="L44" s="363">
        <v>25123.06</v>
      </c>
      <c r="M44" s="238">
        <f>J44-L44</f>
        <v>100086.07</v>
      </c>
      <c r="N44" s="356">
        <f t="shared" si="11"/>
        <v>0</v>
      </c>
      <c r="O44" s="241">
        <v>2</v>
      </c>
    </row>
    <row r="45" spans="1:15" x14ac:dyDescent="0.2">
      <c r="A45" s="239" t="s">
        <v>761</v>
      </c>
      <c r="B45" s="234">
        <v>454</v>
      </c>
      <c r="C45" s="235" t="s">
        <v>768</v>
      </c>
      <c r="D45" s="235" t="s">
        <v>769</v>
      </c>
      <c r="E45" s="360">
        <v>240</v>
      </c>
      <c r="F45" s="356" t="str">
        <f>$J$2</f>
        <v>GRSM</v>
      </c>
      <c r="G45" s="356">
        <f t="shared" si="12"/>
        <v>0</v>
      </c>
      <c r="H45" s="237">
        <v>0</v>
      </c>
      <c r="I45" s="237">
        <f t="shared" si="8"/>
        <v>0</v>
      </c>
      <c r="J45" s="356">
        <f t="shared" si="9"/>
        <v>240</v>
      </c>
      <c r="K45" s="395" t="s">
        <v>733</v>
      </c>
      <c r="L45" s="363">
        <v>0</v>
      </c>
      <c r="M45" s="238">
        <f t="shared" ref="M45:M63" si="13">J45-L45</f>
        <v>240</v>
      </c>
      <c r="N45" s="356">
        <f t="shared" si="11"/>
        <v>0</v>
      </c>
      <c r="O45" s="241">
        <v>2</v>
      </c>
    </row>
    <row r="46" spans="1:15" x14ac:dyDescent="0.2">
      <c r="A46" s="239" t="s">
        <v>764</v>
      </c>
      <c r="B46" s="234">
        <v>454</v>
      </c>
      <c r="C46" s="235" t="s">
        <v>771</v>
      </c>
      <c r="D46" s="235" t="s">
        <v>772</v>
      </c>
      <c r="E46" s="360">
        <v>486</v>
      </c>
      <c r="F46" s="356" t="str">
        <f>$J$2</f>
        <v>GRSM</v>
      </c>
      <c r="G46" s="356">
        <f t="shared" si="12"/>
        <v>0</v>
      </c>
      <c r="H46" s="237">
        <v>0</v>
      </c>
      <c r="I46" s="237">
        <f t="shared" si="8"/>
        <v>0</v>
      </c>
      <c r="J46" s="356">
        <f t="shared" si="9"/>
        <v>486</v>
      </c>
      <c r="K46" s="395" t="s">
        <v>733</v>
      </c>
      <c r="L46" s="363">
        <v>35.85</v>
      </c>
      <c r="M46" s="238">
        <f t="shared" si="13"/>
        <v>450.15</v>
      </c>
      <c r="N46" s="356">
        <f t="shared" si="11"/>
        <v>0</v>
      </c>
      <c r="O46" s="241">
        <v>2</v>
      </c>
    </row>
    <row r="47" spans="1:15" x14ac:dyDescent="0.2">
      <c r="A47" s="239" t="s">
        <v>767</v>
      </c>
      <c r="B47" s="234">
        <v>454</v>
      </c>
      <c r="C47" s="234" t="s">
        <v>774</v>
      </c>
      <c r="D47" s="235" t="s">
        <v>775</v>
      </c>
      <c r="E47" s="360">
        <v>141533.71</v>
      </c>
      <c r="F47" s="356" t="str">
        <f>$J$2</f>
        <v>GRSM</v>
      </c>
      <c r="G47" s="356">
        <f t="shared" si="12"/>
        <v>0</v>
      </c>
      <c r="H47" s="237">
        <v>0</v>
      </c>
      <c r="I47" s="237">
        <f t="shared" si="8"/>
        <v>0</v>
      </c>
      <c r="J47" s="356">
        <f t="shared" si="9"/>
        <v>141533.71</v>
      </c>
      <c r="K47" s="395" t="s">
        <v>733</v>
      </c>
      <c r="L47" s="363">
        <v>47183.13</v>
      </c>
      <c r="M47" s="238">
        <f t="shared" si="13"/>
        <v>94350.579999999987</v>
      </c>
      <c r="N47" s="356">
        <f t="shared" si="11"/>
        <v>0</v>
      </c>
      <c r="O47" s="236">
        <v>2</v>
      </c>
    </row>
    <row r="48" spans="1:15" x14ac:dyDescent="0.2">
      <c r="A48" s="239" t="s">
        <v>770</v>
      </c>
      <c r="B48" s="234">
        <v>454</v>
      </c>
      <c r="C48" s="235" t="s">
        <v>777</v>
      </c>
      <c r="D48" s="235" t="s">
        <v>1512</v>
      </c>
      <c r="E48" s="360">
        <v>-1154581.9099999999</v>
      </c>
      <c r="F48" s="356" t="str">
        <f>$G$2</f>
        <v>Traditional OOR</v>
      </c>
      <c r="G48" s="356">
        <f t="shared" si="12"/>
        <v>-1154581.9099999999</v>
      </c>
      <c r="H48" s="237">
        <v>0</v>
      </c>
      <c r="I48" s="237">
        <f t="shared" si="8"/>
        <v>-1154581.9099999999</v>
      </c>
      <c r="J48" s="356">
        <f t="shared" si="9"/>
        <v>0</v>
      </c>
      <c r="K48" s="356"/>
      <c r="L48" s="362"/>
      <c r="M48" s="238">
        <f t="shared" si="13"/>
        <v>0</v>
      </c>
      <c r="N48" s="356">
        <f t="shared" si="11"/>
        <v>0</v>
      </c>
      <c r="O48" s="236">
        <v>4</v>
      </c>
    </row>
    <row r="49" spans="1:15" x14ac:dyDescent="0.2">
      <c r="A49" s="239" t="s">
        <v>773</v>
      </c>
      <c r="B49" s="234">
        <v>454</v>
      </c>
      <c r="C49" s="235" t="s">
        <v>779</v>
      </c>
      <c r="D49" s="235" t="s">
        <v>780</v>
      </c>
      <c r="E49" s="360">
        <v>2466052.77</v>
      </c>
      <c r="F49" s="356" t="str">
        <f>$N$2</f>
        <v>Other Ratemaking</v>
      </c>
      <c r="G49" s="356">
        <f>I49+H49</f>
        <v>105892.30594380001</v>
      </c>
      <c r="H49" s="237">
        <f>E49*$D$232</f>
        <v>105892.30594380001</v>
      </c>
      <c r="I49" s="237">
        <v>0</v>
      </c>
      <c r="J49" s="356">
        <f t="shared" si="9"/>
        <v>0</v>
      </c>
      <c r="K49" s="356"/>
      <c r="L49" s="362"/>
      <c r="M49" s="238">
        <f t="shared" si="13"/>
        <v>0</v>
      </c>
      <c r="N49" s="356">
        <f>IF(F49=$N$2,E49-H49,0)</f>
        <v>2360160.4640561999</v>
      </c>
      <c r="O49" s="241" t="s">
        <v>781</v>
      </c>
    </row>
    <row r="50" spans="1:15" x14ac:dyDescent="0.2">
      <c r="A50" s="239" t="s">
        <v>776</v>
      </c>
      <c r="B50" s="234">
        <v>454</v>
      </c>
      <c r="C50" s="235" t="s">
        <v>783</v>
      </c>
      <c r="D50" s="235" t="s">
        <v>784</v>
      </c>
      <c r="E50" s="360">
        <v>690.34</v>
      </c>
      <c r="F50" s="356" t="str">
        <f>$G$2</f>
        <v>Traditional OOR</v>
      </c>
      <c r="G50" s="356">
        <f t="shared" si="12"/>
        <v>690.34</v>
      </c>
      <c r="H50" s="237">
        <f>E50*$D$232</f>
        <v>29.643199599999999</v>
      </c>
      <c r="I50" s="237">
        <f>G50-H50</f>
        <v>660.69680040000003</v>
      </c>
      <c r="J50" s="356">
        <f t="shared" si="9"/>
        <v>0</v>
      </c>
      <c r="K50" s="356"/>
      <c r="L50" s="362"/>
      <c r="M50" s="238">
        <f t="shared" si="13"/>
        <v>0</v>
      </c>
      <c r="N50" s="356">
        <f t="shared" si="11"/>
        <v>0</v>
      </c>
      <c r="O50" s="241">
        <v>7</v>
      </c>
    </row>
    <row r="51" spans="1:15" x14ac:dyDescent="0.2">
      <c r="A51" s="239" t="s">
        <v>778</v>
      </c>
      <c r="B51" s="234">
        <v>454</v>
      </c>
      <c r="C51" s="235" t="s">
        <v>786</v>
      </c>
      <c r="D51" s="235" t="s">
        <v>787</v>
      </c>
      <c r="E51" s="360">
        <v>1237647.08</v>
      </c>
      <c r="F51" s="356" t="str">
        <f>$N$2</f>
        <v>Other Ratemaking</v>
      </c>
      <c r="G51" s="356">
        <f>I51+H51</f>
        <v>53144.565615200001</v>
      </c>
      <c r="H51" s="237">
        <f>E51*$D$232</f>
        <v>53144.565615200001</v>
      </c>
      <c r="I51" s="237">
        <v>0</v>
      </c>
      <c r="J51" s="356">
        <f t="shared" si="9"/>
        <v>0</v>
      </c>
      <c r="K51" s="356"/>
      <c r="L51" s="362"/>
      <c r="M51" s="237">
        <f t="shared" si="13"/>
        <v>0</v>
      </c>
      <c r="N51" s="356">
        <f>IF(F51=$N$2,E51-H51,0)</f>
        <v>1184502.5143848001</v>
      </c>
      <c r="O51" s="236" t="s">
        <v>781</v>
      </c>
    </row>
    <row r="52" spans="1:15" x14ac:dyDescent="0.2">
      <c r="A52" s="239" t="s">
        <v>782</v>
      </c>
      <c r="B52" s="234">
        <v>454</v>
      </c>
      <c r="C52" s="235" t="s">
        <v>789</v>
      </c>
      <c r="D52" s="235" t="s">
        <v>790</v>
      </c>
      <c r="E52" s="360">
        <v>3883.87</v>
      </c>
      <c r="F52" s="356" t="str">
        <f t="shared" ref="F52:F57" si="14">$G$2</f>
        <v>Traditional OOR</v>
      </c>
      <c r="G52" s="356">
        <f t="shared" si="12"/>
        <v>3883.87</v>
      </c>
      <c r="H52" s="237">
        <f>E52*$D$226</f>
        <v>166.77337779999999</v>
      </c>
      <c r="I52" s="237">
        <f t="shared" ref="I52:I63" si="15">G52-H52</f>
        <v>3717.0966221999997</v>
      </c>
      <c r="J52" s="356">
        <f t="shared" si="9"/>
        <v>0</v>
      </c>
      <c r="K52" s="356"/>
      <c r="L52" s="362"/>
      <c r="M52" s="238">
        <f t="shared" si="13"/>
        <v>0</v>
      </c>
      <c r="N52" s="356">
        <f t="shared" si="11"/>
        <v>0</v>
      </c>
      <c r="O52" s="241">
        <v>7</v>
      </c>
    </row>
    <row r="53" spans="1:15" x14ac:dyDescent="0.2">
      <c r="A53" s="239" t="s">
        <v>785</v>
      </c>
      <c r="B53" s="234">
        <v>454</v>
      </c>
      <c r="C53" s="235" t="s">
        <v>792</v>
      </c>
      <c r="D53" s="235" t="s">
        <v>793</v>
      </c>
      <c r="E53" s="360">
        <v>0</v>
      </c>
      <c r="F53" s="356" t="str">
        <f t="shared" si="14"/>
        <v>Traditional OOR</v>
      </c>
      <c r="G53" s="356">
        <f t="shared" si="12"/>
        <v>0</v>
      </c>
      <c r="H53" s="237">
        <v>0</v>
      </c>
      <c r="I53" s="237">
        <f t="shared" si="15"/>
        <v>0</v>
      </c>
      <c r="J53" s="356">
        <f t="shared" si="9"/>
        <v>0</v>
      </c>
      <c r="K53" s="356"/>
      <c r="L53" s="362"/>
      <c r="M53" s="238">
        <f t="shared" si="13"/>
        <v>0</v>
      </c>
      <c r="N53" s="356">
        <f t="shared" si="11"/>
        <v>0</v>
      </c>
      <c r="O53" s="241">
        <v>1</v>
      </c>
    </row>
    <row r="54" spans="1:15" x14ac:dyDescent="0.2">
      <c r="A54" s="239" t="s">
        <v>788</v>
      </c>
      <c r="B54" s="234">
        <v>454</v>
      </c>
      <c r="C54" s="235" t="s">
        <v>795</v>
      </c>
      <c r="D54" s="235" t="s">
        <v>796</v>
      </c>
      <c r="E54" s="360">
        <v>11390574.75</v>
      </c>
      <c r="F54" s="356" t="str">
        <f t="shared" si="14"/>
        <v>Traditional OOR</v>
      </c>
      <c r="G54" s="356">
        <f t="shared" si="12"/>
        <v>11390574.75</v>
      </c>
      <c r="H54" s="237">
        <v>0</v>
      </c>
      <c r="I54" s="237">
        <f t="shared" si="15"/>
        <v>11390574.75</v>
      </c>
      <c r="J54" s="356">
        <f t="shared" si="9"/>
        <v>0</v>
      </c>
      <c r="K54" s="356"/>
      <c r="L54" s="362"/>
      <c r="M54" s="238">
        <f t="shared" si="13"/>
        <v>0</v>
      </c>
      <c r="N54" s="356">
        <f t="shared" si="11"/>
        <v>0</v>
      </c>
      <c r="O54" s="241">
        <v>4</v>
      </c>
    </row>
    <row r="55" spans="1:15" x14ac:dyDescent="0.2">
      <c r="A55" s="239" t="s">
        <v>791</v>
      </c>
      <c r="B55" s="234">
        <v>454</v>
      </c>
      <c r="C55" s="235" t="s">
        <v>798</v>
      </c>
      <c r="D55" s="235" t="s">
        <v>799</v>
      </c>
      <c r="E55" s="360">
        <v>719020.91</v>
      </c>
      <c r="F55" s="356" t="str">
        <f t="shared" si="14"/>
        <v>Traditional OOR</v>
      </c>
      <c r="G55" s="356">
        <f t="shared" si="12"/>
        <v>719020.91</v>
      </c>
      <c r="H55" s="237">
        <v>0</v>
      </c>
      <c r="I55" s="237">
        <f>G55-H55</f>
        <v>719020.91</v>
      </c>
      <c r="J55" s="356">
        <f t="shared" si="9"/>
        <v>0</v>
      </c>
      <c r="K55" s="356"/>
      <c r="L55" s="362"/>
      <c r="M55" s="238">
        <f t="shared" si="13"/>
        <v>0</v>
      </c>
      <c r="N55" s="356">
        <f t="shared" si="11"/>
        <v>0</v>
      </c>
      <c r="O55" s="241">
        <v>4</v>
      </c>
    </row>
    <row r="56" spans="1:15" ht="12" customHeight="1" x14ac:dyDescent="0.2">
      <c r="A56" s="239" t="s">
        <v>794</v>
      </c>
      <c r="B56" s="234">
        <v>454</v>
      </c>
      <c r="C56" s="235" t="s">
        <v>801</v>
      </c>
      <c r="D56" s="235" t="s">
        <v>802</v>
      </c>
      <c r="E56" s="360">
        <v>25061712.68</v>
      </c>
      <c r="F56" s="356" t="str">
        <f t="shared" si="14"/>
        <v>Traditional OOR</v>
      </c>
      <c r="G56" s="356">
        <f t="shared" si="12"/>
        <v>25061712.68</v>
      </c>
      <c r="H56" s="237">
        <v>0</v>
      </c>
      <c r="I56" s="237">
        <f t="shared" si="15"/>
        <v>25061712.68</v>
      </c>
      <c r="J56" s="356">
        <f t="shared" si="9"/>
        <v>0</v>
      </c>
      <c r="K56" s="356"/>
      <c r="L56" s="362"/>
      <c r="M56" s="238">
        <f t="shared" si="13"/>
        <v>0</v>
      </c>
      <c r="N56" s="356">
        <f t="shared" si="11"/>
        <v>0</v>
      </c>
      <c r="O56" s="241">
        <v>4</v>
      </c>
    </row>
    <row r="57" spans="1:15" x14ac:dyDescent="0.2">
      <c r="A57" s="239" t="s">
        <v>797</v>
      </c>
      <c r="B57" s="234">
        <v>454</v>
      </c>
      <c r="C57" s="235" t="s">
        <v>804</v>
      </c>
      <c r="D57" s="235" t="s">
        <v>805</v>
      </c>
      <c r="E57" s="360">
        <v>14004036.630000001</v>
      </c>
      <c r="F57" s="356" t="str">
        <f t="shared" si="14"/>
        <v>Traditional OOR</v>
      </c>
      <c r="G57" s="356">
        <f t="shared" si="12"/>
        <v>14004036.630000001</v>
      </c>
      <c r="H57" s="716">
        <f>2118385.8</f>
        <v>2118385.7999999998</v>
      </c>
      <c r="I57" s="237">
        <f>G57-H57</f>
        <v>11885650.830000002</v>
      </c>
      <c r="J57" s="356">
        <f t="shared" si="9"/>
        <v>0</v>
      </c>
      <c r="K57" s="356"/>
      <c r="L57" s="362"/>
      <c r="M57" s="238">
        <f t="shared" si="13"/>
        <v>0</v>
      </c>
      <c r="N57" s="356">
        <f t="shared" si="11"/>
        <v>0</v>
      </c>
      <c r="O57" s="241">
        <v>8</v>
      </c>
    </row>
    <row r="58" spans="1:15" x14ac:dyDescent="0.2">
      <c r="A58" s="239" t="s">
        <v>800</v>
      </c>
      <c r="B58" s="234">
        <v>454</v>
      </c>
      <c r="C58" s="235" t="s">
        <v>807</v>
      </c>
      <c r="D58" s="235" t="s">
        <v>808</v>
      </c>
      <c r="E58" s="715">
        <v>22234900.640000001</v>
      </c>
      <c r="F58" s="356" t="str">
        <f>$J$2</f>
        <v>GRSM</v>
      </c>
      <c r="G58" s="356">
        <f t="shared" si="12"/>
        <v>0</v>
      </c>
      <c r="H58" s="237">
        <v>0</v>
      </c>
      <c r="I58" s="237">
        <f t="shared" si="15"/>
        <v>0</v>
      </c>
      <c r="J58" s="356">
        <f t="shared" si="9"/>
        <v>22234900.640000001</v>
      </c>
      <c r="K58" s="395" t="s">
        <v>733</v>
      </c>
      <c r="L58" s="363">
        <v>2894101.27</v>
      </c>
      <c r="M58" s="238">
        <f t="shared" si="13"/>
        <v>19340799.370000001</v>
      </c>
      <c r="N58" s="356">
        <f t="shared" si="11"/>
        <v>0</v>
      </c>
      <c r="O58" s="236">
        <v>2</v>
      </c>
    </row>
    <row r="59" spans="1:15" x14ac:dyDescent="0.2">
      <c r="A59" s="239" t="s">
        <v>803</v>
      </c>
      <c r="B59" s="234">
        <v>454</v>
      </c>
      <c r="C59" s="235" t="s">
        <v>809</v>
      </c>
      <c r="D59" s="235" t="s">
        <v>810</v>
      </c>
      <c r="E59" s="360">
        <v>0</v>
      </c>
      <c r="F59" s="356" t="str">
        <f>$G$2</f>
        <v>Traditional OOR</v>
      </c>
      <c r="G59" s="356">
        <f t="shared" si="12"/>
        <v>0</v>
      </c>
      <c r="H59" s="237">
        <v>0</v>
      </c>
      <c r="I59" s="237">
        <f t="shared" si="15"/>
        <v>0</v>
      </c>
      <c r="J59" s="356">
        <f t="shared" si="9"/>
        <v>0</v>
      </c>
      <c r="K59" s="356"/>
      <c r="L59" s="362"/>
      <c r="M59" s="238">
        <f t="shared" si="13"/>
        <v>0</v>
      </c>
      <c r="N59" s="356">
        <f t="shared" si="11"/>
        <v>0</v>
      </c>
      <c r="O59" s="236">
        <v>4</v>
      </c>
    </row>
    <row r="60" spans="1:15" x14ac:dyDescent="0.2">
      <c r="A60" s="239" t="s">
        <v>806</v>
      </c>
      <c r="B60" s="234">
        <v>454</v>
      </c>
      <c r="C60" s="233" t="s">
        <v>1726</v>
      </c>
      <c r="D60" s="235" t="s">
        <v>1725</v>
      </c>
      <c r="E60" s="360">
        <v>-21657.279999999999</v>
      </c>
      <c r="F60" s="356" t="str">
        <f>$G$2</f>
        <v>Traditional OOR</v>
      </c>
      <c r="G60" s="356">
        <f t="shared" si="12"/>
        <v>-21657.279999999999</v>
      </c>
      <c r="H60" s="237">
        <v>0</v>
      </c>
      <c r="I60" s="237">
        <f t="shared" si="15"/>
        <v>-21657.279999999999</v>
      </c>
      <c r="J60" s="356">
        <f t="shared" si="9"/>
        <v>0</v>
      </c>
      <c r="K60" s="356"/>
      <c r="L60" s="362"/>
      <c r="M60" s="238">
        <f t="shared" si="13"/>
        <v>0</v>
      </c>
      <c r="N60" s="356">
        <f t="shared" si="11"/>
        <v>0</v>
      </c>
      <c r="O60" s="236">
        <v>1</v>
      </c>
    </row>
    <row r="61" spans="1:15" x14ac:dyDescent="0.2">
      <c r="A61" s="1013" t="s">
        <v>2368</v>
      </c>
      <c r="B61" s="1034">
        <v>454</v>
      </c>
      <c r="C61" s="1048">
        <v>4206515</v>
      </c>
      <c r="D61" s="1014" t="s">
        <v>2484</v>
      </c>
      <c r="E61" s="360">
        <v>424984.26</v>
      </c>
      <c r="F61" s="1035" t="str">
        <f>$J$2</f>
        <v>GRSM</v>
      </c>
      <c r="G61" s="1035">
        <f t="shared" si="12"/>
        <v>0</v>
      </c>
      <c r="H61" s="716">
        <v>0</v>
      </c>
      <c r="I61" s="716">
        <f t="shared" si="15"/>
        <v>0</v>
      </c>
      <c r="J61" s="1035">
        <f t="shared" si="9"/>
        <v>424984.26</v>
      </c>
      <c r="K61" s="1035" t="s">
        <v>733</v>
      </c>
      <c r="L61" s="362">
        <v>91160.44</v>
      </c>
      <c r="M61" s="716">
        <f t="shared" si="13"/>
        <v>333823.82</v>
      </c>
      <c r="N61" s="1035">
        <f t="shared" si="11"/>
        <v>0</v>
      </c>
      <c r="O61" s="1018">
        <v>2</v>
      </c>
    </row>
    <row r="62" spans="1:15" x14ac:dyDescent="0.2">
      <c r="A62" s="1013" t="s">
        <v>2370</v>
      </c>
      <c r="B62" s="386">
        <v>454</v>
      </c>
      <c r="C62" s="386">
        <v>4184122</v>
      </c>
      <c r="D62" s="1014" t="s">
        <v>2369</v>
      </c>
      <c r="E62" s="360">
        <v>610</v>
      </c>
      <c r="F62" s="715" t="s">
        <v>689</v>
      </c>
      <c r="G62" s="1046">
        <f t="shared" si="12"/>
        <v>610</v>
      </c>
      <c r="H62" s="1047">
        <v>0</v>
      </c>
      <c r="I62" s="1047">
        <f t="shared" si="15"/>
        <v>610</v>
      </c>
      <c r="J62" s="1046">
        <f t="shared" si="9"/>
        <v>0</v>
      </c>
      <c r="K62" s="360"/>
      <c r="L62" s="362"/>
      <c r="M62" s="1047">
        <f t="shared" si="13"/>
        <v>0</v>
      </c>
      <c r="N62" s="1046">
        <f t="shared" si="11"/>
        <v>0</v>
      </c>
      <c r="O62" s="361">
        <v>4</v>
      </c>
    </row>
    <row r="63" spans="1:15" x14ac:dyDescent="0.2">
      <c r="A63" s="1013" t="s">
        <v>2372</v>
      </c>
      <c r="B63" s="386">
        <v>454</v>
      </c>
      <c r="C63" s="386">
        <v>4184124</v>
      </c>
      <c r="D63" s="1014" t="s">
        <v>2371</v>
      </c>
      <c r="E63" s="360">
        <v>18320</v>
      </c>
      <c r="F63" s="715" t="s">
        <v>689</v>
      </c>
      <c r="G63" s="1046">
        <f t="shared" si="12"/>
        <v>18320</v>
      </c>
      <c r="H63" s="1047">
        <v>0</v>
      </c>
      <c r="I63" s="1047">
        <f t="shared" si="15"/>
        <v>18320</v>
      </c>
      <c r="J63" s="1046">
        <f t="shared" si="9"/>
        <v>0</v>
      </c>
      <c r="K63" s="360"/>
      <c r="L63" s="362"/>
      <c r="M63" s="1047">
        <f t="shared" si="13"/>
        <v>0</v>
      </c>
      <c r="N63" s="1046">
        <f t="shared" si="11"/>
        <v>0</v>
      </c>
      <c r="O63" s="361">
        <v>4</v>
      </c>
    </row>
    <row r="64" spans="1:15" x14ac:dyDescent="0.2">
      <c r="A64" s="1013"/>
      <c r="B64" s="386"/>
      <c r="C64" s="386"/>
      <c r="D64" s="1014"/>
      <c r="E64" s="360"/>
      <c r="F64" s="715"/>
      <c r="G64" s="364"/>
      <c r="H64" s="362"/>
      <c r="I64" s="362"/>
      <c r="J64" s="360"/>
      <c r="K64" s="360"/>
      <c r="L64" s="362"/>
      <c r="M64" s="362"/>
      <c r="N64" s="360"/>
      <c r="O64" s="361"/>
    </row>
    <row r="65" spans="1:15" x14ac:dyDescent="0.2">
      <c r="A65" s="1013"/>
      <c r="B65" s="1016"/>
      <c r="C65" s="386"/>
      <c r="D65" s="1015"/>
      <c r="E65" s="360"/>
      <c r="F65" s="360"/>
      <c r="G65" s="364"/>
      <c r="H65" s="362"/>
      <c r="I65" s="362"/>
      <c r="J65" s="360"/>
      <c r="K65" s="360"/>
      <c r="L65" s="362"/>
      <c r="M65" s="362"/>
      <c r="N65" s="360"/>
      <c r="O65" s="361"/>
    </row>
    <row r="66" spans="1:15" x14ac:dyDescent="0.2">
      <c r="A66" s="239">
        <v>11</v>
      </c>
      <c r="B66" s="1092" t="s">
        <v>811</v>
      </c>
      <c r="C66" s="1083"/>
      <c r="D66" s="1084"/>
      <c r="E66" s="353">
        <f>SUM(E38:E64)</f>
        <v>80313608.200000003</v>
      </c>
      <c r="F66" s="378"/>
      <c r="G66" s="353">
        <f>SUM(G38:G64)</f>
        <v>53841591.481559001</v>
      </c>
      <c r="H66" s="369">
        <f>SUM(H38:H64)</f>
        <v>2277619.0881363996</v>
      </c>
      <c r="I66" s="369">
        <f>SUM(I38:I64)</f>
        <v>51563972.393422604</v>
      </c>
      <c r="J66" s="353">
        <f>SUM(J38:J64)</f>
        <v>22927353.740000002</v>
      </c>
      <c r="K66" s="378"/>
      <c r="L66" s="353">
        <f>SUM(L38:L64)</f>
        <v>3057603.75</v>
      </c>
      <c r="M66" s="353">
        <f>SUM(M38:M64)</f>
        <v>19869749.990000002</v>
      </c>
      <c r="N66" s="353">
        <f>SUM(N38:N64)</f>
        <v>3544662.978441</v>
      </c>
      <c r="O66" s="226"/>
    </row>
    <row r="67" spans="1:15" ht="24.75" customHeight="1" x14ac:dyDescent="0.2">
      <c r="A67" s="239">
        <v>12</v>
      </c>
      <c r="B67" s="1087" t="s">
        <v>1517</v>
      </c>
      <c r="C67" s="1088"/>
      <c r="D67" s="1089"/>
      <c r="E67" s="366">
        <v>80313608</v>
      </c>
      <c r="F67" s="368"/>
      <c r="G67" s="384"/>
      <c r="H67" s="368"/>
      <c r="I67" s="368"/>
      <c r="J67" s="354"/>
      <c r="K67" s="368"/>
      <c r="L67" s="354"/>
      <c r="M67" s="354"/>
      <c r="N67" s="354"/>
      <c r="O67" s="225"/>
    </row>
    <row r="68" spans="1:15" x14ac:dyDescent="0.2">
      <c r="A68" s="242"/>
      <c r="B68" s="243"/>
      <c r="C68" s="244"/>
      <c r="D68" s="245"/>
      <c r="E68" s="354"/>
      <c r="F68" s="354"/>
      <c r="G68" s="354"/>
      <c r="H68" s="368"/>
      <c r="I68" s="368"/>
      <c r="J68" s="354"/>
      <c r="K68" s="368"/>
      <c r="L68" s="354"/>
      <c r="M68" s="354"/>
      <c r="N68" s="354"/>
      <c r="O68" s="225"/>
    </row>
    <row r="69" spans="1:15" x14ac:dyDescent="0.2">
      <c r="A69" s="239" t="s">
        <v>812</v>
      </c>
      <c r="B69" s="234">
        <v>456</v>
      </c>
      <c r="C69" s="235" t="s">
        <v>816</v>
      </c>
      <c r="D69" s="235" t="s">
        <v>817</v>
      </c>
      <c r="E69" s="360">
        <v>4509732.12</v>
      </c>
      <c r="F69" s="356" t="str">
        <f t="shared" ref="F69:F77" si="16">$G$2</f>
        <v>Traditional OOR</v>
      </c>
      <c r="G69" s="356">
        <f t="shared" ref="G69:G124" si="17">IF(F69=$G$2,E69,0)</f>
        <v>4509732.12</v>
      </c>
      <c r="H69" s="237">
        <v>0</v>
      </c>
      <c r="I69" s="237">
        <f t="shared" ref="I69:I124" si="18">G69-H69</f>
        <v>4509732.12</v>
      </c>
      <c r="J69" s="356">
        <f t="shared" ref="J69:J124" si="19">IF(F69=$J$2,E69,0)</f>
        <v>0</v>
      </c>
      <c r="K69" s="356"/>
      <c r="L69" s="362"/>
      <c r="M69" s="238">
        <f t="shared" ref="M69:M120" si="20">J69-L69</f>
        <v>0</v>
      </c>
      <c r="N69" s="356">
        <f t="shared" ref="N69:N124" si="21">IF(F69=$N$2,E69,0)</f>
        <v>0</v>
      </c>
      <c r="O69" s="241">
        <v>1</v>
      </c>
    </row>
    <row r="70" spans="1:15" x14ac:dyDescent="0.2">
      <c r="A70" s="239" t="s">
        <v>813</v>
      </c>
      <c r="B70" s="234">
        <v>456</v>
      </c>
      <c r="C70" s="235" t="s">
        <v>818</v>
      </c>
      <c r="D70" s="235" t="s">
        <v>819</v>
      </c>
      <c r="E70" s="360">
        <v>6295091.96</v>
      </c>
      <c r="F70" s="356" t="str">
        <f t="shared" si="16"/>
        <v>Traditional OOR</v>
      </c>
      <c r="G70" s="356">
        <f t="shared" si="17"/>
        <v>6295091.96</v>
      </c>
      <c r="H70" s="237">
        <v>0</v>
      </c>
      <c r="I70" s="237">
        <f t="shared" si="18"/>
        <v>6295091.96</v>
      </c>
      <c r="J70" s="356">
        <f t="shared" si="19"/>
        <v>0</v>
      </c>
      <c r="K70" s="356"/>
      <c r="L70" s="362"/>
      <c r="M70" s="238">
        <f t="shared" si="20"/>
        <v>0</v>
      </c>
      <c r="N70" s="356">
        <f t="shared" si="21"/>
        <v>0</v>
      </c>
      <c r="O70" s="241">
        <v>4</v>
      </c>
    </row>
    <row r="71" spans="1:15" x14ac:dyDescent="0.2">
      <c r="A71" s="239" t="s">
        <v>814</v>
      </c>
      <c r="B71" s="234">
        <v>456</v>
      </c>
      <c r="C71" s="235" t="s">
        <v>820</v>
      </c>
      <c r="D71" s="235" t="s">
        <v>821</v>
      </c>
      <c r="E71" s="360">
        <v>884025.94</v>
      </c>
      <c r="F71" s="356" t="str">
        <f t="shared" si="16"/>
        <v>Traditional OOR</v>
      </c>
      <c r="G71" s="356">
        <f t="shared" si="17"/>
        <v>884025.94</v>
      </c>
      <c r="H71" s="237">
        <v>0</v>
      </c>
      <c r="I71" s="237">
        <f t="shared" si="18"/>
        <v>884025.94</v>
      </c>
      <c r="J71" s="356">
        <f t="shared" si="19"/>
        <v>0</v>
      </c>
      <c r="K71" s="356"/>
      <c r="L71" s="362"/>
      <c r="M71" s="238">
        <f t="shared" si="20"/>
        <v>0</v>
      </c>
      <c r="N71" s="356">
        <f t="shared" si="21"/>
        <v>0</v>
      </c>
      <c r="O71" s="241">
        <v>4</v>
      </c>
    </row>
    <row r="72" spans="1:15" x14ac:dyDescent="0.2">
      <c r="A72" s="239" t="s">
        <v>815</v>
      </c>
      <c r="B72" s="234">
        <v>456</v>
      </c>
      <c r="C72" s="235" t="s">
        <v>823</v>
      </c>
      <c r="D72" s="235" t="s">
        <v>824</v>
      </c>
      <c r="E72" s="360">
        <v>-6073.4</v>
      </c>
      <c r="F72" s="356" t="str">
        <f t="shared" si="16"/>
        <v>Traditional OOR</v>
      </c>
      <c r="G72" s="356">
        <f t="shared" si="17"/>
        <v>-6073.4</v>
      </c>
      <c r="H72" s="237">
        <v>0</v>
      </c>
      <c r="I72" s="237">
        <f t="shared" si="18"/>
        <v>-6073.4</v>
      </c>
      <c r="J72" s="356">
        <f t="shared" si="19"/>
        <v>0</v>
      </c>
      <c r="K72" s="356"/>
      <c r="L72" s="362"/>
      <c r="M72" s="238">
        <f t="shared" si="20"/>
        <v>0</v>
      </c>
      <c r="N72" s="356">
        <f t="shared" si="21"/>
        <v>0</v>
      </c>
      <c r="O72" s="241">
        <v>3</v>
      </c>
    </row>
    <row r="73" spans="1:15" x14ac:dyDescent="0.2">
      <c r="A73" s="239" t="s">
        <v>814</v>
      </c>
      <c r="B73" s="234">
        <v>456</v>
      </c>
      <c r="C73" s="235" t="s">
        <v>826</v>
      </c>
      <c r="D73" s="235" t="s">
        <v>827</v>
      </c>
      <c r="E73" s="360">
        <v>480</v>
      </c>
      <c r="F73" s="356" t="str">
        <f t="shared" si="16"/>
        <v>Traditional OOR</v>
      </c>
      <c r="G73" s="356">
        <f t="shared" si="17"/>
        <v>480</v>
      </c>
      <c r="H73" s="237">
        <v>0</v>
      </c>
      <c r="I73" s="237">
        <f t="shared" si="18"/>
        <v>480</v>
      </c>
      <c r="J73" s="356">
        <f t="shared" si="19"/>
        <v>0</v>
      </c>
      <c r="K73" s="356"/>
      <c r="L73" s="362"/>
      <c r="M73" s="238">
        <f t="shared" si="20"/>
        <v>0</v>
      </c>
      <c r="N73" s="356">
        <f t="shared" si="21"/>
        <v>0</v>
      </c>
      <c r="O73" s="241">
        <v>1</v>
      </c>
    </row>
    <row r="74" spans="1:15" x14ac:dyDescent="0.2">
      <c r="A74" s="239" t="s">
        <v>815</v>
      </c>
      <c r="B74" s="234">
        <v>456</v>
      </c>
      <c r="C74" s="235" t="s">
        <v>829</v>
      </c>
      <c r="D74" s="235" t="s">
        <v>830</v>
      </c>
      <c r="E74" s="360">
        <v>599542.53</v>
      </c>
      <c r="F74" s="356" t="str">
        <f t="shared" si="16"/>
        <v>Traditional OOR</v>
      </c>
      <c r="G74" s="356">
        <f t="shared" si="17"/>
        <v>599542.53</v>
      </c>
      <c r="H74" s="237">
        <v>0</v>
      </c>
      <c r="I74" s="237">
        <f t="shared" si="18"/>
        <v>599542.53</v>
      </c>
      <c r="J74" s="356">
        <f t="shared" si="19"/>
        <v>0</v>
      </c>
      <c r="K74" s="356"/>
      <c r="L74" s="362"/>
      <c r="M74" s="238">
        <f t="shared" si="20"/>
        <v>0</v>
      </c>
      <c r="N74" s="356">
        <f t="shared" si="21"/>
        <v>0</v>
      </c>
      <c r="O74" s="241">
        <v>1</v>
      </c>
    </row>
    <row r="75" spans="1:15" x14ac:dyDescent="0.2">
      <c r="A75" s="239" t="s">
        <v>822</v>
      </c>
      <c r="B75" s="234">
        <v>456</v>
      </c>
      <c r="C75" s="235" t="s">
        <v>832</v>
      </c>
      <c r="D75" s="235" t="s">
        <v>833</v>
      </c>
      <c r="E75" s="360">
        <v>600</v>
      </c>
      <c r="F75" s="356" t="str">
        <f t="shared" si="16"/>
        <v>Traditional OOR</v>
      </c>
      <c r="G75" s="356">
        <f t="shared" si="17"/>
        <v>600</v>
      </c>
      <c r="H75" s="237">
        <v>0</v>
      </c>
      <c r="I75" s="237">
        <f t="shared" si="18"/>
        <v>600</v>
      </c>
      <c r="J75" s="356">
        <f t="shared" si="19"/>
        <v>0</v>
      </c>
      <c r="K75" s="356"/>
      <c r="L75" s="362"/>
      <c r="M75" s="238">
        <f t="shared" si="20"/>
        <v>0</v>
      </c>
      <c r="N75" s="356">
        <f t="shared" si="21"/>
        <v>0</v>
      </c>
      <c r="O75" s="241">
        <v>3</v>
      </c>
    </row>
    <row r="76" spans="1:15" x14ac:dyDescent="0.2">
      <c r="A76" s="239" t="s">
        <v>825</v>
      </c>
      <c r="B76" s="234">
        <v>456</v>
      </c>
      <c r="C76" s="234">
        <v>4186142</v>
      </c>
      <c r="D76" s="235" t="s">
        <v>1724</v>
      </c>
      <c r="E76" s="360">
        <v>3427.68</v>
      </c>
      <c r="F76" s="356" t="str">
        <f t="shared" si="16"/>
        <v>Traditional OOR</v>
      </c>
      <c r="G76" s="356">
        <f>IF(F76=$G$2,E76,0)</f>
        <v>3427.68</v>
      </c>
      <c r="H76" s="237">
        <v>0</v>
      </c>
      <c r="I76" s="237">
        <f>G76-H76</f>
        <v>3427.68</v>
      </c>
      <c r="J76" s="356">
        <f t="shared" si="19"/>
        <v>0</v>
      </c>
      <c r="K76" s="356"/>
      <c r="L76" s="362"/>
      <c r="M76" s="238">
        <f t="shared" si="20"/>
        <v>0</v>
      </c>
      <c r="N76" s="356">
        <f t="shared" si="21"/>
        <v>0</v>
      </c>
      <c r="O76" s="241">
        <v>4</v>
      </c>
    </row>
    <row r="77" spans="1:15" x14ac:dyDescent="0.2">
      <c r="A77" s="239" t="s">
        <v>828</v>
      </c>
      <c r="B77" s="234">
        <v>456</v>
      </c>
      <c r="C77" s="235" t="s">
        <v>835</v>
      </c>
      <c r="D77" s="235" t="s">
        <v>836</v>
      </c>
      <c r="E77" s="360">
        <v>125.72</v>
      </c>
      <c r="F77" s="356" t="str">
        <f t="shared" si="16"/>
        <v>Traditional OOR</v>
      </c>
      <c r="G77" s="356">
        <f t="shared" si="17"/>
        <v>125.72</v>
      </c>
      <c r="H77" s="237">
        <f>E77*$D$226</f>
        <v>5.3984167999999997</v>
      </c>
      <c r="I77" s="237">
        <f t="shared" si="18"/>
        <v>120.32158319999999</v>
      </c>
      <c r="J77" s="356">
        <f t="shared" si="19"/>
        <v>0</v>
      </c>
      <c r="K77" s="356"/>
      <c r="L77" s="362"/>
      <c r="M77" s="238">
        <f t="shared" si="20"/>
        <v>0</v>
      </c>
      <c r="N77" s="356">
        <f t="shared" si="21"/>
        <v>0</v>
      </c>
      <c r="O77" s="241">
        <v>7</v>
      </c>
    </row>
    <row r="78" spans="1:15" x14ac:dyDescent="0.2">
      <c r="A78" s="239" t="s">
        <v>831</v>
      </c>
      <c r="B78" s="234">
        <v>456</v>
      </c>
      <c r="C78" s="235" t="s">
        <v>838</v>
      </c>
      <c r="D78" s="235" t="s">
        <v>839</v>
      </c>
      <c r="E78" s="360">
        <v>372216.48</v>
      </c>
      <c r="F78" s="356" t="str">
        <f>$N$2</f>
        <v>Other Ratemaking</v>
      </c>
      <c r="G78" s="356">
        <f>I78+H78</f>
        <v>15982.975651199999</v>
      </c>
      <c r="H78" s="237">
        <f>E78*$D$232</f>
        <v>15982.975651199999</v>
      </c>
      <c r="I78" s="237">
        <v>0</v>
      </c>
      <c r="J78" s="356">
        <f t="shared" si="19"/>
        <v>0</v>
      </c>
      <c r="K78" s="356"/>
      <c r="L78" s="362"/>
      <c r="M78" s="238">
        <f t="shared" si="20"/>
        <v>0</v>
      </c>
      <c r="N78" s="356">
        <f>IF(F78=$N$2,E78-H78,0)</f>
        <v>356233.50434879999</v>
      </c>
      <c r="O78" s="241" t="s">
        <v>781</v>
      </c>
    </row>
    <row r="79" spans="1:15" x14ac:dyDescent="0.2">
      <c r="A79" s="239" t="s">
        <v>834</v>
      </c>
      <c r="B79" s="234">
        <v>456</v>
      </c>
      <c r="C79" s="235" t="s">
        <v>841</v>
      </c>
      <c r="D79" s="235" t="s">
        <v>842</v>
      </c>
      <c r="E79" s="360">
        <v>1446.92</v>
      </c>
      <c r="F79" s="356" t="str">
        <f t="shared" ref="F79:F84" si="22">$G$2</f>
        <v>Traditional OOR</v>
      </c>
      <c r="G79" s="356">
        <f t="shared" si="17"/>
        <v>1446.92</v>
      </c>
      <c r="H79" s="237">
        <v>0</v>
      </c>
      <c r="I79" s="237">
        <f t="shared" si="18"/>
        <v>1446.92</v>
      </c>
      <c r="J79" s="356">
        <f t="shared" si="19"/>
        <v>0</v>
      </c>
      <c r="K79" s="356"/>
      <c r="L79" s="362"/>
      <c r="M79" s="238">
        <f t="shared" si="20"/>
        <v>0</v>
      </c>
      <c r="N79" s="356">
        <f t="shared" si="21"/>
        <v>0</v>
      </c>
      <c r="O79" s="241">
        <v>4</v>
      </c>
    </row>
    <row r="80" spans="1:15" x14ac:dyDescent="0.2">
      <c r="A80" s="239" t="s">
        <v>837</v>
      </c>
      <c r="B80" s="234">
        <v>456</v>
      </c>
      <c r="C80" s="235" t="s">
        <v>844</v>
      </c>
      <c r="D80" s="235" t="s">
        <v>845</v>
      </c>
      <c r="E80" s="360">
        <v>14522</v>
      </c>
      <c r="F80" s="356" t="str">
        <f t="shared" si="22"/>
        <v>Traditional OOR</v>
      </c>
      <c r="G80" s="356">
        <f t="shared" si="17"/>
        <v>14522</v>
      </c>
      <c r="H80" s="237">
        <v>0</v>
      </c>
      <c r="I80" s="237">
        <f t="shared" si="18"/>
        <v>14522</v>
      </c>
      <c r="J80" s="356">
        <f t="shared" si="19"/>
        <v>0</v>
      </c>
      <c r="K80" s="356"/>
      <c r="L80" s="362"/>
      <c r="M80" s="238">
        <f t="shared" si="20"/>
        <v>0</v>
      </c>
      <c r="N80" s="356">
        <f t="shared" si="21"/>
        <v>0</v>
      </c>
      <c r="O80" s="241">
        <v>4</v>
      </c>
    </row>
    <row r="81" spans="1:15" x14ac:dyDescent="0.2">
      <c r="A81" s="239" t="s">
        <v>840</v>
      </c>
      <c r="B81" s="234">
        <v>456</v>
      </c>
      <c r="C81" s="235" t="s">
        <v>847</v>
      </c>
      <c r="D81" s="235" t="s">
        <v>848</v>
      </c>
      <c r="E81" s="360">
        <v>4388</v>
      </c>
      <c r="F81" s="356" t="str">
        <f t="shared" si="22"/>
        <v>Traditional OOR</v>
      </c>
      <c r="G81" s="356">
        <f t="shared" si="17"/>
        <v>4388</v>
      </c>
      <c r="H81" s="237">
        <v>0</v>
      </c>
      <c r="I81" s="237">
        <f t="shared" si="18"/>
        <v>4388</v>
      </c>
      <c r="J81" s="356">
        <f t="shared" si="19"/>
        <v>0</v>
      </c>
      <c r="K81" s="356"/>
      <c r="L81" s="362"/>
      <c r="M81" s="238">
        <f t="shared" si="20"/>
        <v>0</v>
      </c>
      <c r="N81" s="356">
        <f t="shared" si="21"/>
        <v>0</v>
      </c>
      <c r="O81" s="241">
        <v>4</v>
      </c>
    </row>
    <row r="82" spans="1:15" x14ac:dyDescent="0.2">
      <c r="A82" s="239" t="s">
        <v>843</v>
      </c>
      <c r="B82" s="234">
        <v>456</v>
      </c>
      <c r="C82" s="235" t="s">
        <v>850</v>
      </c>
      <c r="D82" s="235" t="s">
        <v>851</v>
      </c>
      <c r="E82" s="360">
        <v>993.08</v>
      </c>
      <c r="F82" s="356" t="str">
        <f t="shared" si="22"/>
        <v>Traditional OOR</v>
      </c>
      <c r="G82" s="356">
        <f t="shared" si="17"/>
        <v>993.08</v>
      </c>
      <c r="H82" s="237">
        <v>0</v>
      </c>
      <c r="I82" s="237">
        <f t="shared" si="18"/>
        <v>993.08</v>
      </c>
      <c r="J82" s="356">
        <f t="shared" si="19"/>
        <v>0</v>
      </c>
      <c r="K82" s="356"/>
      <c r="L82" s="362"/>
      <c r="M82" s="238">
        <f t="shared" si="20"/>
        <v>0</v>
      </c>
      <c r="N82" s="356">
        <f t="shared" si="21"/>
        <v>0</v>
      </c>
      <c r="O82" s="241">
        <v>4</v>
      </c>
    </row>
    <row r="83" spans="1:15" x14ac:dyDescent="0.2">
      <c r="A83" s="239" t="s">
        <v>846</v>
      </c>
      <c r="B83" s="234">
        <v>456</v>
      </c>
      <c r="C83" s="235" t="s">
        <v>853</v>
      </c>
      <c r="D83" s="235" t="s">
        <v>854</v>
      </c>
      <c r="E83" s="360">
        <v>845</v>
      </c>
      <c r="F83" s="356" t="str">
        <f t="shared" si="22"/>
        <v>Traditional OOR</v>
      </c>
      <c r="G83" s="356">
        <f t="shared" si="17"/>
        <v>845</v>
      </c>
      <c r="H83" s="237">
        <v>0</v>
      </c>
      <c r="I83" s="237">
        <f t="shared" si="18"/>
        <v>845</v>
      </c>
      <c r="J83" s="356">
        <f t="shared" si="19"/>
        <v>0</v>
      </c>
      <c r="K83" s="356"/>
      <c r="L83" s="362"/>
      <c r="M83" s="238">
        <f t="shared" si="20"/>
        <v>0</v>
      </c>
      <c r="N83" s="356">
        <f t="shared" si="21"/>
        <v>0</v>
      </c>
      <c r="O83" s="241">
        <v>4</v>
      </c>
    </row>
    <row r="84" spans="1:15" x14ac:dyDescent="0.2">
      <c r="A84" s="239" t="s">
        <v>849</v>
      </c>
      <c r="B84" s="234">
        <v>456</v>
      </c>
      <c r="C84" s="235" t="s">
        <v>856</v>
      </c>
      <c r="D84" s="235" t="s">
        <v>857</v>
      </c>
      <c r="E84" s="360">
        <v>208656</v>
      </c>
      <c r="F84" s="356" t="str">
        <f t="shared" si="22"/>
        <v>Traditional OOR</v>
      </c>
      <c r="G84" s="356">
        <f t="shared" si="17"/>
        <v>208656</v>
      </c>
      <c r="H84" s="237">
        <v>0</v>
      </c>
      <c r="I84" s="237">
        <f t="shared" si="18"/>
        <v>208656</v>
      </c>
      <c r="J84" s="356">
        <f t="shared" si="19"/>
        <v>0</v>
      </c>
      <c r="K84" s="356"/>
      <c r="L84" s="362"/>
      <c r="M84" s="238">
        <f t="shared" si="20"/>
        <v>0</v>
      </c>
      <c r="N84" s="356">
        <f t="shared" si="21"/>
        <v>0</v>
      </c>
      <c r="O84" s="241">
        <v>4</v>
      </c>
    </row>
    <row r="85" spans="1:15" x14ac:dyDescent="0.2">
      <c r="A85" s="239" t="s">
        <v>852</v>
      </c>
      <c r="B85" s="234">
        <v>456</v>
      </c>
      <c r="C85" s="235" t="s">
        <v>859</v>
      </c>
      <c r="D85" s="235" t="s">
        <v>860</v>
      </c>
      <c r="E85" s="360">
        <v>1462927.95</v>
      </c>
      <c r="F85" s="356" t="str">
        <f t="shared" ref="F85:F98" si="23">$J$2</f>
        <v>GRSM</v>
      </c>
      <c r="G85" s="356">
        <f t="shared" si="17"/>
        <v>0</v>
      </c>
      <c r="H85" s="237">
        <v>0</v>
      </c>
      <c r="I85" s="237">
        <f t="shared" si="18"/>
        <v>0</v>
      </c>
      <c r="J85" s="356">
        <f t="shared" si="19"/>
        <v>1462927.95</v>
      </c>
      <c r="K85" s="395" t="s">
        <v>733</v>
      </c>
      <c r="L85" s="363">
        <v>256201.04</v>
      </c>
      <c r="M85" s="238">
        <f t="shared" si="20"/>
        <v>1206726.9099999999</v>
      </c>
      <c r="N85" s="356">
        <f t="shared" si="21"/>
        <v>0</v>
      </c>
      <c r="O85" s="241">
        <v>2</v>
      </c>
    </row>
    <row r="86" spans="1:15" x14ac:dyDescent="0.2">
      <c r="A86" s="239" t="s">
        <v>855</v>
      </c>
      <c r="B86" s="234">
        <v>456</v>
      </c>
      <c r="C86" s="235" t="s">
        <v>862</v>
      </c>
      <c r="D86" s="235" t="s">
        <v>863</v>
      </c>
      <c r="E86" s="360">
        <v>109453.18</v>
      </c>
      <c r="F86" s="356" t="str">
        <f t="shared" si="23"/>
        <v>GRSM</v>
      </c>
      <c r="G86" s="356">
        <f t="shared" si="17"/>
        <v>0</v>
      </c>
      <c r="H86" s="237">
        <v>0</v>
      </c>
      <c r="I86" s="237">
        <f t="shared" si="18"/>
        <v>0</v>
      </c>
      <c r="J86" s="356">
        <f t="shared" si="19"/>
        <v>109453.18</v>
      </c>
      <c r="K86" s="395" t="s">
        <v>733</v>
      </c>
      <c r="L86" s="363">
        <v>20080.599999999999</v>
      </c>
      <c r="M86" s="238">
        <f t="shared" si="20"/>
        <v>89372.579999999987</v>
      </c>
      <c r="N86" s="356">
        <f t="shared" si="21"/>
        <v>0</v>
      </c>
      <c r="O86" s="241">
        <v>2</v>
      </c>
    </row>
    <row r="87" spans="1:15" x14ac:dyDescent="0.2">
      <c r="A87" s="239" t="s">
        <v>858</v>
      </c>
      <c r="B87" s="234">
        <v>456</v>
      </c>
      <c r="C87" s="235" t="s">
        <v>865</v>
      </c>
      <c r="D87" s="235" t="s">
        <v>866</v>
      </c>
      <c r="E87" s="360">
        <v>75715</v>
      </c>
      <c r="F87" s="356" t="str">
        <f t="shared" si="23"/>
        <v>GRSM</v>
      </c>
      <c r="G87" s="356">
        <f t="shared" si="17"/>
        <v>0</v>
      </c>
      <c r="H87" s="237">
        <v>0</v>
      </c>
      <c r="I87" s="237">
        <f t="shared" si="18"/>
        <v>0</v>
      </c>
      <c r="J87" s="356">
        <f t="shared" si="19"/>
        <v>75715</v>
      </c>
      <c r="K87" s="395" t="s">
        <v>733</v>
      </c>
      <c r="L87" s="362">
        <v>9927.7099999999991</v>
      </c>
      <c r="M87" s="238">
        <f t="shared" si="20"/>
        <v>65787.290000000008</v>
      </c>
      <c r="N87" s="356">
        <f t="shared" si="21"/>
        <v>0</v>
      </c>
      <c r="O87" s="241">
        <v>2</v>
      </c>
    </row>
    <row r="88" spans="1:15" x14ac:dyDescent="0.2">
      <c r="A88" s="239" t="s">
        <v>861</v>
      </c>
      <c r="B88" s="234">
        <v>456</v>
      </c>
      <c r="C88" s="235" t="s">
        <v>868</v>
      </c>
      <c r="D88" s="235" t="s">
        <v>869</v>
      </c>
      <c r="E88" s="360">
        <v>0</v>
      </c>
      <c r="F88" s="356" t="str">
        <f t="shared" si="23"/>
        <v>GRSM</v>
      </c>
      <c r="G88" s="356">
        <f t="shared" si="17"/>
        <v>0</v>
      </c>
      <c r="H88" s="237">
        <v>0</v>
      </c>
      <c r="I88" s="237">
        <f t="shared" si="18"/>
        <v>0</v>
      </c>
      <c r="J88" s="356">
        <f t="shared" si="19"/>
        <v>0</v>
      </c>
      <c r="K88" s="395" t="s">
        <v>733</v>
      </c>
      <c r="L88" s="362">
        <v>0</v>
      </c>
      <c r="M88" s="238">
        <f t="shared" si="20"/>
        <v>0</v>
      </c>
      <c r="N88" s="356">
        <f t="shared" si="21"/>
        <v>0</v>
      </c>
      <c r="O88" s="236">
        <v>2</v>
      </c>
    </row>
    <row r="89" spans="1:15" x14ac:dyDescent="0.2">
      <c r="A89" s="239" t="s">
        <v>864</v>
      </c>
      <c r="B89" s="234">
        <v>456</v>
      </c>
      <c r="C89" s="235" t="s">
        <v>871</v>
      </c>
      <c r="D89" s="235" t="s">
        <v>872</v>
      </c>
      <c r="E89" s="360">
        <v>12941.55</v>
      </c>
      <c r="F89" s="356" t="str">
        <f t="shared" si="23"/>
        <v>GRSM</v>
      </c>
      <c r="G89" s="356">
        <f t="shared" si="17"/>
        <v>0</v>
      </c>
      <c r="H89" s="237">
        <v>0</v>
      </c>
      <c r="I89" s="237">
        <f t="shared" si="18"/>
        <v>0</v>
      </c>
      <c r="J89" s="356">
        <f t="shared" si="19"/>
        <v>12941.55</v>
      </c>
      <c r="K89" s="395" t="s">
        <v>733</v>
      </c>
      <c r="L89" s="362">
        <v>2437.7399999999998</v>
      </c>
      <c r="M89" s="238">
        <f t="shared" si="20"/>
        <v>10503.81</v>
      </c>
      <c r="N89" s="356">
        <f t="shared" si="21"/>
        <v>0</v>
      </c>
      <c r="O89" s="241">
        <v>2</v>
      </c>
    </row>
    <row r="90" spans="1:15" x14ac:dyDescent="0.2">
      <c r="A90" s="239" t="s">
        <v>867</v>
      </c>
      <c r="B90" s="234">
        <v>456</v>
      </c>
      <c r="C90" s="235" t="s">
        <v>874</v>
      </c>
      <c r="D90" s="235" t="s">
        <v>875</v>
      </c>
      <c r="E90" s="360">
        <v>225</v>
      </c>
      <c r="F90" s="356" t="str">
        <f t="shared" si="23"/>
        <v>GRSM</v>
      </c>
      <c r="G90" s="356">
        <f t="shared" si="17"/>
        <v>0</v>
      </c>
      <c r="H90" s="237">
        <v>0</v>
      </c>
      <c r="I90" s="237">
        <f t="shared" si="18"/>
        <v>0</v>
      </c>
      <c r="J90" s="356">
        <f t="shared" si="19"/>
        <v>225</v>
      </c>
      <c r="K90" s="395" t="s">
        <v>733</v>
      </c>
      <c r="L90" s="362">
        <v>0</v>
      </c>
      <c r="M90" s="238">
        <f t="shared" si="20"/>
        <v>225</v>
      </c>
      <c r="N90" s="356">
        <f t="shared" si="21"/>
        <v>0</v>
      </c>
      <c r="O90" s="241">
        <v>2</v>
      </c>
    </row>
    <row r="91" spans="1:15" x14ac:dyDescent="0.2">
      <c r="A91" s="239" t="s">
        <v>870</v>
      </c>
      <c r="B91" s="234">
        <v>456</v>
      </c>
      <c r="C91" s="235" t="s">
        <v>877</v>
      </c>
      <c r="D91" s="235" t="s">
        <v>878</v>
      </c>
      <c r="E91" s="360">
        <v>6085</v>
      </c>
      <c r="F91" s="356" t="str">
        <f t="shared" si="23"/>
        <v>GRSM</v>
      </c>
      <c r="G91" s="356">
        <f t="shared" si="17"/>
        <v>0</v>
      </c>
      <c r="H91" s="237">
        <v>0</v>
      </c>
      <c r="I91" s="237">
        <f t="shared" si="18"/>
        <v>0</v>
      </c>
      <c r="J91" s="356">
        <f t="shared" si="19"/>
        <v>6085</v>
      </c>
      <c r="K91" s="395" t="s">
        <v>733</v>
      </c>
      <c r="L91" s="362">
        <v>2725</v>
      </c>
      <c r="M91" s="238">
        <f t="shared" si="20"/>
        <v>3360</v>
      </c>
      <c r="N91" s="356">
        <f t="shared" si="21"/>
        <v>0</v>
      </c>
      <c r="O91" s="236">
        <v>2</v>
      </c>
    </row>
    <row r="92" spans="1:15" x14ac:dyDescent="0.2">
      <c r="A92" s="239" t="s">
        <v>873</v>
      </c>
      <c r="B92" s="234">
        <v>456</v>
      </c>
      <c r="C92" s="234">
        <v>4186536</v>
      </c>
      <c r="D92" s="251" t="s">
        <v>880</v>
      </c>
      <c r="E92" s="360">
        <v>0</v>
      </c>
      <c r="F92" s="356" t="str">
        <f t="shared" si="23"/>
        <v>GRSM</v>
      </c>
      <c r="G92" s="356">
        <f t="shared" si="17"/>
        <v>0</v>
      </c>
      <c r="H92" s="237">
        <v>0</v>
      </c>
      <c r="I92" s="237">
        <f t="shared" si="18"/>
        <v>0</v>
      </c>
      <c r="J92" s="356">
        <f t="shared" si="19"/>
        <v>0</v>
      </c>
      <c r="K92" s="395" t="s">
        <v>733</v>
      </c>
      <c r="L92" s="362">
        <v>0</v>
      </c>
      <c r="M92" s="238">
        <f t="shared" si="20"/>
        <v>0</v>
      </c>
      <c r="N92" s="356">
        <f t="shared" si="21"/>
        <v>0</v>
      </c>
      <c r="O92" s="236">
        <v>2</v>
      </c>
    </row>
    <row r="93" spans="1:15" x14ac:dyDescent="0.2">
      <c r="A93" s="239" t="s">
        <v>876</v>
      </c>
      <c r="B93" s="234">
        <v>456</v>
      </c>
      <c r="C93" s="234">
        <v>4186538</v>
      </c>
      <c r="D93" s="251" t="s">
        <v>882</v>
      </c>
      <c r="E93" s="360">
        <v>0</v>
      </c>
      <c r="F93" s="356" t="str">
        <f t="shared" si="23"/>
        <v>GRSM</v>
      </c>
      <c r="G93" s="356">
        <f t="shared" si="17"/>
        <v>0</v>
      </c>
      <c r="H93" s="237">
        <v>0</v>
      </c>
      <c r="I93" s="237">
        <f t="shared" si="18"/>
        <v>0</v>
      </c>
      <c r="J93" s="356">
        <f t="shared" si="19"/>
        <v>0</v>
      </c>
      <c r="K93" s="395" t="s">
        <v>733</v>
      </c>
      <c r="L93" s="362">
        <v>0</v>
      </c>
      <c r="M93" s="238">
        <f t="shared" si="20"/>
        <v>0</v>
      </c>
      <c r="N93" s="356">
        <f t="shared" si="21"/>
        <v>0</v>
      </c>
      <c r="O93" s="236">
        <v>2</v>
      </c>
    </row>
    <row r="94" spans="1:15" x14ac:dyDescent="0.2">
      <c r="A94" s="239" t="s">
        <v>879</v>
      </c>
      <c r="B94" s="234">
        <v>456</v>
      </c>
      <c r="C94" s="235" t="s">
        <v>884</v>
      </c>
      <c r="D94" s="235" t="s">
        <v>885</v>
      </c>
      <c r="E94" s="360">
        <v>0</v>
      </c>
      <c r="F94" s="356" t="str">
        <f t="shared" si="23"/>
        <v>GRSM</v>
      </c>
      <c r="G94" s="356">
        <f t="shared" si="17"/>
        <v>0</v>
      </c>
      <c r="H94" s="237">
        <v>0</v>
      </c>
      <c r="I94" s="237">
        <f t="shared" si="18"/>
        <v>0</v>
      </c>
      <c r="J94" s="356">
        <f t="shared" si="19"/>
        <v>0</v>
      </c>
      <c r="K94" s="395" t="s">
        <v>675</v>
      </c>
      <c r="L94" s="362">
        <v>0</v>
      </c>
      <c r="M94" s="238">
        <f t="shared" si="20"/>
        <v>0</v>
      </c>
      <c r="N94" s="356">
        <f t="shared" si="21"/>
        <v>0</v>
      </c>
      <c r="O94" s="236">
        <v>2</v>
      </c>
    </row>
    <row r="95" spans="1:15" x14ac:dyDescent="0.2">
      <c r="A95" s="239" t="s">
        <v>881</v>
      </c>
      <c r="B95" s="234">
        <v>456</v>
      </c>
      <c r="C95" s="235" t="s">
        <v>887</v>
      </c>
      <c r="D95" s="235" t="s">
        <v>888</v>
      </c>
      <c r="E95" s="360">
        <v>0</v>
      </c>
      <c r="F95" s="356" t="str">
        <f t="shared" si="23"/>
        <v>GRSM</v>
      </c>
      <c r="G95" s="356">
        <f t="shared" si="17"/>
        <v>0</v>
      </c>
      <c r="H95" s="237">
        <v>0</v>
      </c>
      <c r="I95" s="237">
        <f t="shared" si="18"/>
        <v>0</v>
      </c>
      <c r="J95" s="356">
        <f t="shared" si="19"/>
        <v>0</v>
      </c>
      <c r="K95" s="395" t="s">
        <v>675</v>
      </c>
      <c r="L95" s="362">
        <v>0</v>
      </c>
      <c r="M95" s="238">
        <f t="shared" si="20"/>
        <v>0</v>
      </c>
      <c r="N95" s="356">
        <f t="shared" si="21"/>
        <v>0</v>
      </c>
      <c r="O95" s="236">
        <v>2</v>
      </c>
    </row>
    <row r="96" spans="1:15" x14ac:dyDescent="0.2">
      <c r="A96" s="239" t="s">
        <v>883</v>
      </c>
      <c r="B96" s="234">
        <v>456</v>
      </c>
      <c r="C96" s="235" t="s">
        <v>890</v>
      </c>
      <c r="D96" s="235" t="s">
        <v>891</v>
      </c>
      <c r="E96" s="360">
        <v>0</v>
      </c>
      <c r="F96" s="356" t="str">
        <f t="shared" si="23"/>
        <v>GRSM</v>
      </c>
      <c r="G96" s="356">
        <f t="shared" si="17"/>
        <v>0</v>
      </c>
      <c r="H96" s="237">
        <v>0</v>
      </c>
      <c r="I96" s="237">
        <f t="shared" si="18"/>
        <v>0</v>
      </c>
      <c r="J96" s="356">
        <f t="shared" si="19"/>
        <v>0</v>
      </c>
      <c r="K96" s="395" t="s">
        <v>675</v>
      </c>
      <c r="L96" s="362">
        <v>0</v>
      </c>
      <c r="M96" s="238">
        <f t="shared" si="20"/>
        <v>0</v>
      </c>
      <c r="N96" s="356">
        <f t="shared" si="21"/>
        <v>0</v>
      </c>
      <c r="O96" s="236">
        <v>2</v>
      </c>
    </row>
    <row r="97" spans="1:15" x14ac:dyDescent="0.2">
      <c r="A97" s="239" t="s">
        <v>886</v>
      </c>
      <c r="B97" s="234">
        <v>456</v>
      </c>
      <c r="C97" s="235" t="s">
        <v>893</v>
      </c>
      <c r="D97" s="235" t="s">
        <v>894</v>
      </c>
      <c r="E97" s="360">
        <v>0</v>
      </c>
      <c r="F97" s="356" t="str">
        <f t="shared" si="23"/>
        <v>GRSM</v>
      </c>
      <c r="G97" s="356">
        <f t="shared" si="17"/>
        <v>0</v>
      </c>
      <c r="H97" s="237">
        <v>0</v>
      </c>
      <c r="I97" s="237">
        <f t="shared" si="18"/>
        <v>0</v>
      </c>
      <c r="J97" s="356">
        <f>IF(F97=$J$2,E97,0)</f>
        <v>0</v>
      </c>
      <c r="K97" s="395" t="s">
        <v>675</v>
      </c>
      <c r="L97" s="362">
        <v>0</v>
      </c>
      <c r="M97" s="238">
        <f t="shared" si="20"/>
        <v>0</v>
      </c>
      <c r="N97" s="356">
        <f t="shared" si="21"/>
        <v>0</v>
      </c>
      <c r="O97" s="241">
        <v>2</v>
      </c>
    </row>
    <row r="98" spans="1:15" x14ac:dyDescent="0.2">
      <c r="A98" s="239" t="s">
        <v>889</v>
      </c>
      <c r="B98" s="234">
        <v>456</v>
      </c>
      <c r="C98" s="235" t="s">
        <v>896</v>
      </c>
      <c r="D98" s="235" t="s">
        <v>897</v>
      </c>
      <c r="E98" s="360">
        <v>16095</v>
      </c>
      <c r="F98" s="356" t="str">
        <f t="shared" si="23"/>
        <v>GRSM</v>
      </c>
      <c r="G98" s="356">
        <f t="shared" si="17"/>
        <v>0</v>
      </c>
      <c r="H98" s="237">
        <v>0</v>
      </c>
      <c r="I98" s="237">
        <f t="shared" si="18"/>
        <v>0</v>
      </c>
      <c r="J98" s="356">
        <f t="shared" si="19"/>
        <v>16095</v>
      </c>
      <c r="K98" s="395" t="s">
        <v>675</v>
      </c>
      <c r="L98" s="363">
        <v>1344.14</v>
      </c>
      <c r="M98" s="237">
        <f t="shared" si="20"/>
        <v>14750.86</v>
      </c>
      <c r="N98" s="356">
        <f t="shared" si="21"/>
        <v>0</v>
      </c>
      <c r="O98" s="236">
        <v>2</v>
      </c>
    </row>
    <row r="99" spans="1:15" x14ac:dyDescent="0.2">
      <c r="A99" s="239" t="s">
        <v>892</v>
      </c>
      <c r="B99" s="234">
        <v>456</v>
      </c>
      <c r="C99" s="235" t="s">
        <v>899</v>
      </c>
      <c r="D99" s="235" t="s">
        <v>900</v>
      </c>
      <c r="E99" s="360">
        <v>0</v>
      </c>
      <c r="F99" s="356" t="str">
        <f>$N$2</f>
        <v>Other Ratemaking</v>
      </c>
      <c r="G99" s="356">
        <f t="shared" si="17"/>
        <v>0</v>
      </c>
      <c r="H99" s="237">
        <v>0</v>
      </c>
      <c r="I99" s="237">
        <f t="shared" si="18"/>
        <v>0</v>
      </c>
      <c r="J99" s="356">
        <f t="shared" si="19"/>
        <v>0</v>
      </c>
      <c r="K99" s="356"/>
      <c r="L99" s="362"/>
      <c r="M99" s="238">
        <f t="shared" si="20"/>
        <v>0</v>
      </c>
      <c r="N99" s="356">
        <f t="shared" si="21"/>
        <v>0</v>
      </c>
      <c r="O99" s="241">
        <v>6</v>
      </c>
    </row>
    <row r="100" spans="1:15" x14ac:dyDescent="0.2">
      <c r="A100" s="239" t="s">
        <v>895</v>
      </c>
      <c r="B100" s="234">
        <v>456</v>
      </c>
      <c r="C100" s="235" t="s">
        <v>902</v>
      </c>
      <c r="D100" s="235" t="s">
        <v>903</v>
      </c>
      <c r="E100" s="360">
        <v>6639365.1699999999</v>
      </c>
      <c r="F100" s="356" t="str">
        <f>$G$2</f>
        <v>Traditional OOR</v>
      </c>
      <c r="G100" s="356">
        <f t="shared" si="17"/>
        <v>6639365.1699999999</v>
      </c>
      <c r="H100" s="237">
        <v>0</v>
      </c>
      <c r="I100" s="237">
        <f t="shared" si="18"/>
        <v>6639365.1699999999</v>
      </c>
      <c r="J100" s="356">
        <f t="shared" si="19"/>
        <v>0</v>
      </c>
      <c r="K100" s="356"/>
      <c r="L100" s="362"/>
      <c r="M100" s="238">
        <f t="shared" si="20"/>
        <v>0</v>
      </c>
      <c r="N100" s="356">
        <f t="shared" si="21"/>
        <v>0</v>
      </c>
      <c r="O100" s="241">
        <v>4</v>
      </c>
    </row>
    <row r="101" spans="1:15" x14ac:dyDescent="0.2">
      <c r="A101" s="239" t="s">
        <v>898</v>
      </c>
      <c r="B101" s="234">
        <v>456</v>
      </c>
      <c r="C101" s="235" t="s">
        <v>905</v>
      </c>
      <c r="D101" s="235" t="s">
        <v>906</v>
      </c>
      <c r="E101" s="360">
        <v>151892342.61000001</v>
      </c>
      <c r="F101" s="356" t="str">
        <f t="shared" ref="F101:F106" si="24">$N$2</f>
        <v>Other Ratemaking</v>
      </c>
      <c r="G101" s="356">
        <f t="shared" si="17"/>
        <v>0</v>
      </c>
      <c r="H101" s="237">
        <v>0</v>
      </c>
      <c r="I101" s="237">
        <f t="shared" si="18"/>
        <v>0</v>
      </c>
      <c r="J101" s="356">
        <f t="shared" si="19"/>
        <v>0</v>
      </c>
      <c r="K101" s="356"/>
      <c r="L101" s="362"/>
      <c r="M101" s="238">
        <f t="shared" si="20"/>
        <v>0</v>
      </c>
      <c r="N101" s="356">
        <f t="shared" si="21"/>
        <v>151892342.61000001</v>
      </c>
      <c r="O101" s="241">
        <v>6</v>
      </c>
    </row>
    <row r="102" spans="1:15" x14ac:dyDescent="0.2">
      <c r="A102" s="239" t="s">
        <v>901</v>
      </c>
      <c r="B102" s="234">
        <v>456</v>
      </c>
      <c r="C102" s="235" t="s">
        <v>908</v>
      </c>
      <c r="D102" s="235" t="s">
        <v>909</v>
      </c>
      <c r="E102" s="360">
        <v>-35638216.140000001</v>
      </c>
      <c r="F102" s="356" t="str">
        <f t="shared" si="24"/>
        <v>Other Ratemaking</v>
      </c>
      <c r="G102" s="356">
        <f t="shared" si="17"/>
        <v>0</v>
      </c>
      <c r="H102" s="237">
        <v>0</v>
      </c>
      <c r="I102" s="237">
        <f t="shared" si="18"/>
        <v>0</v>
      </c>
      <c r="J102" s="356">
        <f t="shared" si="19"/>
        <v>0</v>
      </c>
      <c r="K102" s="356"/>
      <c r="L102" s="362"/>
      <c r="M102" s="238">
        <f t="shared" si="20"/>
        <v>0</v>
      </c>
      <c r="N102" s="356">
        <f t="shared" si="21"/>
        <v>-35638216.140000001</v>
      </c>
      <c r="O102" s="241">
        <v>6</v>
      </c>
    </row>
    <row r="103" spans="1:15" x14ac:dyDescent="0.2">
      <c r="A103" s="239" t="s">
        <v>904</v>
      </c>
      <c r="B103" s="234">
        <v>456</v>
      </c>
      <c r="C103" s="235" t="s">
        <v>911</v>
      </c>
      <c r="D103" s="235" t="s">
        <v>912</v>
      </c>
      <c r="E103" s="360">
        <v>-152070208</v>
      </c>
      <c r="F103" s="356" t="str">
        <f t="shared" si="24"/>
        <v>Other Ratemaking</v>
      </c>
      <c r="G103" s="356">
        <f t="shared" si="17"/>
        <v>0</v>
      </c>
      <c r="H103" s="237">
        <v>0</v>
      </c>
      <c r="I103" s="237">
        <f t="shared" si="18"/>
        <v>0</v>
      </c>
      <c r="J103" s="356">
        <f t="shared" si="19"/>
        <v>0</v>
      </c>
      <c r="K103" s="356"/>
      <c r="L103" s="362"/>
      <c r="M103" s="238">
        <f t="shared" si="20"/>
        <v>0</v>
      </c>
      <c r="N103" s="356">
        <f t="shared" si="21"/>
        <v>-152070208</v>
      </c>
      <c r="O103" s="241">
        <v>6</v>
      </c>
    </row>
    <row r="104" spans="1:15" x14ac:dyDescent="0.2">
      <c r="A104" s="239" t="s">
        <v>907</v>
      </c>
      <c r="B104" s="234">
        <v>456</v>
      </c>
      <c r="C104" s="235" t="s">
        <v>914</v>
      </c>
      <c r="D104" s="235" t="s">
        <v>915</v>
      </c>
      <c r="E104" s="360">
        <v>35638216.140000001</v>
      </c>
      <c r="F104" s="356" t="str">
        <f t="shared" si="24"/>
        <v>Other Ratemaking</v>
      </c>
      <c r="G104" s="356">
        <f t="shared" si="17"/>
        <v>0</v>
      </c>
      <c r="H104" s="237">
        <v>0</v>
      </c>
      <c r="I104" s="237">
        <f t="shared" si="18"/>
        <v>0</v>
      </c>
      <c r="J104" s="356">
        <f t="shared" si="19"/>
        <v>0</v>
      </c>
      <c r="K104" s="356"/>
      <c r="L104" s="362"/>
      <c r="M104" s="238">
        <f t="shared" si="20"/>
        <v>0</v>
      </c>
      <c r="N104" s="356">
        <f t="shared" si="21"/>
        <v>35638216.140000001</v>
      </c>
      <c r="O104" s="241">
        <v>6</v>
      </c>
    </row>
    <row r="105" spans="1:15" x14ac:dyDescent="0.2">
      <c r="A105" s="239" t="s">
        <v>910</v>
      </c>
      <c r="B105" s="234">
        <v>456</v>
      </c>
      <c r="C105" s="235" t="s">
        <v>917</v>
      </c>
      <c r="D105" s="235" t="s">
        <v>918</v>
      </c>
      <c r="E105" s="360">
        <v>40366101.490000002</v>
      </c>
      <c r="F105" s="356" t="str">
        <f t="shared" si="24"/>
        <v>Other Ratemaking</v>
      </c>
      <c r="G105" s="356">
        <f t="shared" si="17"/>
        <v>0</v>
      </c>
      <c r="H105" s="237">
        <v>0</v>
      </c>
      <c r="I105" s="237">
        <f t="shared" si="18"/>
        <v>0</v>
      </c>
      <c r="J105" s="356">
        <f t="shared" si="19"/>
        <v>0</v>
      </c>
      <c r="K105" s="356"/>
      <c r="L105" s="362"/>
      <c r="M105" s="238">
        <f t="shared" si="20"/>
        <v>0</v>
      </c>
      <c r="N105" s="356">
        <f t="shared" si="21"/>
        <v>40366101.490000002</v>
      </c>
      <c r="O105" s="241">
        <v>6</v>
      </c>
    </row>
    <row r="106" spans="1:15" x14ac:dyDescent="0.2">
      <c r="A106" s="239" t="s">
        <v>913</v>
      </c>
      <c r="B106" s="234">
        <v>456</v>
      </c>
      <c r="C106" s="235" t="s">
        <v>920</v>
      </c>
      <c r="D106" s="235" t="s">
        <v>921</v>
      </c>
      <c r="E106" s="360">
        <v>-40366101.490000002</v>
      </c>
      <c r="F106" s="356" t="str">
        <f t="shared" si="24"/>
        <v>Other Ratemaking</v>
      </c>
      <c r="G106" s="356">
        <f t="shared" si="17"/>
        <v>0</v>
      </c>
      <c r="H106" s="237">
        <v>0</v>
      </c>
      <c r="I106" s="237">
        <f t="shared" si="18"/>
        <v>0</v>
      </c>
      <c r="J106" s="356">
        <f t="shared" si="19"/>
        <v>0</v>
      </c>
      <c r="K106" s="356"/>
      <c r="L106" s="362"/>
      <c r="M106" s="238">
        <f t="shared" si="20"/>
        <v>0</v>
      </c>
      <c r="N106" s="356">
        <f t="shared" si="21"/>
        <v>-40366101.490000002</v>
      </c>
      <c r="O106" s="241">
        <v>6</v>
      </c>
    </row>
    <row r="107" spans="1:15" x14ac:dyDescent="0.2">
      <c r="A107" s="239" t="s">
        <v>916</v>
      </c>
      <c r="B107" s="234">
        <v>456</v>
      </c>
      <c r="C107" s="235" t="s">
        <v>923</v>
      </c>
      <c r="D107" s="235" t="s">
        <v>924</v>
      </c>
      <c r="E107" s="360">
        <v>0</v>
      </c>
      <c r="F107" s="356" t="str">
        <f>$J$2</f>
        <v>GRSM</v>
      </c>
      <c r="G107" s="356">
        <f t="shared" si="17"/>
        <v>0</v>
      </c>
      <c r="H107" s="237">
        <v>0</v>
      </c>
      <c r="I107" s="237">
        <f t="shared" si="18"/>
        <v>0</v>
      </c>
      <c r="J107" s="356">
        <f t="shared" si="19"/>
        <v>0</v>
      </c>
      <c r="K107" s="395" t="s">
        <v>675</v>
      </c>
      <c r="L107" s="362">
        <v>0</v>
      </c>
      <c r="M107" s="238">
        <f t="shared" si="20"/>
        <v>0</v>
      </c>
      <c r="N107" s="356">
        <f t="shared" si="21"/>
        <v>0</v>
      </c>
      <c r="O107" s="241">
        <v>2</v>
      </c>
    </row>
    <row r="108" spans="1:15" x14ac:dyDescent="0.2">
      <c r="A108" s="239" t="s">
        <v>919</v>
      </c>
      <c r="B108" s="234">
        <v>456</v>
      </c>
      <c r="C108" s="235" t="s">
        <v>926</v>
      </c>
      <c r="D108" s="235" t="s">
        <v>927</v>
      </c>
      <c r="E108" s="363">
        <v>0</v>
      </c>
      <c r="F108" s="356" t="str">
        <f>$J$2</f>
        <v>GRSM</v>
      </c>
      <c r="G108" s="356">
        <f t="shared" si="17"/>
        <v>0</v>
      </c>
      <c r="H108" s="237">
        <v>0</v>
      </c>
      <c r="I108" s="237">
        <f t="shared" si="18"/>
        <v>0</v>
      </c>
      <c r="J108" s="356">
        <f t="shared" si="19"/>
        <v>0</v>
      </c>
      <c r="K108" s="395" t="s">
        <v>675</v>
      </c>
      <c r="L108" s="363">
        <v>0</v>
      </c>
      <c r="M108" s="238">
        <f t="shared" si="20"/>
        <v>0</v>
      </c>
      <c r="N108" s="356">
        <f t="shared" si="21"/>
        <v>0</v>
      </c>
      <c r="O108" s="241">
        <v>2</v>
      </c>
    </row>
    <row r="109" spans="1:15" x14ac:dyDescent="0.2">
      <c r="A109" s="239" t="s">
        <v>922</v>
      </c>
      <c r="B109" s="234">
        <v>456</v>
      </c>
      <c r="C109" s="235" t="s">
        <v>929</v>
      </c>
      <c r="D109" s="235" t="s">
        <v>930</v>
      </c>
      <c r="E109" s="360">
        <v>0</v>
      </c>
      <c r="F109" s="356" t="str">
        <f>$N$2</f>
        <v>Other Ratemaking</v>
      </c>
      <c r="G109" s="356">
        <f t="shared" si="17"/>
        <v>0</v>
      </c>
      <c r="H109" s="237">
        <v>0</v>
      </c>
      <c r="I109" s="237">
        <f t="shared" si="18"/>
        <v>0</v>
      </c>
      <c r="J109" s="356">
        <f t="shared" si="19"/>
        <v>0</v>
      </c>
      <c r="K109" s="356"/>
      <c r="L109" s="362"/>
      <c r="M109" s="238">
        <f t="shared" si="20"/>
        <v>0</v>
      </c>
      <c r="N109" s="356">
        <f t="shared" si="21"/>
        <v>0</v>
      </c>
      <c r="O109" s="241">
        <v>6</v>
      </c>
    </row>
    <row r="110" spans="1:15" x14ac:dyDescent="0.2">
      <c r="A110" s="239" t="s">
        <v>925</v>
      </c>
      <c r="B110" s="234">
        <v>456</v>
      </c>
      <c r="C110" s="235" t="s">
        <v>932</v>
      </c>
      <c r="D110" s="235" t="s">
        <v>933</v>
      </c>
      <c r="E110" s="360">
        <v>483897.29</v>
      </c>
      <c r="F110" s="356" t="str">
        <f t="shared" ref="F110:F120" si="25">$G$2</f>
        <v>Traditional OOR</v>
      </c>
      <c r="G110" s="356">
        <f t="shared" si="17"/>
        <v>483897.29</v>
      </c>
      <c r="H110" s="237">
        <v>0</v>
      </c>
      <c r="I110" s="237">
        <f t="shared" si="18"/>
        <v>483897.29</v>
      </c>
      <c r="J110" s="356">
        <f t="shared" si="19"/>
        <v>0</v>
      </c>
      <c r="K110" s="356"/>
      <c r="L110" s="362"/>
      <c r="M110" s="238">
        <f t="shared" si="20"/>
        <v>0</v>
      </c>
      <c r="N110" s="356">
        <f t="shared" si="21"/>
        <v>0</v>
      </c>
      <c r="O110" s="241">
        <v>1</v>
      </c>
    </row>
    <row r="111" spans="1:15" x14ac:dyDescent="0.2">
      <c r="A111" s="239" t="s">
        <v>928</v>
      </c>
      <c r="B111" s="234">
        <v>456</v>
      </c>
      <c r="C111" s="235" t="s">
        <v>935</v>
      </c>
      <c r="D111" s="235" t="s">
        <v>936</v>
      </c>
      <c r="E111" s="360">
        <v>0</v>
      </c>
      <c r="F111" s="356" t="str">
        <f t="shared" si="25"/>
        <v>Traditional OOR</v>
      </c>
      <c r="G111" s="356">
        <f t="shared" si="17"/>
        <v>0</v>
      </c>
      <c r="H111" s="237">
        <v>0</v>
      </c>
      <c r="I111" s="237">
        <f t="shared" si="18"/>
        <v>0</v>
      </c>
      <c r="J111" s="356">
        <f t="shared" si="19"/>
        <v>0</v>
      </c>
      <c r="K111" s="356"/>
      <c r="L111" s="362"/>
      <c r="M111" s="238">
        <f t="shared" si="20"/>
        <v>0</v>
      </c>
      <c r="N111" s="356">
        <f t="shared" si="21"/>
        <v>0</v>
      </c>
      <c r="O111" s="241">
        <v>1</v>
      </c>
    </row>
    <row r="112" spans="1:15" x14ac:dyDescent="0.2">
      <c r="A112" s="239" t="s">
        <v>931</v>
      </c>
      <c r="B112" s="234">
        <v>456</v>
      </c>
      <c r="C112" s="235" t="s">
        <v>938</v>
      </c>
      <c r="D112" s="235" t="s">
        <v>939</v>
      </c>
      <c r="E112" s="360">
        <v>2400744.2799999998</v>
      </c>
      <c r="F112" s="356" t="str">
        <f t="shared" si="25"/>
        <v>Traditional OOR</v>
      </c>
      <c r="G112" s="356">
        <f t="shared" si="17"/>
        <v>2400744.2799999998</v>
      </c>
      <c r="H112" s="237">
        <v>0</v>
      </c>
      <c r="I112" s="237">
        <f t="shared" si="18"/>
        <v>2400744.2799999998</v>
      </c>
      <c r="J112" s="356">
        <f t="shared" si="19"/>
        <v>0</v>
      </c>
      <c r="K112" s="356"/>
      <c r="L112" s="362"/>
      <c r="M112" s="238">
        <f t="shared" si="20"/>
        <v>0</v>
      </c>
      <c r="N112" s="356">
        <f t="shared" si="21"/>
        <v>0</v>
      </c>
      <c r="O112" s="241">
        <v>4</v>
      </c>
    </row>
    <row r="113" spans="1:15" x14ac:dyDescent="0.2">
      <c r="A113" s="239" t="s">
        <v>934</v>
      </c>
      <c r="B113" s="234">
        <v>456</v>
      </c>
      <c r="C113" s="235" t="s">
        <v>941</v>
      </c>
      <c r="D113" s="235" t="s">
        <v>942</v>
      </c>
      <c r="E113" s="360">
        <v>518163.3</v>
      </c>
      <c r="F113" s="356" t="str">
        <f t="shared" si="25"/>
        <v>Traditional OOR</v>
      </c>
      <c r="G113" s="356">
        <f t="shared" si="17"/>
        <v>518163.3</v>
      </c>
      <c r="H113" s="237">
        <v>0</v>
      </c>
      <c r="I113" s="237">
        <f t="shared" si="18"/>
        <v>518163.3</v>
      </c>
      <c r="J113" s="356">
        <f t="shared" si="19"/>
        <v>0</v>
      </c>
      <c r="K113" s="356"/>
      <c r="L113" s="362"/>
      <c r="M113" s="238">
        <f t="shared" si="20"/>
        <v>0</v>
      </c>
      <c r="N113" s="356">
        <f t="shared" si="21"/>
        <v>0</v>
      </c>
      <c r="O113" s="241">
        <v>4</v>
      </c>
    </row>
    <row r="114" spans="1:15" x14ac:dyDescent="0.2">
      <c r="A114" s="239" t="s">
        <v>937</v>
      </c>
      <c r="B114" s="234">
        <v>456</v>
      </c>
      <c r="C114" s="235" t="s">
        <v>944</v>
      </c>
      <c r="D114" s="235" t="s">
        <v>945</v>
      </c>
      <c r="E114" s="360">
        <v>-279.5</v>
      </c>
      <c r="F114" s="356" t="str">
        <f t="shared" si="25"/>
        <v>Traditional OOR</v>
      </c>
      <c r="G114" s="356">
        <f t="shared" si="17"/>
        <v>-279.5</v>
      </c>
      <c r="H114" s="237">
        <v>0</v>
      </c>
      <c r="I114" s="237">
        <f t="shared" si="18"/>
        <v>-279.5</v>
      </c>
      <c r="J114" s="356">
        <f t="shared" si="19"/>
        <v>0</v>
      </c>
      <c r="K114" s="356"/>
      <c r="L114" s="362"/>
      <c r="M114" s="238">
        <f t="shared" si="20"/>
        <v>0</v>
      </c>
      <c r="N114" s="356">
        <f t="shared" si="21"/>
        <v>0</v>
      </c>
      <c r="O114" s="241">
        <v>4</v>
      </c>
    </row>
    <row r="115" spans="1:15" x14ac:dyDescent="0.2">
      <c r="A115" s="239" t="s">
        <v>940</v>
      </c>
      <c r="B115" s="234">
        <v>456</v>
      </c>
      <c r="C115" s="235" t="s">
        <v>947</v>
      </c>
      <c r="D115" s="235" t="s">
        <v>948</v>
      </c>
      <c r="E115" s="360">
        <v>0</v>
      </c>
      <c r="F115" s="356" t="str">
        <f t="shared" si="25"/>
        <v>Traditional OOR</v>
      </c>
      <c r="G115" s="356">
        <f t="shared" si="17"/>
        <v>0</v>
      </c>
      <c r="H115" s="237">
        <v>0</v>
      </c>
      <c r="I115" s="237">
        <f t="shared" si="18"/>
        <v>0</v>
      </c>
      <c r="J115" s="356">
        <f t="shared" si="19"/>
        <v>0</v>
      </c>
      <c r="K115" s="356"/>
      <c r="L115" s="362"/>
      <c r="M115" s="238">
        <f t="shared" si="20"/>
        <v>0</v>
      </c>
      <c r="N115" s="356">
        <f t="shared" si="21"/>
        <v>0</v>
      </c>
      <c r="O115" s="241">
        <v>1</v>
      </c>
    </row>
    <row r="116" spans="1:15" x14ac:dyDescent="0.2">
      <c r="A116" s="239" t="s">
        <v>943</v>
      </c>
      <c r="B116" s="234">
        <v>456</v>
      </c>
      <c r="C116" s="235" t="s">
        <v>950</v>
      </c>
      <c r="D116" s="235" t="s">
        <v>951</v>
      </c>
      <c r="E116" s="360">
        <v>2378.58</v>
      </c>
      <c r="F116" s="356" t="str">
        <f t="shared" si="25"/>
        <v>Traditional OOR</v>
      </c>
      <c r="G116" s="356">
        <f t="shared" si="17"/>
        <v>2378.58</v>
      </c>
      <c r="H116" s="237">
        <v>0</v>
      </c>
      <c r="I116" s="237">
        <f t="shared" si="18"/>
        <v>2378.58</v>
      </c>
      <c r="J116" s="356">
        <f t="shared" si="19"/>
        <v>0</v>
      </c>
      <c r="K116" s="356"/>
      <c r="L116" s="362"/>
      <c r="M116" s="238">
        <f t="shared" si="20"/>
        <v>0</v>
      </c>
      <c r="N116" s="356">
        <f t="shared" si="21"/>
        <v>0</v>
      </c>
      <c r="O116" s="241">
        <v>4</v>
      </c>
    </row>
    <row r="117" spans="1:15" x14ac:dyDescent="0.2">
      <c r="A117" s="239" t="s">
        <v>946</v>
      </c>
      <c r="B117" s="234">
        <v>456</v>
      </c>
      <c r="C117" s="235" t="s">
        <v>953</v>
      </c>
      <c r="D117" s="235" t="s">
        <v>954</v>
      </c>
      <c r="E117" s="360">
        <v>2154224.52</v>
      </c>
      <c r="F117" s="356" t="str">
        <f t="shared" si="25"/>
        <v>Traditional OOR</v>
      </c>
      <c r="G117" s="356">
        <f t="shared" si="17"/>
        <v>2154224.52</v>
      </c>
      <c r="H117" s="237">
        <v>0</v>
      </c>
      <c r="I117" s="237">
        <f t="shared" si="18"/>
        <v>2154224.52</v>
      </c>
      <c r="J117" s="356">
        <f t="shared" si="19"/>
        <v>0</v>
      </c>
      <c r="K117" s="356"/>
      <c r="L117" s="362"/>
      <c r="M117" s="238">
        <f t="shared" si="20"/>
        <v>0</v>
      </c>
      <c r="N117" s="356">
        <f t="shared" si="21"/>
        <v>0</v>
      </c>
      <c r="O117" s="241">
        <v>4</v>
      </c>
    </row>
    <row r="118" spans="1:15" x14ac:dyDescent="0.2">
      <c r="A118" s="239" t="s">
        <v>949</v>
      </c>
      <c r="B118" s="234">
        <v>456</v>
      </c>
      <c r="C118" s="235" t="s">
        <v>956</v>
      </c>
      <c r="D118" s="235" t="s">
        <v>957</v>
      </c>
      <c r="E118" s="360">
        <v>3574028.1</v>
      </c>
      <c r="F118" s="356" t="str">
        <f t="shared" si="25"/>
        <v>Traditional OOR</v>
      </c>
      <c r="G118" s="356">
        <f t="shared" si="17"/>
        <v>3574028.1</v>
      </c>
      <c r="H118" s="237">
        <v>0</v>
      </c>
      <c r="I118" s="237">
        <f t="shared" si="18"/>
        <v>3574028.1</v>
      </c>
      <c r="J118" s="356">
        <f t="shared" si="19"/>
        <v>0</v>
      </c>
      <c r="K118" s="356"/>
      <c r="L118" s="362"/>
      <c r="M118" s="238">
        <f t="shared" si="20"/>
        <v>0</v>
      </c>
      <c r="N118" s="356">
        <f t="shared" si="21"/>
        <v>0</v>
      </c>
      <c r="O118" s="241">
        <v>4</v>
      </c>
    </row>
    <row r="119" spans="1:15" x14ac:dyDescent="0.2">
      <c r="A119" s="239" t="s">
        <v>952</v>
      </c>
      <c r="B119" s="234">
        <v>456</v>
      </c>
      <c r="C119" s="235" t="s">
        <v>959</v>
      </c>
      <c r="D119" s="235" t="s">
        <v>960</v>
      </c>
      <c r="E119" s="360">
        <v>1938.3</v>
      </c>
      <c r="F119" s="356" t="str">
        <f t="shared" si="25"/>
        <v>Traditional OOR</v>
      </c>
      <c r="G119" s="356">
        <f t="shared" si="17"/>
        <v>1938.3</v>
      </c>
      <c r="H119" s="237">
        <v>0</v>
      </c>
      <c r="I119" s="237">
        <f t="shared" si="18"/>
        <v>1938.3</v>
      </c>
      <c r="J119" s="356">
        <f t="shared" si="19"/>
        <v>0</v>
      </c>
      <c r="K119" s="356"/>
      <c r="L119" s="362"/>
      <c r="M119" s="238">
        <f t="shared" si="20"/>
        <v>0</v>
      </c>
      <c r="N119" s="356">
        <f t="shared" si="21"/>
        <v>0</v>
      </c>
      <c r="O119" s="241">
        <v>4</v>
      </c>
    </row>
    <row r="120" spans="1:15" x14ac:dyDescent="0.2">
      <c r="A120" s="239" t="s">
        <v>955</v>
      </c>
      <c r="B120" s="234">
        <v>456</v>
      </c>
      <c r="C120" s="235" t="s">
        <v>962</v>
      </c>
      <c r="D120" s="235" t="s">
        <v>963</v>
      </c>
      <c r="E120" s="360">
        <v>4057</v>
      </c>
      <c r="F120" s="356" t="str">
        <f t="shared" si="25"/>
        <v>Traditional OOR</v>
      </c>
      <c r="G120" s="356">
        <f t="shared" si="17"/>
        <v>4057</v>
      </c>
      <c r="H120" s="237">
        <v>0</v>
      </c>
      <c r="I120" s="237">
        <f t="shared" si="18"/>
        <v>4057</v>
      </c>
      <c r="J120" s="356">
        <f t="shared" si="19"/>
        <v>0</v>
      </c>
      <c r="K120" s="356"/>
      <c r="L120" s="362"/>
      <c r="M120" s="238">
        <f t="shared" si="20"/>
        <v>0</v>
      </c>
      <c r="N120" s="356">
        <f t="shared" si="21"/>
        <v>0</v>
      </c>
      <c r="O120" s="241">
        <v>6</v>
      </c>
    </row>
    <row r="121" spans="1:15" x14ac:dyDescent="0.2">
      <c r="A121" s="239" t="s">
        <v>958</v>
      </c>
      <c r="B121" s="234">
        <v>456</v>
      </c>
      <c r="C121" s="235" t="s">
        <v>964</v>
      </c>
      <c r="D121" s="235" t="s">
        <v>965</v>
      </c>
      <c r="E121" s="360">
        <v>0</v>
      </c>
      <c r="F121" s="356" t="str">
        <f>$J$2</f>
        <v>GRSM</v>
      </c>
      <c r="G121" s="356">
        <f t="shared" si="17"/>
        <v>0</v>
      </c>
      <c r="H121" s="237">
        <v>0</v>
      </c>
      <c r="I121" s="237">
        <f t="shared" si="18"/>
        <v>0</v>
      </c>
      <c r="J121" s="356">
        <f t="shared" si="19"/>
        <v>0</v>
      </c>
      <c r="K121" s="395" t="s">
        <v>733</v>
      </c>
      <c r="L121" s="362"/>
      <c r="M121" s="238">
        <f>J121-L121</f>
        <v>0</v>
      </c>
      <c r="N121" s="356">
        <f t="shared" si="21"/>
        <v>0</v>
      </c>
      <c r="O121" s="241">
        <v>2</v>
      </c>
    </row>
    <row r="122" spans="1:15" x14ac:dyDescent="0.2">
      <c r="A122" s="239" t="s">
        <v>961</v>
      </c>
      <c r="B122" s="234">
        <v>456</v>
      </c>
      <c r="C122" s="233" t="s">
        <v>1726</v>
      </c>
      <c r="D122" s="235" t="s">
        <v>1725</v>
      </c>
      <c r="E122" s="360">
        <v>-908.17</v>
      </c>
      <c r="F122" s="356" t="str">
        <f>$G$2</f>
        <v>Traditional OOR</v>
      </c>
      <c r="G122" s="356">
        <f t="shared" si="17"/>
        <v>-908.17</v>
      </c>
      <c r="H122" s="237">
        <v>0</v>
      </c>
      <c r="I122" s="237">
        <f t="shared" si="18"/>
        <v>-908.17</v>
      </c>
      <c r="J122" s="356">
        <f t="shared" si="19"/>
        <v>0</v>
      </c>
      <c r="K122" s="356"/>
      <c r="L122" s="362"/>
      <c r="M122" s="238">
        <f>J122-L122</f>
        <v>0</v>
      </c>
      <c r="N122" s="356">
        <f t="shared" si="21"/>
        <v>0</v>
      </c>
      <c r="O122" s="241">
        <v>1</v>
      </c>
    </row>
    <row r="123" spans="1:15" x14ac:dyDescent="0.2">
      <c r="A123" s="1013" t="s">
        <v>2373</v>
      </c>
      <c r="B123" s="1034">
        <v>456</v>
      </c>
      <c r="C123" s="1048">
        <v>4186911</v>
      </c>
      <c r="D123" s="1014" t="s">
        <v>2485</v>
      </c>
      <c r="E123" s="360">
        <v>1555196.68</v>
      </c>
      <c r="F123" s="1035" t="str">
        <f>$N$2</f>
        <v>Other Ratemaking</v>
      </c>
      <c r="G123" s="1035">
        <f t="shared" si="17"/>
        <v>0</v>
      </c>
      <c r="H123" s="716">
        <v>0</v>
      </c>
      <c r="I123" s="716">
        <f t="shared" si="18"/>
        <v>0</v>
      </c>
      <c r="J123" s="1035">
        <f t="shared" si="19"/>
        <v>0</v>
      </c>
      <c r="K123" s="1035"/>
      <c r="L123" s="716"/>
      <c r="M123" s="716">
        <f>J123-L123</f>
        <v>0</v>
      </c>
      <c r="N123" s="1035">
        <f t="shared" si="21"/>
        <v>1555196.68</v>
      </c>
      <c r="O123" s="1018">
        <v>6</v>
      </c>
    </row>
    <row r="124" spans="1:15" x14ac:dyDescent="0.2">
      <c r="A124" s="1013" t="s">
        <v>2374</v>
      </c>
      <c r="B124" s="386">
        <v>456</v>
      </c>
      <c r="C124" s="386">
        <v>4186925</v>
      </c>
      <c r="D124" s="1014" t="s">
        <v>2375</v>
      </c>
      <c r="E124" s="360">
        <v>109658120</v>
      </c>
      <c r="F124" s="715" t="s">
        <v>691</v>
      </c>
      <c r="G124" s="1046">
        <f t="shared" si="17"/>
        <v>0</v>
      </c>
      <c r="H124" s="362">
        <v>0</v>
      </c>
      <c r="I124" s="1047">
        <f t="shared" si="18"/>
        <v>0</v>
      </c>
      <c r="J124" s="1046">
        <f t="shared" si="19"/>
        <v>0</v>
      </c>
      <c r="K124" s="360"/>
      <c r="L124" s="362"/>
      <c r="M124" s="1047">
        <f>J124-L124</f>
        <v>0</v>
      </c>
      <c r="N124" s="1046">
        <f t="shared" si="21"/>
        <v>109658120</v>
      </c>
      <c r="O124" s="361">
        <v>6</v>
      </c>
    </row>
    <row r="125" spans="1:15" x14ac:dyDescent="0.2">
      <c r="A125" s="1013"/>
      <c r="B125" s="386"/>
      <c r="C125" s="386"/>
      <c r="D125" s="1015"/>
      <c r="E125" s="360"/>
      <c r="F125" s="715"/>
      <c r="G125" s="364"/>
      <c r="H125" s="362"/>
      <c r="I125" s="362"/>
      <c r="J125" s="360"/>
      <c r="K125" s="360"/>
      <c r="L125" s="362"/>
      <c r="M125" s="362"/>
      <c r="N125" s="360"/>
      <c r="O125" s="361"/>
    </row>
    <row r="126" spans="1:15" x14ac:dyDescent="0.2">
      <c r="A126" s="1013"/>
      <c r="B126" s="386"/>
      <c r="C126" s="386"/>
      <c r="D126" s="1015"/>
      <c r="E126" s="360"/>
      <c r="F126" s="360"/>
      <c r="G126" s="364"/>
      <c r="H126" s="362"/>
      <c r="I126" s="362"/>
      <c r="J126" s="360"/>
      <c r="K126" s="360"/>
      <c r="L126" s="362"/>
      <c r="M126" s="362"/>
      <c r="N126" s="360"/>
      <c r="O126" s="361"/>
    </row>
    <row r="127" spans="1:15" x14ac:dyDescent="0.2">
      <c r="A127" s="239">
        <v>13</v>
      </c>
      <c r="B127" s="1092" t="s">
        <v>966</v>
      </c>
      <c r="C127" s="1083"/>
      <c r="D127" s="1084"/>
      <c r="E127" s="353">
        <f>SUM(E69:E125)</f>
        <v>141386522.87000003</v>
      </c>
      <c r="F127" s="378"/>
      <c r="G127" s="353">
        <f>SUM(G69:G124)</f>
        <v>28311395.395651199</v>
      </c>
      <c r="H127" s="369">
        <f>SUM(H69:H124)</f>
        <v>15988.374067999999</v>
      </c>
      <c r="I127" s="369">
        <f>SUM(I69:I124)</f>
        <v>28295407.021583196</v>
      </c>
      <c r="J127" s="353">
        <f>SUM(J69:J124)</f>
        <v>1683442.68</v>
      </c>
      <c r="K127" s="378"/>
      <c r="L127" s="353">
        <f>SUM(L69:L124)</f>
        <v>292716.23000000004</v>
      </c>
      <c r="M127" s="353">
        <f>SUM(M69:M124)</f>
        <v>1390726.4500000002</v>
      </c>
      <c r="N127" s="353">
        <f>SUM(N69:N124)</f>
        <v>111391684.79434884</v>
      </c>
      <c r="O127" s="226"/>
    </row>
    <row r="128" spans="1:15" ht="25.5" customHeight="1" x14ac:dyDescent="0.2">
      <c r="A128" s="239">
        <v>14</v>
      </c>
      <c r="B128" s="1087" t="s">
        <v>1518</v>
      </c>
      <c r="C128" s="1088"/>
      <c r="D128" s="1089"/>
      <c r="E128" s="366">
        <v>141386523</v>
      </c>
      <c r="F128" s="368"/>
      <c r="G128" s="384"/>
      <c r="H128" s="368"/>
      <c r="I128" s="368"/>
      <c r="J128" s="384"/>
      <c r="K128" s="368"/>
      <c r="L128" s="354"/>
      <c r="M128" s="354"/>
      <c r="N128" s="354"/>
      <c r="O128" s="225"/>
    </row>
    <row r="129" spans="1:15" x14ac:dyDescent="0.2">
      <c r="A129" s="242"/>
      <c r="B129" s="243"/>
      <c r="C129" s="244"/>
      <c r="D129" s="245"/>
      <c r="E129" s="354"/>
      <c r="F129" s="354"/>
      <c r="G129" s="354"/>
      <c r="H129" s="368"/>
      <c r="I129" s="368"/>
      <c r="J129" s="354"/>
      <c r="K129" s="368"/>
      <c r="L129" s="354"/>
      <c r="M129" s="354"/>
      <c r="N129" s="354"/>
      <c r="O129" s="225"/>
    </row>
    <row r="130" spans="1:15" x14ac:dyDescent="0.2">
      <c r="A130" s="239" t="s">
        <v>967</v>
      </c>
      <c r="B130" s="234">
        <v>456.1</v>
      </c>
      <c r="C130" s="240" t="s">
        <v>968</v>
      </c>
      <c r="D130" s="235" t="s">
        <v>969</v>
      </c>
      <c r="E130" s="363">
        <v>0</v>
      </c>
      <c r="F130" s="356" t="str">
        <f>$G$2</f>
        <v>Traditional OOR</v>
      </c>
      <c r="G130" s="356">
        <f t="shared" ref="G130:G148" si="26">IF(F130=$G$2,E130,0)</f>
        <v>0</v>
      </c>
      <c r="H130" s="237">
        <f>G130</f>
        <v>0</v>
      </c>
      <c r="I130" s="237">
        <f t="shared" ref="I130:I148" si="27">G130-H130</f>
        <v>0</v>
      </c>
      <c r="J130" s="356">
        <f t="shared" ref="J130:J148" si="28">IF(F130=$J$2,E130,0)</f>
        <v>0</v>
      </c>
      <c r="K130" s="395"/>
      <c r="L130" s="362"/>
      <c r="M130" s="238">
        <f t="shared" ref="M130:M148" si="29">J130-L130</f>
        <v>0</v>
      </c>
      <c r="N130" s="356">
        <f t="shared" ref="N130:N148" si="30">IF(F130=$N$2,E130,0)</f>
        <v>0</v>
      </c>
      <c r="O130" s="241">
        <v>5</v>
      </c>
    </row>
    <row r="131" spans="1:15" x14ac:dyDescent="0.2">
      <c r="A131" s="239" t="s">
        <v>970</v>
      </c>
      <c r="B131" s="234">
        <v>456.1</v>
      </c>
      <c r="C131" s="235" t="s">
        <v>971</v>
      </c>
      <c r="D131" s="235" t="s">
        <v>972</v>
      </c>
      <c r="E131" s="363">
        <v>299738.03999999998</v>
      </c>
      <c r="F131" s="356" t="str">
        <f>$G$2</f>
        <v>Traditional OOR</v>
      </c>
      <c r="G131" s="356">
        <f t="shared" si="26"/>
        <v>299738.03999999998</v>
      </c>
      <c r="H131" s="237">
        <v>0</v>
      </c>
      <c r="I131" s="237">
        <f t="shared" si="27"/>
        <v>299738.03999999998</v>
      </c>
      <c r="J131" s="356">
        <f t="shared" si="28"/>
        <v>0</v>
      </c>
      <c r="K131" s="395"/>
      <c r="L131" s="362"/>
      <c r="M131" s="238">
        <f t="shared" si="29"/>
        <v>0</v>
      </c>
      <c r="N131" s="356">
        <f t="shared" si="30"/>
        <v>0</v>
      </c>
      <c r="O131" s="241">
        <v>4</v>
      </c>
    </row>
    <row r="132" spans="1:15" x14ac:dyDescent="0.2">
      <c r="A132" s="239" t="s">
        <v>973</v>
      </c>
      <c r="B132" s="234">
        <v>456.1</v>
      </c>
      <c r="C132" s="235" t="s">
        <v>974</v>
      </c>
      <c r="D132" s="235" t="s">
        <v>975</v>
      </c>
      <c r="E132" s="363">
        <v>992562.96</v>
      </c>
      <c r="F132" s="356" t="str">
        <f>$G$2</f>
        <v>Traditional OOR</v>
      </c>
      <c r="G132" s="356">
        <f t="shared" si="26"/>
        <v>992562.96</v>
      </c>
      <c r="H132" s="237">
        <v>0</v>
      </c>
      <c r="I132" s="237">
        <f t="shared" si="27"/>
        <v>992562.96</v>
      </c>
      <c r="J132" s="356">
        <f t="shared" si="28"/>
        <v>0</v>
      </c>
      <c r="K132" s="395"/>
      <c r="L132" s="362"/>
      <c r="M132" s="238">
        <f t="shared" si="29"/>
        <v>0</v>
      </c>
      <c r="N132" s="356">
        <f t="shared" si="30"/>
        <v>0</v>
      </c>
      <c r="O132" s="241">
        <v>4</v>
      </c>
    </row>
    <row r="133" spans="1:15" x14ac:dyDescent="0.2">
      <c r="A133" s="239" t="s">
        <v>976</v>
      </c>
      <c r="B133" s="234">
        <v>456.1</v>
      </c>
      <c r="C133" s="235" t="s">
        <v>977</v>
      </c>
      <c r="D133" s="235" t="s">
        <v>978</v>
      </c>
      <c r="E133" s="363">
        <v>245120</v>
      </c>
      <c r="F133" s="356" t="str">
        <f>$N$2</f>
        <v>Other Ratemaking</v>
      </c>
      <c r="G133" s="356">
        <f t="shared" si="26"/>
        <v>0</v>
      </c>
      <c r="H133" s="237">
        <v>0</v>
      </c>
      <c r="I133" s="237">
        <f t="shared" si="27"/>
        <v>0</v>
      </c>
      <c r="J133" s="356">
        <f t="shared" si="28"/>
        <v>0</v>
      </c>
      <c r="K133" s="395"/>
      <c r="L133" s="362"/>
      <c r="M133" s="238">
        <f t="shared" si="29"/>
        <v>0</v>
      </c>
      <c r="N133" s="356">
        <f t="shared" si="30"/>
        <v>245120</v>
      </c>
      <c r="O133" s="241">
        <v>6</v>
      </c>
    </row>
    <row r="134" spans="1:15" x14ac:dyDescent="0.2">
      <c r="A134" s="239" t="s">
        <v>979</v>
      </c>
      <c r="B134" s="234">
        <v>456.1</v>
      </c>
      <c r="C134" s="235" t="s">
        <v>980</v>
      </c>
      <c r="D134" s="235" t="s">
        <v>981</v>
      </c>
      <c r="E134" s="363">
        <v>35922110.460000001</v>
      </c>
      <c r="F134" s="356" t="str">
        <f>$N$2</f>
        <v>Other Ratemaking</v>
      </c>
      <c r="G134" s="356">
        <f t="shared" si="26"/>
        <v>0</v>
      </c>
      <c r="H134" s="237">
        <v>0</v>
      </c>
      <c r="I134" s="237">
        <f t="shared" si="27"/>
        <v>0</v>
      </c>
      <c r="J134" s="356">
        <f t="shared" si="28"/>
        <v>0</v>
      </c>
      <c r="K134" s="395"/>
      <c r="L134" s="362"/>
      <c r="M134" s="238">
        <f t="shared" si="29"/>
        <v>0</v>
      </c>
      <c r="N134" s="356">
        <f t="shared" si="30"/>
        <v>35922110.460000001</v>
      </c>
      <c r="O134" s="241">
        <v>6</v>
      </c>
    </row>
    <row r="135" spans="1:15" x14ac:dyDescent="0.2">
      <c r="A135" s="239" t="s">
        <v>982</v>
      </c>
      <c r="B135" s="234">
        <v>456.1</v>
      </c>
      <c r="C135" s="235" t="s">
        <v>983</v>
      </c>
      <c r="D135" s="235" t="s">
        <v>984</v>
      </c>
      <c r="E135" s="363">
        <v>0</v>
      </c>
      <c r="F135" s="356" t="str">
        <f>$N$2</f>
        <v>Other Ratemaking</v>
      </c>
      <c r="G135" s="356">
        <f t="shared" si="26"/>
        <v>0</v>
      </c>
      <c r="H135" s="237">
        <v>0</v>
      </c>
      <c r="I135" s="237">
        <f t="shared" si="27"/>
        <v>0</v>
      </c>
      <c r="J135" s="356">
        <f t="shared" si="28"/>
        <v>0</v>
      </c>
      <c r="K135" s="395"/>
      <c r="L135" s="362"/>
      <c r="M135" s="238">
        <f t="shared" si="29"/>
        <v>0</v>
      </c>
      <c r="N135" s="356">
        <f t="shared" si="30"/>
        <v>0</v>
      </c>
      <c r="O135" s="241">
        <v>6</v>
      </c>
    </row>
    <row r="136" spans="1:15" x14ac:dyDescent="0.2">
      <c r="A136" s="239" t="s">
        <v>985</v>
      </c>
      <c r="B136" s="234">
        <v>456.1</v>
      </c>
      <c r="C136" s="235" t="s">
        <v>986</v>
      </c>
      <c r="D136" s="235" t="s">
        <v>987</v>
      </c>
      <c r="E136" s="363">
        <v>37724739.600000001</v>
      </c>
      <c r="F136" s="356" t="str">
        <f>$G$2</f>
        <v>Traditional OOR</v>
      </c>
      <c r="G136" s="356">
        <f t="shared" si="26"/>
        <v>37724739.600000001</v>
      </c>
      <c r="H136" s="237">
        <f>G136</f>
        <v>37724739.600000001</v>
      </c>
      <c r="I136" s="237">
        <f t="shared" si="27"/>
        <v>0</v>
      </c>
      <c r="J136" s="356">
        <f t="shared" si="28"/>
        <v>0</v>
      </c>
      <c r="K136" s="395"/>
      <c r="L136" s="362"/>
      <c r="M136" s="238">
        <f t="shared" si="29"/>
        <v>0</v>
      </c>
      <c r="N136" s="356">
        <f t="shared" si="30"/>
        <v>0</v>
      </c>
      <c r="O136" s="241">
        <v>5</v>
      </c>
    </row>
    <row r="137" spans="1:15" x14ac:dyDescent="0.2">
      <c r="A137" s="239" t="s">
        <v>988</v>
      </c>
      <c r="B137" s="234">
        <v>456.1</v>
      </c>
      <c r="C137" s="235" t="s">
        <v>989</v>
      </c>
      <c r="D137" s="235" t="s">
        <v>990</v>
      </c>
      <c r="E137" s="363">
        <v>5027852.3600000003</v>
      </c>
      <c r="F137" s="356" t="str">
        <f>$G$2</f>
        <v>Traditional OOR</v>
      </c>
      <c r="G137" s="356">
        <f t="shared" si="26"/>
        <v>5027852.3600000003</v>
      </c>
      <c r="H137" s="237">
        <v>0</v>
      </c>
      <c r="I137" s="237">
        <f t="shared" si="27"/>
        <v>5027852.3600000003</v>
      </c>
      <c r="J137" s="356">
        <f t="shared" si="28"/>
        <v>0</v>
      </c>
      <c r="K137" s="395"/>
      <c r="L137" s="362"/>
      <c r="M137" s="238">
        <f t="shared" si="29"/>
        <v>0</v>
      </c>
      <c r="N137" s="356">
        <f t="shared" si="30"/>
        <v>0</v>
      </c>
      <c r="O137" s="241">
        <v>4</v>
      </c>
    </row>
    <row r="138" spans="1:15" x14ac:dyDescent="0.2">
      <c r="A138" s="239" t="s">
        <v>991</v>
      </c>
      <c r="B138" s="234">
        <v>456.1</v>
      </c>
      <c r="C138" s="235" t="s">
        <v>992</v>
      </c>
      <c r="D138" s="235" t="s">
        <v>993</v>
      </c>
      <c r="E138" s="363">
        <v>394622.16</v>
      </c>
      <c r="F138" s="356" t="str">
        <f>$G$2</f>
        <v>Traditional OOR</v>
      </c>
      <c r="G138" s="356">
        <f t="shared" si="26"/>
        <v>394622.16</v>
      </c>
      <c r="H138" s="237">
        <v>0</v>
      </c>
      <c r="I138" s="237">
        <f t="shared" si="27"/>
        <v>394622.16</v>
      </c>
      <c r="J138" s="356">
        <f t="shared" si="28"/>
        <v>0</v>
      </c>
      <c r="K138" s="395"/>
      <c r="L138" s="362"/>
      <c r="M138" s="238">
        <f t="shared" si="29"/>
        <v>0</v>
      </c>
      <c r="N138" s="356">
        <f t="shared" si="30"/>
        <v>0</v>
      </c>
      <c r="O138" s="241">
        <v>4</v>
      </c>
    </row>
    <row r="139" spans="1:15" x14ac:dyDescent="0.2">
      <c r="A139" s="239" t="s">
        <v>994</v>
      </c>
      <c r="B139" s="234">
        <v>456.1</v>
      </c>
      <c r="C139" s="235" t="s">
        <v>995</v>
      </c>
      <c r="D139" s="235" t="s">
        <v>996</v>
      </c>
      <c r="E139" s="363">
        <v>0</v>
      </c>
      <c r="F139" s="356" t="str">
        <f>$N$2</f>
        <v>Other Ratemaking</v>
      </c>
      <c r="G139" s="356">
        <f t="shared" si="26"/>
        <v>0</v>
      </c>
      <c r="H139" s="237">
        <v>0</v>
      </c>
      <c r="I139" s="237">
        <f t="shared" si="27"/>
        <v>0</v>
      </c>
      <c r="J139" s="356">
        <f t="shared" si="28"/>
        <v>0</v>
      </c>
      <c r="K139" s="395"/>
      <c r="L139" s="362"/>
      <c r="M139" s="238">
        <f t="shared" si="29"/>
        <v>0</v>
      </c>
      <c r="N139" s="356">
        <f t="shared" si="30"/>
        <v>0</v>
      </c>
      <c r="O139" s="241">
        <v>6</v>
      </c>
    </row>
    <row r="140" spans="1:15" x14ac:dyDescent="0.2">
      <c r="A140" s="239" t="s">
        <v>997</v>
      </c>
      <c r="B140" s="234">
        <v>456.1</v>
      </c>
      <c r="C140" s="235" t="s">
        <v>998</v>
      </c>
      <c r="D140" s="235" t="s">
        <v>999</v>
      </c>
      <c r="E140" s="363">
        <v>1081985.76</v>
      </c>
      <c r="F140" s="356" t="str">
        <f t="shared" ref="F140:F147" si="31">$G$2</f>
        <v>Traditional OOR</v>
      </c>
      <c r="G140" s="356">
        <f t="shared" si="26"/>
        <v>1081985.76</v>
      </c>
      <c r="H140" s="237">
        <v>0</v>
      </c>
      <c r="I140" s="237">
        <f t="shared" si="27"/>
        <v>1081985.76</v>
      </c>
      <c r="J140" s="356">
        <f t="shared" si="28"/>
        <v>0</v>
      </c>
      <c r="K140" s="395"/>
      <c r="L140" s="362"/>
      <c r="M140" s="238">
        <f t="shared" si="29"/>
        <v>0</v>
      </c>
      <c r="N140" s="356">
        <f t="shared" si="30"/>
        <v>0</v>
      </c>
      <c r="O140" s="241">
        <v>4</v>
      </c>
    </row>
    <row r="141" spans="1:15" x14ac:dyDescent="0.2">
      <c r="A141" s="239" t="s">
        <v>1000</v>
      </c>
      <c r="B141" s="234">
        <v>456.1</v>
      </c>
      <c r="C141" s="235" t="s">
        <v>1001</v>
      </c>
      <c r="D141" s="235" t="s">
        <v>1002</v>
      </c>
      <c r="E141" s="363">
        <v>402147.6</v>
      </c>
      <c r="F141" s="356" t="str">
        <f t="shared" si="31"/>
        <v>Traditional OOR</v>
      </c>
      <c r="G141" s="356">
        <f t="shared" si="26"/>
        <v>402147.6</v>
      </c>
      <c r="H141" s="237">
        <v>0</v>
      </c>
      <c r="I141" s="237">
        <f t="shared" si="27"/>
        <v>402147.6</v>
      </c>
      <c r="J141" s="356">
        <f t="shared" si="28"/>
        <v>0</v>
      </c>
      <c r="K141" s="395"/>
      <c r="L141" s="362"/>
      <c r="M141" s="238">
        <f t="shared" si="29"/>
        <v>0</v>
      </c>
      <c r="N141" s="356">
        <f t="shared" si="30"/>
        <v>0</v>
      </c>
      <c r="O141" s="241">
        <v>4</v>
      </c>
    </row>
    <row r="142" spans="1:15" x14ac:dyDescent="0.2">
      <c r="A142" s="239" t="s">
        <v>1003</v>
      </c>
      <c r="B142" s="234">
        <v>456.1</v>
      </c>
      <c r="C142" s="235" t="s">
        <v>1004</v>
      </c>
      <c r="D142" s="235" t="s">
        <v>1005</v>
      </c>
      <c r="E142" s="363">
        <v>206110.56</v>
      </c>
      <c r="F142" s="356" t="str">
        <f t="shared" si="31"/>
        <v>Traditional OOR</v>
      </c>
      <c r="G142" s="356">
        <f t="shared" si="26"/>
        <v>206110.56</v>
      </c>
      <c r="H142" s="237">
        <v>0</v>
      </c>
      <c r="I142" s="237">
        <f t="shared" si="27"/>
        <v>206110.56</v>
      </c>
      <c r="J142" s="356">
        <f t="shared" si="28"/>
        <v>0</v>
      </c>
      <c r="K142" s="395"/>
      <c r="L142" s="362"/>
      <c r="M142" s="238">
        <f t="shared" si="29"/>
        <v>0</v>
      </c>
      <c r="N142" s="356">
        <f t="shared" si="30"/>
        <v>0</v>
      </c>
      <c r="O142" s="241">
        <v>4</v>
      </c>
    </row>
    <row r="143" spans="1:15" x14ac:dyDescent="0.2">
      <c r="A143" s="239" t="s">
        <v>1006</v>
      </c>
      <c r="B143" s="234">
        <v>456.1</v>
      </c>
      <c r="C143" s="235" t="s">
        <v>1007</v>
      </c>
      <c r="D143" s="235" t="s">
        <v>1008</v>
      </c>
      <c r="E143" s="363">
        <v>551001.72</v>
      </c>
      <c r="F143" s="356" t="str">
        <f t="shared" si="31"/>
        <v>Traditional OOR</v>
      </c>
      <c r="G143" s="356">
        <f t="shared" si="26"/>
        <v>551001.72</v>
      </c>
      <c r="H143" s="237">
        <v>0</v>
      </c>
      <c r="I143" s="237">
        <f t="shared" si="27"/>
        <v>551001.72</v>
      </c>
      <c r="J143" s="356">
        <f t="shared" si="28"/>
        <v>0</v>
      </c>
      <c r="K143" s="395"/>
      <c r="L143" s="362"/>
      <c r="M143" s="238">
        <f t="shared" si="29"/>
        <v>0</v>
      </c>
      <c r="N143" s="356">
        <f t="shared" si="30"/>
        <v>0</v>
      </c>
      <c r="O143" s="241">
        <v>4</v>
      </c>
    </row>
    <row r="144" spans="1:15" x14ac:dyDescent="0.2">
      <c r="A144" s="239" t="s">
        <v>1009</v>
      </c>
      <c r="B144" s="234">
        <v>456.1</v>
      </c>
      <c r="C144" s="235" t="s">
        <v>1010</v>
      </c>
      <c r="D144" s="235" t="s">
        <v>1011</v>
      </c>
      <c r="E144" s="363">
        <v>650488.19999999995</v>
      </c>
      <c r="F144" s="356" t="str">
        <f t="shared" si="31"/>
        <v>Traditional OOR</v>
      </c>
      <c r="G144" s="356">
        <f t="shared" si="26"/>
        <v>650488.19999999995</v>
      </c>
      <c r="H144" s="237">
        <v>0</v>
      </c>
      <c r="I144" s="237">
        <f t="shared" si="27"/>
        <v>650488.19999999995</v>
      </c>
      <c r="J144" s="356">
        <f t="shared" si="28"/>
        <v>0</v>
      </c>
      <c r="K144" s="395"/>
      <c r="L144" s="362"/>
      <c r="M144" s="238">
        <f t="shared" si="29"/>
        <v>0</v>
      </c>
      <c r="N144" s="356">
        <f t="shared" si="30"/>
        <v>0</v>
      </c>
      <c r="O144" s="241">
        <v>4</v>
      </c>
    </row>
    <row r="145" spans="1:15" x14ac:dyDescent="0.2">
      <c r="A145" s="239" t="s">
        <v>1012</v>
      </c>
      <c r="B145" s="234">
        <v>456.1</v>
      </c>
      <c r="C145" s="235" t="s">
        <v>1013</v>
      </c>
      <c r="D145" s="235" t="s">
        <v>1014</v>
      </c>
      <c r="E145" s="363">
        <v>264133.44</v>
      </c>
      <c r="F145" s="356" t="str">
        <f t="shared" si="31"/>
        <v>Traditional OOR</v>
      </c>
      <c r="G145" s="356">
        <f t="shared" si="26"/>
        <v>264133.44</v>
      </c>
      <c r="H145" s="237">
        <v>0</v>
      </c>
      <c r="I145" s="237">
        <f t="shared" si="27"/>
        <v>264133.44</v>
      </c>
      <c r="J145" s="356">
        <f t="shared" si="28"/>
        <v>0</v>
      </c>
      <c r="K145" s="395"/>
      <c r="L145" s="362"/>
      <c r="M145" s="238">
        <f t="shared" si="29"/>
        <v>0</v>
      </c>
      <c r="N145" s="356">
        <f t="shared" si="30"/>
        <v>0</v>
      </c>
      <c r="O145" s="241">
        <v>4</v>
      </c>
    </row>
    <row r="146" spans="1:15" x14ac:dyDescent="0.2">
      <c r="A146" s="239" t="s">
        <v>1015</v>
      </c>
      <c r="B146" s="234">
        <v>456.1</v>
      </c>
      <c r="C146" s="235" t="s">
        <v>1016</v>
      </c>
      <c r="D146" s="235" t="s">
        <v>1017</v>
      </c>
      <c r="E146" s="360">
        <v>0</v>
      </c>
      <c r="F146" s="356" t="str">
        <f t="shared" si="31"/>
        <v>Traditional OOR</v>
      </c>
      <c r="G146" s="356">
        <f t="shared" si="26"/>
        <v>0</v>
      </c>
      <c r="H146" s="237">
        <v>0</v>
      </c>
      <c r="I146" s="237">
        <f t="shared" si="27"/>
        <v>0</v>
      </c>
      <c r="J146" s="356">
        <f t="shared" si="28"/>
        <v>0</v>
      </c>
      <c r="K146" s="356"/>
      <c r="L146" s="362"/>
      <c r="M146" s="238">
        <f t="shared" si="29"/>
        <v>0</v>
      </c>
      <c r="N146" s="356">
        <f t="shared" si="30"/>
        <v>0</v>
      </c>
      <c r="O146" s="241">
        <v>4</v>
      </c>
    </row>
    <row r="147" spans="1:15" x14ac:dyDescent="0.2">
      <c r="A147" s="239" t="s">
        <v>1018</v>
      </c>
      <c r="B147" s="234">
        <v>456.1</v>
      </c>
      <c r="C147" s="235" t="s">
        <v>1019</v>
      </c>
      <c r="D147" s="235" t="s">
        <v>1020</v>
      </c>
      <c r="E147" s="363">
        <v>42492.12</v>
      </c>
      <c r="F147" s="356" t="str">
        <f t="shared" si="31"/>
        <v>Traditional OOR</v>
      </c>
      <c r="G147" s="356">
        <f t="shared" si="26"/>
        <v>42492.12</v>
      </c>
      <c r="H147" s="237">
        <v>0</v>
      </c>
      <c r="I147" s="237">
        <f t="shared" si="27"/>
        <v>42492.12</v>
      </c>
      <c r="J147" s="356">
        <f t="shared" si="28"/>
        <v>0</v>
      </c>
      <c r="K147" s="395"/>
      <c r="L147" s="362"/>
      <c r="M147" s="238">
        <f t="shared" si="29"/>
        <v>0</v>
      </c>
      <c r="N147" s="356">
        <f t="shared" si="30"/>
        <v>0</v>
      </c>
      <c r="O147" s="241">
        <v>4</v>
      </c>
    </row>
    <row r="148" spans="1:15" x14ac:dyDescent="0.2">
      <c r="A148" s="239" t="s">
        <v>1021</v>
      </c>
      <c r="B148" s="234">
        <v>456.1</v>
      </c>
      <c r="C148" s="235" t="s">
        <v>1022</v>
      </c>
      <c r="D148" s="235" t="s">
        <v>1023</v>
      </c>
      <c r="E148" s="363">
        <v>64819.63</v>
      </c>
      <c r="F148" s="356" t="str">
        <f>$N$2</f>
        <v>Other Ratemaking</v>
      </c>
      <c r="G148" s="356">
        <f t="shared" si="26"/>
        <v>0</v>
      </c>
      <c r="H148" s="237">
        <v>0</v>
      </c>
      <c r="I148" s="237">
        <f t="shared" si="27"/>
        <v>0</v>
      </c>
      <c r="J148" s="356">
        <f t="shared" si="28"/>
        <v>0</v>
      </c>
      <c r="K148" s="395"/>
      <c r="L148" s="362"/>
      <c r="M148" s="238">
        <f t="shared" si="29"/>
        <v>0</v>
      </c>
      <c r="N148" s="356">
        <f t="shared" si="30"/>
        <v>64819.63</v>
      </c>
      <c r="O148" s="241">
        <v>6</v>
      </c>
    </row>
    <row r="149" spans="1:15" x14ac:dyDescent="0.2">
      <c r="A149" s="390"/>
      <c r="B149" s="386"/>
      <c r="C149" s="385"/>
      <c r="D149" s="387"/>
      <c r="E149" s="363"/>
      <c r="F149" s="363"/>
      <c r="G149" s="364"/>
      <c r="H149" s="362"/>
      <c r="I149" s="362"/>
      <c r="J149" s="360"/>
      <c r="K149" s="363"/>
      <c r="L149" s="362"/>
      <c r="M149" s="362"/>
      <c r="N149" s="360"/>
      <c r="O149" s="361"/>
    </row>
    <row r="150" spans="1:15" x14ac:dyDescent="0.2">
      <c r="A150" s="390"/>
      <c r="B150" s="386"/>
      <c r="C150" s="385"/>
      <c r="D150" s="387"/>
      <c r="E150" s="363"/>
      <c r="F150" s="363"/>
      <c r="G150" s="364"/>
      <c r="H150" s="362"/>
      <c r="I150" s="362"/>
      <c r="J150" s="360"/>
      <c r="K150" s="363"/>
      <c r="L150" s="362"/>
      <c r="M150" s="362"/>
      <c r="N150" s="360"/>
      <c r="O150" s="361"/>
    </row>
    <row r="151" spans="1:15" x14ac:dyDescent="0.2">
      <c r="A151" s="239">
        <v>16</v>
      </c>
      <c r="B151" s="1092" t="s">
        <v>1024</v>
      </c>
      <c r="C151" s="1083"/>
      <c r="D151" s="1084"/>
      <c r="E151" s="353">
        <f>SUM(E130:E150)</f>
        <v>83869924.609999999</v>
      </c>
      <c r="F151" s="378"/>
      <c r="G151" s="353">
        <f>SUM(G130:G150)</f>
        <v>47637874.519999996</v>
      </c>
      <c r="H151" s="369">
        <f>SUM(H130:H150)</f>
        <v>37724739.600000001</v>
      </c>
      <c r="I151" s="369">
        <f>SUM(I130:I150)</f>
        <v>9913134.9199999981</v>
      </c>
      <c r="J151" s="353">
        <f>SUM(J130:J150)</f>
        <v>0</v>
      </c>
      <c r="K151" s="378"/>
      <c r="L151" s="353">
        <f>SUM(L130:L150)</f>
        <v>0</v>
      </c>
      <c r="M151" s="353">
        <f>SUM(M130:M150)</f>
        <v>0</v>
      </c>
      <c r="N151" s="353">
        <f>SUM(N130:N150)</f>
        <v>36232050.090000004</v>
      </c>
      <c r="O151" s="226"/>
    </row>
    <row r="152" spans="1:15" ht="25.5" customHeight="1" x14ac:dyDescent="0.2">
      <c r="A152" s="239">
        <v>17</v>
      </c>
      <c r="B152" s="1087" t="s">
        <v>1513</v>
      </c>
      <c r="C152" s="1088"/>
      <c r="D152" s="1089"/>
      <c r="E152" s="366">
        <v>83869925</v>
      </c>
      <c r="F152" s="368"/>
      <c r="G152" s="380"/>
      <c r="H152" s="370"/>
      <c r="I152" s="370"/>
      <c r="J152" s="352"/>
      <c r="K152" s="370"/>
      <c r="L152" s="352"/>
      <c r="M152" s="352"/>
      <c r="N152" s="352"/>
      <c r="O152" s="225"/>
    </row>
    <row r="153" spans="1:15" x14ac:dyDescent="0.2">
      <c r="A153" s="242"/>
      <c r="B153" s="243"/>
      <c r="C153" s="244"/>
      <c r="D153" s="245"/>
      <c r="E153" s="352"/>
      <c r="F153" s="352"/>
      <c r="G153" s="352"/>
      <c r="H153" s="370"/>
      <c r="I153" s="370"/>
      <c r="J153" s="352"/>
      <c r="K153" s="370"/>
      <c r="L153" s="352"/>
      <c r="M153" s="352"/>
      <c r="N153" s="352"/>
      <c r="O153" s="225"/>
    </row>
    <row r="154" spans="1:15" x14ac:dyDescent="0.2">
      <c r="A154" s="390" t="s">
        <v>1025</v>
      </c>
      <c r="B154" s="388"/>
      <c r="C154" s="409"/>
      <c r="D154" s="409"/>
      <c r="E154" s="410"/>
      <c r="F154" s="410"/>
      <c r="G154" s="410"/>
      <c r="H154" s="410"/>
      <c r="I154" s="410"/>
      <c r="J154" s="410"/>
      <c r="K154" s="410"/>
      <c r="L154" s="410"/>
      <c r="M154" s="410"/>
      <c r="N154" s="410"/>
      <c r="O154" s="361"/>
    </row>
    <row r="155" spans="1:15" x14ac:dyDescent="0.2">
      <c r="A155" s="390"/>
      <c r="B155" s="411"/>
      <c r="C155" s="409"/>
      <c r="D155" s="409"/>
      <c r="E155" s="410"/>
      <c r="F155" s="410"/>
      <c r="G155" s="410"/>
      <c r="H155" s="410"/>
      <c r="I155" s="410"/>
      <c r="J155" s="410"/>
      <c r="K155" s="410"/>
      <c r="L155" s="410"/>
      <c r="M155" s="410"/>
      <c r="N155" s="410"/>
      <c r="O155" s="361"/>
    </row>
    <row r="156" spans="1:15" x14ac:dyDescent="0.2">
      <c r="A156" s="233">
        <v>19</v>
      </c>
      <c r="B156" s="1092" t="s">
        <v>1026</v>
      </c>
      <c r="C156" s="1083"/>
      <c r="D156" s="1084"/>
      <c r="E156" s="353">
        <f>SUM(E154:E155)</f>
        <v>0</v>
      </c>
      <c r="F156" s="417"/>
      <c r="G156" s="353">
        <f>SUM(G154:G155)</f>
        <v>0</v>
      </c>
      <c r="H156" s="353">
        <f t="shared" ref="H156:N156" si="32">SUM(H154:H155)</f>
        <v>0</v>
      </c>
      <c r="I156" s="353">
        <f t="shared" si="32"/>
        <v>0</v>
      </c>
      <c r="J156" s="353">
        <f t="shared" si="32"/>
        <v>0</v>
      </c>
      <c r="K156" s="378"/>
      <c r="L156" s="353">
        <f t="shared" si="32"/>
        <v>0</v>
      </c>
      <c r="M156" s="353">
        <f t="shared" si="32"/>
        <v>0</v>
      </c>
      <c r="N156" s="353">
        <f t="shared" si="32"/>
        <v>0</v>
      </c>
      <c r="O156" s="353"/>
    </row>
    <row r="157" spans="1:15" ht="26.25" customHeight="1" x14ac:dyDescent="0.2">
      <c r="A157" s="233">
        <v>20</v>
      </c>
      <c r="B157" s="1079" t="s">
        <v>1519</v>
      </c>
      <c r="C157" s="1080"/>
      <c r="D157" s="1081"/>
      <c r="E157" s="366">
        <v>0</v>
      </c>
      <c r="F157" s="352"/>
      <c r="G157" s="354"/>
      <c r="H157" s="368"/>
      <c r="I157" s="368"/>
      <c r="J157" s="354"/>
      <c r="K157" s="368"/>
      <c r="L157" s="354"/>
      <c r="M157" s="354"/>
      <c r="N157" s="354"/>
      <c r="O157" s="508"/>
    </row>
    <row r="158" spans="1:15" x14ac:dyDescent="0.2">
      <c r="A158" s="242"/>
      <c r="B158" s="243"/>
      <c r="C158" s="244"/>
      <c r="D158" s="245"/>
      <c r="E158" s="352"/>
      <c r="F158" s="352"/>
      <c r="G158" s="354"/>
      <c r="H158" s="368"/>
      <c r="I158" s="368"/>
      <c r="J158" s="354"/>
      <c r="K158" s="368"/>
      <c r="L158" s="354"/>
      <c r="M158" s="354"/>
      <c r="N158" s="354"/>
      <c r="O158" s="508"/>
    </row>
    <row r="159" spans="1:15" x14ac:dyDescent="0.2">
      <c r="A159" s="390" t="s">
        <v>1027</v>
      </c>
      <c r="B159" s="388"/>
      <c r="C159" s="409"/>
      <c r="D159" s="409"/>
      <c r="E159" s="410"/>
      <c r="F159" s="410"/>
      <c r="G159" s="366"/>
      <c r="H159" s="366"/>
      <c r="I159" s="366"/>
      <c r="J159" s="366"/>
      <c r="K159" s="366"/>
      <c r="L159" s="366"/>
      <c r="M159" s="366"/>
      <c r="N159" s="366"/>
      <c r="O159" s="362"/>
    </row>
    <row r="160" spans="1:15" x14ac:dyDescent="0.2">
      <c r="A160" s="390"/>
      <c r="B160" s="411"/>
      <c r="C160" s="409"/>
      <c r="D160" s="409"/>
      <c r="E160" s="410"/>
      <c r="F160" s="410"/>
      <c r="G160" s="366"/>
      <c r="H160" s="366"/>
      <c r="I160" s="366"/>
      <c r="J160" s="366"/>
      <c r="K160" s="366"/>
      <c r="L160" s="366"/>
      <c r="M160" s="366"/>
      <c r="N160" s="366"/>
      <c r="O160" s="362"/>
    </row>
    <row r="161" spans="1:15" x14ac:dyDescent="0.2">
      <c r="A161" s="233">
        <v>22</v>
      </c>
      <c r="B161" s="1092" t="s">
        <v>1028</v>
      </c>
      <c r="C161" s="1083"/>
      <c r="D161" s="1084"/>
      <c r="E161" s="353">
        <f>SUM(E159:E160)</f>
        <v>0</v>
      </c>
      <c r="F161" s="417"/>
      <c r="G161" s="353">
        <f>SUM(G159:G160)</f>
        <v>0</v>
      </c>
      <c r="H161" s="353">
        <f>SUM(H159:H160)</f>
        <v>0</v>
      </c>
      <c r="I161" s="353">
        <f>SUM(I159:I160)</f>
        <v>0</v>
      </c>
      <c r="J161" s="353">
        <f>SUM(J159:J160)</f>
        <v>0</v>
      </c>
      <c r="K161" s="378"/>
      <c r="L161" s="353">
        <f>SUM(L159:L160)</f>
        <v>0</v>
      </c>
      <c r="M161" s="353">
        <f>SUM(M159:M160)</f>
        <v>0</v>
      </c>
      <c r="N161" s="353">
        <f>SUM(N159:N160)</f>
        <v>0</v>
      </c>
      <c r="O161" s="353"/>
    </row>
    <row r="162" spans="1:15" ht="26.25" customHeight="1" x14ac:dyDescent="0.2">
      <c r="A162" s="233">
        <v>23</v>
      </c>
      <c r="B162" s="1079" t="s">
        <v>1520</v>
      </c>
      <c r="C162" s="1080"/>
      <c r="D162" s="1081"/>
      <c r="E162" s="366">
        <v>0</v>
      </c>
      <c r="F162" s="352"/>
      <c r="G162" s="352"/>
      <c r="H162" s="370"/>
      <c r="I162" s="370"/>
      <c r="J162" s="352"/>
      <c r="K162" s="370"/>
      <c r="L162" s="352"/>
      <c r="M162" s="352"/>
      <c r="N162" s="352"/>
      <c r="O162" s="225"/>
    </row>
    <row r="163" spans="1:15" x14ac:dyDescent="0.2">
      <c r="A163" s="242"/>
      <c r="B163" s="243"/>
      <c r="C163" s="244"/>
      <c r="D163" s="245"/>
      <c r="E163" s="352"/>
      <c r="F163" s="352"/>
      <c r="G163" s="352"/>
      <c r="H163" s="370"/>
      <c r="I163" s="370"/>
      <c r="J163" s="352"/>
      <c r="K163" s="370"/>
      <c r="L163" s="352"/>
      <c r="M163" s="352"/>
      <c r="N163" s="352"/>
      <c r="O163" s="225"/>
    </row>
    <row r="164" spans="1:15" x14ac:dyDescent="0.2">
      <c r="A164" s="242"/>
      <c r="B164" s="243" t="s">
        <v>1029</v>
      </c>
      <c r="C164" s="244"/>
      <c r="D164" s="245"/>
      <c r="E164" s="352"/>
      <c r="F164" s="352"/>
      <c r="G164" s="352"/>
      <c r="H164" s="370"/>
      <c r="I164" s="370"/>
      <c r="J164" s="352"/>
      <c r="K164" s="370"/>
      <c r="L164" s="352"/>
      <c r="M164" s="352"/>
      <c r="N164" s="352"/>
      <c r="O164" s="225"/>
    </row>
    <row r="165" spans="1:15" x14ac:dyDescent="0.2">
      <c r="A165" s="239" t="s">
        <v>1030</v>
      </c>
      <c r="B165" s="252">
        <v>417</v>
      </c>
      <c r="C165" s="359">
        <v>4863135</v>
      </c>
      <c r="D165" s="249" t="s">
        <v>1031</v>
      </c>
      <c r="E165" s="363">
        <v>0</v>
      </c>
      <c r="F165" s="356" t="str">
        <f t="shared" ref="F165:F179" si="33">$J$2</f>
        <v>GRSM</v>
      </c>
      <c r="G165" s="356">
        <f t="shared" ref="G165:G179" si="34">IF(F165=$G$2,E165,0)</f>
        <v>0</v>
      </c>
      <c r="H165" s="237">
        <v>0</v>
      </c>
      <c r="I165" s="237">
        <f t="shared" ref="I165:I179" si="35">G165-H165</f>
        <v>0</v>
      </c>
      <c r="J165" s="356">
        <f t="shared" ref="J165:J179" si="36">IF(F165=$J$2,E165,0)</f>
        <v>0</v>
      </c>
      <c r="K165" s="236" t="s">
        <v>733</v>
      </c>
      <c r="L165" s="360">
        <v>0</v>
      </c>
      <c r="M165" s="355">
        <f t="shared" ref="M165:M179" si="37">J165-L165</f>
        <v>0</v>
      </c>
      <c r="N165" s="356">
        <f t="shared" ref="N165:N179" si="38">IF(F165=$N$2,E165,0)</f>
        <v>0</v>
      </c>
      <c r="O165" s="241">
        <v>2</v>
      </c>
    </row>
    <row r="166" spans="1:15" x14ac:dyDescent="0.2">
      <c r="A166" s="239" t="s">
        <v>1032</v>
      </c>
      <c r="B166" s="252">
        <v>417</v>
      </c>
      <c r="C166" s="359">
        <v>4863130</v>
      </c>
      <c r="D166" s="249" t="s">
        <v>1033</v>
      </c>
      <c r="E166" s="363">
        <v>723784.85</v>
      </c>
      <c r="F166" s="356" t="str">
        <f t="shared" si="33"/>
        <v>GRSM</v>
      </c>
      <c r="G166" s="356">
        <f t="shared" si="34"/>
        <v>0</v>
      </c>
      <c r="H166" s="237">
        <v>0</v>
      </c>
      <c r="I166" s="237">
        <f t="shared" si="35"/>
        <v>0</v>
      </c>
      <c r="J166" s="356">
        <f t="shared" si="36"/>
        <v>723784.85</v>
      </c>
      <c r="K166" s="236" t="s">
        <v>733</v>
      </c>
      <c r="L166" s="360">
        <v>144486.95000000001</v>
      </c>
      <c r="M166" s="355">
        <f t="shared" si="37"/>
        <v>579297.89999999991</v>
      </c>
      <c r="N166" s="356">
        <f t="shared" si="38"/>
        <v>0</v>
      </c>
      <c r="O166" s="241">
        <v>2</v>
      </c>
    </row>
    <row r="167" spans="1:15" x14ac:dyDescent="0.2">
      <c r="A167" s="239" t="s">
        <v>1034</v>
      </c>
      <c r="B167" s="252">
        <v>417</v>
      </c>
      <c r="C167" s="359">
        <v>4862110</v>
      </c>
      <c r="D167" s="249" t="s">
        <v>1035</v>
      </c>
      <c r="E167" s="363">
        <v>5942547.3899999997</v>
      </c>
      <c r="F167" s="356" t="str">
        <f t="shared" si="33"/>
        <v>GRSM</v>
      </c>
      <c r="G167" s="356">
        <f t="shared" si="34"/>
        <v>0</v>
      </c>
      <c r="H167" s="237">
        <v>0</v>
      </c>
      <c r="I167" s="237">
        <f t="shared" si="35"/>
        <v>0</v>
      </c>
      <c r="J167" s="356">
        <f t="shared" si="36"/>
        <v>5942547.3899999997</v>
      </c>
      <c r="K167" s="236" t="s">
        <v>675</v>
      </c>
      <c r="L167" s="360">
        <v>1181066.6100000001</v>
      </c>
      <c r="M167" s="355">
        <f t="shared" si="37"/>
        <v>4761480.7799999993</v>
      </c>
      <c r="N167" s="356">
        <f t="shared" si="38"/>
        <v>0</v>
      </c>
      <c r="O167" s="241">
        <v>2</v>
      </c>
    </row>
    <row r="168" spans="1:15" x14ac:dyDescent="0.2">
      <c r="A168" s="239" t="s">
        <v>1036</v>
      </c>
      <c r="B168" s="252">
        <v>417</v>
      </c>
      <c r="C168" s="359">
        <v>4862115</v>
      </c>
      <c r="D168" s="249" t="s">
        <v>1037</v>
      </c>
      <c r="E168" s="363">
        <v>3328069.95</v>
      </c>
      <c r="F168" s="356" t="str">
        <f t="shared" si="33"/>
        <v>GRSM</v>
      </c>
      <c r="G168" s="356">
        <f t="shared" si="34"/>
        <v>0</v>
      </c>
      <c r="H168" s="237">
        <v>0</v>
      </c>
      <c r="I168" s="237">
        <f t="shared" si="35"/>
        <v>0</v>
      </c>
      <c r="J168" s="356">
        <f t="shared" si="36"/>
        <v>3328069.95</v>
      </c>
      <c r="K168" s="236" t="s">
        <v>675</v>
      </c>
      <c r="L168" s="360">
        <v>664284.31000000006</v>
      </c>
      <c r="M168" s="355">
        <f t="shared" si="37"/>
        <v>2663785.64</v>
      </c>
      <c r="N168" s="356">
        <f t="shared" si="38"/>
        <v>0</v>
      </c>
      <c r="O168" s="241">
        <v>2</v>
      </c>
    </row>
    <row r="169" spans="1:15" x14ac:dyDescent="0.2">
      <c r="A169" s="239" t="s">
        <v>1038</v>
      </c>
      <c r="B169" s="252">
        <v>417</v>
      </c>
      <c r="C169" s="359">
        <v>4862120</v>
      </c>
      <c r="D169" s="249" t="s">
        <v>1039</v>
      </c>
      <c r="E169" s="363">
        <v>202614.64</v>
      </c>
      <c r="F169" s="356" t="str">
        <f t="shared" si="33"/>
        <v>GRSM</v>
      </c>
      <c r="G169" s="356">
        <f t="shared" si="34"/>
        <v>0</v>
      </c>
      <c r="H169" s="237">
        <v>0</v>
      </c>
      <c r="I169" s="237">
        <f t="shared" si="35"/>
        <v>0</v>
      </c>
      <c r="J169" s="356">
        <f t="shared" si="36"/>
        <v>202614.64</v>
      </c>
      <c r="K169" s="236" t="s">
        <v>675</v>
      </c>
      <c r="L169" s="360">
        <v>52045.26</v>
      </c>
      <c r="M169" s="355">
        <f t="shared" si="37"/>
        <v>150569.38</v>
      </c>
      <c r="N169" s="356">
        <f t="shared" si="38"/>
        <v>0</v>
      </c>
      <c r="O169" s="241">
        <v>2</v>
      </c>
    </row>
    <row r="170" spans="1:15" x14ac:dyDescent="0.2">
      <c r="A170" s="239" t="s">
        <v>1040</v>
      </c>
      <c r="B170" s="252">
        <v>417</v>
      </c>
      <c r="C170" s="359">
        <v>4862135</v>
      </c>
      <c r="D170" s="249" t="s">
        <v>1041</v>
      </c>
      <c r="E170" s="363">
        <v>26678811.129999999</v>
      </c>
      <c r="F170" s="356" t="str">
        <f t="shared" si="33"/>
        <v>GRSM</v>
      </c>
      <c r="G170" s="356">
        <f t="shared" si="34"/>
        <v>0</v>
      </c>
      <c r="H170" s="237">
        <v>0</v>
      </c>
      <c r="I170" s="237">
        <f t="shared" si="35"/>
        <v>0</v>
      </c>
      <c r="J170" s="356">
        <f t="shared" si="36"/>
        <v>26678811.129999999</v>
      </c>
      <c r="K170" s="236" t="s">
        <v>675</v>
      </c>
      <c r="L170" s="360">
        <v>5242135.93</v>
      </c>
      <c r="M170" s="355">
        <f t="shared" si="37"/>
        <v>21436675.199999999</v>
      </c>
      <c r="N170" s="356">
        <f t="shared" si="38"/>
        <v>0</v>
      </c>
      <c r="O170" s="241">
        <v>2</v>
      </c>
    </row>
    <row r="171" spans="1:15" x14ac:dyDescent="0.2">
      <c r="A171" s="239" t="s">
        <v>1042</v>
      </c>
      <c r="B171" s="252">
        <v>417</v>
      </c>
      <c r="C171" s="359">
        <v>4864110</v>
      </c>
      <c r="D171" s="249" t="s">
        <v>1043</v>
      </c>
      <c r="E171" s="363">
        <v>0</v>
      </c>
      <c r="F171" s="356" t="str">
        <f t="shared" si="33"/>
        <v>GRSM</v>
      </c>
      <c r="G171" s="356">
        <f t="shared" si="34"/>
        <v>0</v>
      </c>
      <c r="H171" s="237">
        <v>0</v>
      </c>
      <c r="I171" s="237">
        <f t="shared" si="35"/>
        <v>0</v>
      </c>
      <c r="J171" s="356">
        <f t="shared" si="36"/>
        <v>0</v>
      </c>
      <c r="K171" s="236" t="s">
        <v>675</v>
      </c>
      <c r="L171" s="360">
        <v>0</v>
      </c>
      <c r="M171" s="355">
        <f t="shared" si="37"/>
        <v>0</v>
      </c>
      <c r="N171" s="356">
        <f t="shared" si="38"/>
        <v>0</v>
      </c>
      <c r="O171" s="241">
        <v>2</v>
      </c>
    </row>
    <row r="172" spans="1:15" x14ac:dyDescent="0.2">
      <c r="A172" s="239" t="s">
        <v>1044</v>
      </c>
      <c r="B172" s="252">
        <v>417</v>
      </c>
      <c r="C172" s="359">
        <v>4864115</v>
      </c>
      <c r="D172" s="249" t="s">
        <v>1045</v>
      </c>
      <c r="E172" s="363">
        <v>477484.81</v>
      </c>
      <c r="F172" s="356" t="str">
        <f t="shared" si="33"/>
        <v>GRSM</v>
      </c>
      <c r="G172" s="356">
        <f t="shared" si="34"/>
        <v>0</v>
      </c>
      <c r="H172" s="237">
        <v>0</v>
      </c>
      <c r="I172" s="237">
        <f t="shared" si="35"/>
        <v>0</v>
      </c>
      <c r="J172" s="356">
        <f t="shared" si="36"/>
        <v>477484.81</v>
      </c>
      <c r="K172" s="236" t="s">
        <v>675</v>
      </c>
      <c r="L172" s="360">
        <v>70312.05</v>
      </c>
      <c r="M172" s="355">
        <f t="shared" si="37"/>
        <v>407172.76</v>
      </c>
      <c r="N172" s="356">
        <f t="shared" si="38"/>
        <v>0</v>
      </c>
      <c r="O172" s="241">
        <v>2</v>
      </c>
    </row>
    <row r="173" spans="1:15" x14ac:dyDescent="0.2">
      <c r="A173" s="239" t="s">
        <v>1046</v>
      </c>
      <c r="B173" s="252">
        <v>417</v>
      </c>
      <c r="C173" s="359">
        <v>4862125</v>
      </c>
      <c r="D173" s="249" t="s">
        <v>1047</v>
      </c>
      <c r="E173" s="363">
        <v>12879472.68</v>
      </c>
      <c r="F173" s="356" t="str">
        <f t="shared" si="33"/>
        <v>GRSM</v>
      </c>
      <c r="G173" s="356">
        <f t="shared" si="34"/>
        <v>0</v>
      </c>
      <c r="H173" s="237">
        <v>0</v>
      </c>
      <c r="I173" s="237">
        <f t="shared" si="35"/>
        <v>0</v>
      </c>
      <c r="J173" s="356">
        <f t="shared" si="36"/>
        <v>12879472.68</v>
      </c>
      <c r="K173" s="236" t="s">
        <v>675</v>
      </c>
      <c r="L173" s="360">
        <v>2560286.37</v>
      </c>
      <c r="M173" s="355">
        <f t="shared" si="37"/>
        <v>10319186.309999999</v>
      </c>
      <c r="N173" s="356">
        <f t="shared" si="38"/>
        <v>0</v>
      </c>
      <c r="O173" s="241">
        <v>2</v>
      </c>
    </row>
    <row r="174" spans="1:15" x14ac:dyDescent="0.2">
      <c r="A174" s="239" t="s">
        <v>1048</v>
      </c>
      <c r="B174" s="252">
        <v>417</v>
      </c>
      <c r="C174" s="359">
        <v>4862130</v>
      </c>
      <c r="D174" s="249" t="s">
        <v>1049</v>
      </c>
      <c r="E174" s="363">
        <v>1850035.85</v>
      </c>
      <c r="F174" s="356" t="str">
        <f t="shared" si="33"/>
        <v>GRSM</v>
      </c>
      <c r="G174" s="356">
        <f t="shared" si="34"/>
        <v>0</v>
      </c>
      <c r="H174" s="237">
        <v>0</v>
      </c>
      <c r="I174" s="237">
        <f t="shared" si="35"/>
        <v>0</v>
      </c>
      <c r="J174" s="356">
        <f t="shared" si="36"/>
        <v>1850035.85</v>
      </c>
      <c r="K174" s="236" t="s">
        <v>675</v>
      </c>
      <c r="L174" s="360">
        <v>315656.76</v>
      </c>
      <c r="M174" s="355">
        <f t="shared" si="37"/>
        <v>1534379.09</v>
      </c>
      <c r="N174" s="356">
        <f t="shared" si="38"/>
        <v>0</v>
      </c>
      <c r="O174" s="241">
        <v>2</v>
      </c>
    </row>
    <row r="175" spans="1:15" x14ac:dyDescent="0.2">
      <c r="A175" s="239" t="s">
        <v>1050</v>
      </c>
      <c r="B175" s="252">
        <v>417</v>
      </c>
      <c r="C175" s="359">
        <v>4863120</v>
      </c>
      <c r="D175" s="249" t="s">
        <v>1051</v>
      </c>
      <c r="E175" s="363">
        <v>376315.2</v>
      </c>
      <c r="F175" s="356" t="str">
        <f t="shared" si="33"/>
        <v>GRSM</v>
      </c>
      <c r="G175" s="356">
        <f t="shared" si="34"/>
        <v>0</v>
      </c>
      <c r="H175" s="237">
        <v>0</v>
      </c>
      <c r="I175" s="237">
        <f t="shared" si="35"/>
        <v>0</v>
      </c>
      <c r="J175" s="356">
        <f t="shared" si="36"/>
        <v>376315.2</v>
      </c>
      <c r="K175" s="236" t="s">
        <v>733</v>
      </c>
      <c r="L175" s="360">
        <v>67907.350000000006</v>
      </c>
      <c r="M175" s="355">
        <f t="shared" si="37"/>
        <v>308407.84999999998</v>
      </c>
      <c r="N175" s="356">
        <f t="shared" si="38"/>
        <v>0</v>
      </c>
      <c r="O175" s="241">
        <v>2</v>
      </c>
    </row>
    <row r="176" spans="1:15" x14ac:dyDescent="0.2">
      <c r="A176" s="239" t="s">
        <v>1052</v>
      </c>
      <c r="B176" s="252">
        <v>417</v>
      </c>
      <c r="C176" s="359">
        <v>4863110</v>
      </c>
      <c r="D176" s="249" t="s">
        <v>1053</v>
      </c>
      <c r="E176" s="363">
        <v>2823127.66</v>
      </c>
      <c r="F176" s="356" t="str">
        <f t="shared" si="33"/>
        <v>GRSM</v>
      </c>
      <c r="G176" s="356">
        <f t="shared" si="34"/>
        <v>0</v>
      </c>
      <c r="H176" s="237">
        <v>0</v>
      </c>
      <c r="I176" s="237">
        <f t="shared" si="35"/>
        <v>0</v>
      </c>
      <c r="J176" s="356">
        <f t="shared" si="36"/>
        <v>2823127.66</v>
      </c>
      <c r="K176" s="236" t="s">
        <v>733</v>
      </c>
      <c r="L176" s="360">
        <v>562711.26</v>
      </c>
      <c r="M176" s="355">
        <f t="shared" si="37"/>
        <v>2260416.4000000004</v>
      </c>
      <c r="N176" s="356">
        <f t="shared" si="38"/>
        <v>0</v>
      </c>
      <c r="O176" s="241">
        <v>2</v>
      </c>
    </row>
    <row r="177" spans="1:15" x14ac:dyDescent="0.2">
      <c r="A177" s="239" t="s">
        <v>1054</v>
      </c>
      <c r="B177" s="252">
        <v>417</v>
      </c>
      <c r="C177" s="359">
        <v>4863115</v>
      </c>
      <c r="D177" s="249" t="s">
        <v>1055</v>
      </c>
      <c r="E177" s="363">
        <v>260832.9</v>
      </c>
      <c r="F177" s="356" t="str">
        <f t="shared" si="33"/>
        <v>GRSM</v>
      </c>
      <c r="G177" s="356">
        <f t="shared" si="34"/>
        <v>0</v>
      </c>
      <c r="H177" s="237">
        <v>0</v>
      </c>
      <c r="I177" s="237">
        <f t="shared" si="35"/>
        <v>0</v>
      </c>
      <c r="J177" s="356">
        <f t="shared" si="36"/>
        <v>260832.9</v>
      </c>
      <c r="K177" s="236" t="s">
        <v>733</v>
      </c>
      <c r="L177" s="360">
        <v>133302.35999999999</v>
      </c>
      <c r="M177" s="355">
        <f t="shared" si="37"/>
        <v>127530.54000000001</v>
      </c>
      <c r="N177" s="356">
        <f t="shared" si="38"/>
        <v>0</v>
      </c>
      <c r="O177" s="241">
        <v>2</v>
      </c>
    </row>
    <row r="178" spans="1:15" x14ac:dyDescent="0.2">
      <c r="A178" s="239" t="s">
        <v>1056</v>
      </c>
      <c r="B178" s="252">
        <v>417</v>
      </c>
      <c r="C178" s="359">
        <v>4863125</v>
      </c>
      <c r="D178" s="249" t="s">
        <v>1057</v>
      </c>
      <c r="E178" s="363">
        <v>818764.6</v>
      </c>
      <c r="F178" s="356" t="str">
        <f t="shared" si="33"/>
        <v>GRSM</v>
      </c>
      <c r="G178" s="356">
        <f t="shared" si="34"/>
        <v>0</v>
      </c>
      <c r="H178" s="237">
        <v>0</v>
      </c>
      <c r="I178" s="237">
        <f t="shared" si="35"/>
        <v>0</v>
      </c>
      <c r="J178" s="356">
        <f t="shared" si="36"/>
        <v>818764.6</v>
      </c>
      <c r="K178" s="236" t="s">
        <v>733</v>
      </c>
      <c r="L178" s="360">
        <v>185902.11</v>
      </c>
      <c r="M178" s="355">
        <f t="shared" si="37"/>
        <v>632862.49</v>
      </c>
      <c r="N178" s="356">
        <f t="shared" si="38"/>
        <v>0</v>
      </c>
      <c r="O178" s="241">
        <v>2</v>
      </c>
    </row>
    <row r="179" spans="1:15" x14ac:dyDescent="0.2">
      <c r="A179" s="239" t="s">
        <v>1058</v>
      </c>
      <c r="B179" s="252">
        <v>417</v>
      </c>
      <c r="C179" s="359">
        <v>4864120</v>
      </c>
      <c r="D179" s="249" t="s">
        <v>1059</v>
      </c>
      <c r="E179" s="363">
        <v>21837.84</v>
      </c>
      <c r="F179" s="356" t="str">
        <f t="shared" si="33"/>
        <v>GRSM</v>
      </c>
      <c r="G179" s="356">
        <f t="shared" si="34"/>
        <v>0</v>
      </c>
      <c r="H179" s="237">
        <v>0</v>
      </c>
      <c r="I179" s="237">
        <f t="shared" si="35"/>
        <v>0</v>
      </c>
      <c r="J179" s="356">
        <f t="shared" si="36"/>
        <v>21837.84</v>
      </c>
      <c r="K179" s="236" t="s">
        <v>675</v>
      </c>
      <c r="L179" s="360">
        <v>4478.51</v>
      </c>
      <c r="M179" s="355">
        <f t="shared" si="37"/>
        <v>17359.330000000002</v>
      </c>
      <c r="N179" s="356">
        <f t="shared" si="38"/>
        <v>0</v>
      </c>
      <c r="O179" s="241">
        <v>2</v>
      </c>
    </row>
    <row r="180" spans="1:15" x14ac:dyDescent="0.2">
      <c r="A180" s="390"/>
      <c r="B180" s="388"/>
      <c r="C180" s="389"/>
      <c r="D180" s="387"/>
      <c r="E180" s="367"/>
      <c r="F180" s="367"/>
      <c r="G180" s="364"/>
      <c r="H180" s="362"/>
      <c r="I180" s="362"/>
      <c r="J180" s="360"/>
      <c r="K180" s="361"/>
      <c r="L180" s="360"/>
      <c r="M180" s="360"/>
      <c r="N180" s="360"/>
      <c r="O180" s="361"/>
    </row>
    <row r="181" spans="1:15" x14ac:dyDescent="0.2">
      <c r="A181" s="390"/>
      <c r="B181" s="388"/>
      <c r="C181" s="389"/>
      <c r="D181" s="387"/>
      <c r="E181" s="367"/>
      <c r="F181" s="367"/>
      <c r="G181" s="364"/>
      <c r="H181" s="362"/>
      <c r="I181" s="362"/>
      <c r="J181" s="360"/>
      <c r="K181" s="361"/>
      <c r="L181" s="360"/>
      <c r="M181" s="360"/>
      <c r="N181" s="360"/>
      <c r="O181" s="361"/>
    </row>
    <row r="182" spans="1:15" x14ac:dyDescent="0.2">
      <c r="A182" s="239">
        <v>25</v>
      </c>
      <c r="B182" s="1082" t="s">
        <v>1060</v>
      </c>
      <c r="C182" s="1083"/>
      <c r="D182" s="1084"/>
      <c r="E182" s="353">
        <f>SUM(E165:E181)</f>
        <v>56383699.500000015</v>
      </c>
      <c r="F182" s="378"/>
      <c r="G182" s="353">
        <f>SUM(G165:G181)</f>
        <v>0</v>
      </c>
      <c r="H182" s="369">
        <f>SUM(H165:H181)</f>
        <v>0</v>
      </c>
      <c r="I182" s="369">
        <f>SUM(I165:I181)</f>
        <v>0</v>
      </c>
      <c r="J182" s="353">
        <f>SUM(J165:J181)</f>
        <v>56383699.500000015</v>
      </c>
      <c r="K182" s="378"/>
      <c r="L182" s="353">
        <f>SUM(L165:L181)</f>
        <v>11184575.829999998</v>
      </c>
      <c r="M182" s="353">
        <f>SUM(M165:M181)</f>
        <v>45199123.670000002</v>
      </c>
      <c r="N182" s="353">
        <f>SUM(N165:N181)</f>
        <v>0</v>
      </c>
      <c r="O182" s="226"/>
    </row>
    <row r="183" spans="1:15" x14ac:dyDescent="0.2">
      <c r="A183" s="239">
        <v>26</v>
      </c>
      <c r="B183" s="1082" t="s">
        <v>1061</v>
      </c>
      <c r="C183" s="1083"/>
      <c r="D183" s="1084"/>
      <c r="E183" s="366">
        <v>6245259.5</v>
      </c>
      <c r="F183" s="354"/>
      <c r="G183" s="352"/>
      <c r="H183" s="370"/>
      <c r="I183" s="370"/>
      <c r="J183" s="352"/>
      <c r="K183" s="370"/>
      <c r="L183" s="352"/>
      <c r="M183" s="352"/>
      <c r="N183" s="352"/>
      <c r="O183" s="225"/>
    </row>
    <row r="184" spans="1:15" ht="25.5" customHeight="1" x14ac:dyDescent="0.2">
      <c r="A184" s="239">
        <v>27</v>
      </c>
      <c r="B184" s="1087" t="s">
        <v>1522</v>
      </c>
      <c r="C184" s="1088"/>
      <c r="D184" s="1089"/>
      <c r="E184" s="366">
        <v>62628959</v>
      </c>
      <c r="F184" s="412" t="s">
        <v>379</v>
      </c>
    </row>
    <row r="185" spans="1:15" x14ac:dyDescent="0.2">
      <c r="A185" s="247"/>
    </row>
    <row r="186" spans="1:15" x14ac:dyDescent="0.2">
      <c r="B186" s="40" t="s">
        <v>1062</v>
      </c>
    </row>
    <row r="187" spans="1:15" x14ac:dyDescent="0.2">
      <c r="A187" s="241" t="s">
        <v>1063</v>
      </c>
      <c r="B187" s="1085">
        <v>418.1</v>
      </c>
      <c r="C187" s="1086"/>
      <c r="D187" s="249" t="s">
        <v>1064</v>
      </c>
      <c r="E187" s="363">
        <v>12349614</v>
      </c>
      <c r="F187" s="356" t="str">
        <f>$J$2</f>
        <v>GRSM</v>
      </c>
      <c r="G187" s="356">
        <f>IF(F187=$G$2,E187,0)</f>
        <v>0</v>
      </c>
      <c r="H187" s="236">
        <v>0</v>
      </c>
      <c r="I187" s="237">
        <f>G187-H187</f>
        <v>0</v>
      </c>
      <c r="J187" s="356">
        <f>IF(F187=$J$2,E187,0)</f>
        <v>12349614</v>
      </c>
      <c r="K187" s="396" t="s">
        <v>675</v>
      </c>
      <c r="L187" s="360">
        <v>1848232.51</v>
      </c>
      <c r="M187" s="238">
        <f>J187-L187</f>
        <v>10501381.49</v>
      </c>
      <c r="N187" s="356">
        <f>IF(F187=$N$2,E187,0)</f>
        <v>0</v>
      </c>
      <c r="O187" s="241" t="s">
        <v>1065</v>
      </c>
    </row>
    <row r="188" spans="1:15" x14ac:dyDescent="0.2">
      <c r="A188" s="241" t="s">
        <v>1066</v>
      </c>
      <c r="B188" s="1085">
        <v>418.1</v>
      </c>
      <c r="C188" s="1086"/>
      <c r="D188" s="249" t="s">
        <v>1067</v>
      </c>
      <c r="E188" s="363">
        <v>253421</v>
      </c>
      <c r="F188" s="356" t="str">
        <f>$J$2</f>
        <v>GRSM</v>
      </c>
      <c r="G188" s="356">
        <f>IF(F188=$G$2,E188,0)</f>
        <v>0</v>
      </c>
      <c r="H188" s="236">
        <v>0</v>
      </c>
      <c r="I188" s="237">
        <f>G188-H188</f>
        <v>0</v>
      </c>
      <c r="J188" s="356">
        <f>IF(F188=$J$2,E188,0)</f>
        <v>253421</v>
      </c>
      <c r="K188" s="396" t="s">
        <v>733</v>
      </c>
      <c r="L188" s="360">
        <v>0</v>
      </c>
      <c r="M188" s="238">
        <f>J188-L188</f>
        <v>253421</v>
      </c>
      <c r="N188" s="356">
        <f>IF(F188=$N$2,E188,0)</f>
        <v>0</v>
      </c>
      <c r="O188" s="241" t="s">
        <v>1065</v>
      </c>
    </row>
    <row r="189" spans="1:15" x14ac:dyDescent="0.2">
      <c r="A189" s="241" t="s">
        <v>1068</v>
      </c>
      <c r="B189" s="1085">
        <v>418.1</v>
      </c>
      <c r="C189" s="1086"/>
      <c r="D189" s="844" t="s">
        <v>2158</v>
      </c>
      <c r="E189" s="363">
        <v>0</v>
      </c>
      <c r="F189" s="845" t="s">
        <v>690</v>
      </c>
      <c r="G189" s="356">
        <f>IF(F189=$G$2,E189,0)</f>
        <v>0</v>
      </c>
      <c r="H189" s="236">
        <v>0</v>
      </c>
      <c r="I189" s="237">
        <f>G189-H189</f>
        <v>0</v>
      </c>
      <c r="J189" s="356">
        <f>IF(F189=$J$2,E189,0)</f>
        <v>0</v>
      </c>
      <c r="K189" s="846" t="s">
        <v>733</v>
      </c>
      <c r="L189" s="360"/>
      <c r="M189" s="238">
        <f>J189-L189</f>
        <v>0</v>
      </c>
      <c r="N189" s="356">
        <f>IF(F189=$N$2,E189,0)</f>
        <v>0</v>
      </c>
      <c r="O189" s="841" t="s">
        <v>2159</v>
      </c>
    </row>
    <row r="190" spans="1:15" x14ac:dyDescent="0.2">
      <c r="A190" s="241" t="s">
        <v>1071</v>
      </c>
      <c r="B190" s="1085">
        <v>418.1</v>
      </c>
      <c r="C190" s="1086"/>
      <c r="D190" s="249" t="s">
        <v>1069</v>
      </c>
      <c r="E190" s="363">
        <v>-1067</v>
      </c>
      <c r="F190" s="356" t="str">
        <f>$G$2</f>
        <v>Traditional OOR</v>
      </c>
      <c r="G190" s="356">
        <f>IF(F190=$G$2,E190,0)</f>
        <v>-1067</v>
      </c>
      <c r="H190" s="237">
        <f>E190*$D$232</f>
        <v>-45.816980000000001</v>
      </c>
      <c r="I190" s="237">
        <f>G190-H190</f>
        <v>-1021.1830199999999</v>
      </c>
      <c r="J190" s="356">
        <f>IF(F190=$J$2,E190,0)</f>
        <v>0</v>
      </c>
      <c r="K190" s="396"/>
      <c r="L190" s="360"/>
      <c r="M190" s="238">
        <f>J190-L190</f>
        <v>0</v>
      </c>
      <c r="N190" s="356">
        <f>IF(F190=$N$2,E190,0)</f>
        <v>0</v>
      </c>
      <c r="O190" s="241" t="s">
        <v>1070</v>
      </c>
    </row>
    <row r="191" spans="1:15" x14ac:dyDescent="0.2">
      <c r="A191" s="843" t="s">
        <v>1449</v>
      </c>
      <c r="B191" s="1085">
        <v>418.1</v>
      </c>
      <c r="C191" s="1086"/>
      <c r="D191" s="249" t="s">
        <v>1072</v>
      </c>
      <c r="E191" s="363">
        <v>-1100</v>
      </c>
      <c r="F191" s="356" t="str">
        <f>$G$2</f>
        <v>Traditional OOR</v>
      </c>
      <c r="G191" s="356">
        <f>IF(F191=$G$2,E191,0)</f>
        <v>-1100</v>
      </c>
      <c r="H191" s="237">
        <f>E191*$D$232</f>
        <v>-47.234000000000002</v>
      </c>
      <c r="I191" s="237">
        <f>G191-H191</f>
        <v>-1052.7660000000001</v>
      </c>
      <c r="J191" s="356">
        <f>IF(F191=$J$2,E191,0)</f>
        <v>0</v>
      </c>
      <c r="K191" s="396"/>
      <c r="L191" s="360"/>
      <c r="M191" s="238">
        <f>J191-L191</f>
        <v>0</v>
      </c>
      <c r="N191" s="356">
        <f>IF(F191=$N$2,E191,0)</f>
        <v>0</v>
      </c>
      <c r="O191" s="241" t="s">
        <v>1073</v>
      </c>
    </row>
    <row r="192" spans="1:15" x14ac:dyDescent="0.2">
      <c r="A192" s="1018"/>
      <c r="B192" s="1033"/>
      <c r="C192" s="405"/>
      <c r="D192" s="1019"/>
      <c r="E192" s="363"/>
      <c r="F192" s="715"/>
      <c r="G192" s="364"/>
      <c r="H192" s="361"/>
      <c r="I192" s="362"/>
      <c r="J192" s="360"/>
      <c r="K192" s="407"/>
      <c r="L192" s="360"/>
      <c r="M192" s="408"/>
      <c r="N192" s="360"/>
      <c r="O192" s="361"/>
    </row>
    <row r="193" spans="1:15" x14ac:dyDescent="0.2">
      <c r="A193" s="361"/>
      <c r="B193" s="404"/>
      <c r="C193" s="405"/>
      <c r="D193" s="406"/>
      <c r="E193" s="363"/>
      <c r="F193" s="360"/>
      <c r="G193" s="364"/>
      <c r="H193" s="361"/>
      <c r="I193" s="362"/>
      <c r="J193" s="360"/>
      <c r="K193" s="407"/>
      <c r="L193" s="360"/>
      <c r="M193" s="408"/>
      <c r="N193" s="360"/>
      <c r="O193" s="361"/>
    </row>
    <row r="194" spans="1:15" x14ac:dyDescent="0.2">
      <c r="A194" s="241">
        <v>29</v>
      </c>
      <c r="B194" s="1082" t="s">
        <v>1074</v>
      </c>
      <c r="C194" s="1083"/>
      <c r="D194" s="1084"/>
      <c r="E194" s="502">
        <f>SUM(E187:E193)</f>
        <v>12600868</v>
      </c>
      <c r="F194" s="416"/>
      <c r="G194" s="504">
        <f>SUM(G187:G193)</f>
        <v>-2167</v>
      </c>
      <c r="H194" s="504">
        <f>SUM(H187:H193)</f>
        <v>-93.05098000000001</v>
      </c>
      <c r="I194" s="504">
        <f>SUM(I187:I193)</f>
        <v>-2073.94902</v>
      </c>
      <c r="J194" s="502">
        <f>SUM(J187:J193)</f>
        <v>12603035</v>
      </c>
      <c r="K194" s="379"/>
      <c r="L194" s="502">
        <f>SUM(L187:L193)</f>
        <v>1848232.51</v>
      </c>
      <c r="M194" s="502">
        <f>SUM(M187:M193)</f>
        <v>10754802.49</v>
      </c>
      <c r="N194" s="502">
        <f>SUM(N187:N193)</f>
        <v>0</v>
      </c>
      <c r="O194" s="226"/>
    </row>
    <row r="195" spans="1:15" x14ac:dyDescent="0.2">
      <c r="A195" s="241">
        <v>30</v>
      </c>
      <c r="B195" s="1082" t="s">
        <v>1075</v>
      </c>
      <c r="C195" s="1083"/>
      <c r="D195" s="1084"/>
      <c r="E195" s="503">
        <v>-12199685</v>
      </c>
      <c r="F195" s="415"/>
      <c r="G195" s="415"/>
      <c r="H195" s="415"/>
      <c r="I195" s="415"/>
      <c r="J195" s="414"/>
      <c r="K195" s="415"/>
      <c r="L195" s="414"/>
      <c r="M195" s="414"/>
      <c r="N195" s="414"/>
      <c r="O195" s="225"/>
    </row>
    <row r="196" spans="1:15" ht="25.5" customHeight="1" x14ac:dyDescent="0.2">
      <c r="A196" s="241">
        <v>31</v>
      </c>
      <c r="B196" s="1090" t="s">
        <v>1521</v>
      </c>
      <c r="C196" s="1091"/>
      <c r="D196" s="1091"/>
      <c r="E196" s="503">
        <v>401183</v>
      </c>
      <c r="F196" s="415"/>
      <c r="G196" s="415"/>
      <c r="H196" s="415"/>
      <c r="I196" s="415"/>
      <c r="J196" s="414"/>
      <c r="K196" s="415"/>
      <c r="L196" s="414"/>
      <c r="M196" s="414"/>
      <c r="N196" s="414"/>
      <c r="O196" s="225"/>
    </row>
    <row r="197" spans="1:15" x14ac:dyDescent="0.2">
      <c r="A197" s="247"/>
    </row>
    <row r="198" spans="1:15" x14ac:dyDescent="0.2">
      <c r="A198" s="241">
        <v>32</v>
      </c>
      <c r="B198" s="383"/>
      <c r="C198" s="382"/>
      <c r="D198" s="257" t="s">
        <v>1076</v>
      </c>
      <c r="E198" s="505">
        <f>E9+E27+E35+E66+E127+E151+E156+E161+E182+E194</f>
        <v>421493322.59000003</v>
      </c>
      <c r="F198" s="506"/>
      <c r="G198" s="505">
        <f>G9+G27+G35+G66+G127+G151+G156+G161+G182+G194</f>
        <v>174272664.45721018</v>
      </c>
      <c r="H198" s="505">
        <f>H9+H27+H35+H66+H127+H151+H156+H161+H182+H194</f>
        <v>40018254.011224397</v>
      </c>
      <c r="I198" s="505">
        <f>I9+I27+I35+I66+I127+I151+I156+I161+I182+I194</f>
        <v>134254410.44598579</v>
      </c>
      <c r="J198" s="505">
        <f>J9+J27+J35+J66+J127+J151+J156+J161+J182+J194</f>
        <v>93887855.62000002</v>
      </c>
      <c r="K198" s="506"/>
      <c r="L198" s="505">
        <f>L9+L27+L35+L66+L127+L151+L156+L161+L182+L194</f>
        <v>16671388.919999998</v>
      </c>
      <c r="M198" s="505">
        <f>M9+M27+M35+M66+M127+M151+M156+M161+M182+M194</f>
        <v>77216466.700000003</v>
      </c>
      <c r="N198" s="505">
        <f>N9+N27+N35+N66+N127+N151+N156+N161+N182+N194</f>
        <v>151455902.51278985</v>
      </c>
      <c r="O198" s="226"/>
    </row>
    <row r="199" spans="1:15" x14ac:dyDescent="0.2">
      <c r="A199" s="258"/>
      <c r="B199" s="259"/>
      <c r="C199" s="258"/>
      <c r="E199" s="247"/>
      <c r="F199" s="247"/>
      <c r="G199" s="357"/>
      <c r="J199" s="374"/>
      <c r="K199" s="373"/>
      <c r="N199" s="357"/>
    </row>
    <row r="200" spans="1:15" x14ac:dyDescent="0.2">
      <c r="A200" s="258"/>
      <c r="B200" s="259"/>
      <c r="C200" s="258"/>
      <c r="E200" s="247"/>
      <c r="F200" s="247" t="s">
        <v>178</v>
      </c>
      <c r="J200" s="374"/>
      <c r="K200" s="373"/>
      <c r="N200" s="357"/>
    </row>
    <row r="201" spans="1:15" x14ac:dyDescent="0.2">
      <c r="A201" s="241">
        <v>33</v>
      </c>
      <c r="B201" s="403"/>
      <c r="C201" s="403"/>
      <c r="D201" s="399" t="s">
        <v>1077</v>
      </c>
      <c r="E201" s="395">
        <f>L198</f>
        <v>16671388.919999998</v>
      </c>
      <c r="F201" s="397" t="s">
        <v>1078</v>
      </c>
      <c r="G201" s="357"/>
      <c r="N201" s="357"/>
    </row>
    <row r="202" spans="1:15" x14ac:dyDescent="0.2">
      <c r="A202" s="241">
        <v>34</v>
      </c>
      <c r="B202" s="403"/>
      <c r="C202" s="403"/>
      <c r="D202" s="399" t="s">
        <v>1079</v>
      </c>
      <c r="E202" s="400">
        <f>5.425/16.671</f>
        <v>0.32541539199808051</v>
      </c>
      <c r="F202" s="397" t="s">
        <v>1080</v>
      </c>
      <c r="G202" s="357"/>
      <c r="N202" s="357"/>
    </row>
    <row r="203" spans="1:15" x14ac:dyDescent="0.2">
      <c r="A203" s="241">
        <v>35</v>
      </c>
      <c r="B203" s="403"/>
      <c r="C203" s="403"/>
      <c r="D203" s="399" t="s">
        <v>1081</v>
      </c>
      <c r="E203" s="395">
        <f>E201*E202</f>
        <v>5425126.5605542557</v>
      </c>
      <c r="F203" s="397" t="s">
        <v>1082</v>
      </c>
      <c r="G203" s="357"/>
      <c r="N203" s="357"/>
    </row>
    <row r="204" spans="1:15" x14ac:dyDescent="0.2">
      <c r="A204" s="241">
        <v>36</v>
      </c>
      <c r="B204" s="403"/>
      <c r="C204" s="403"/>
      <c r="D204" s="401"/>
      <c r="E204" s="350"/>
      <c r="F204" s="398"/>
      <c r="G204" s="357"/>
      <c r="N204" s="357"/>
    </row>
    <row r="205" spans="1:15" x14ac:dyDescent="0.2">
      <c r="A205" s="241">
        <v>37</v>
      </c>
      <c r="B205" s="403"/>
      <c r="C205" s="403"/>
      <c r="D205" s="399" t="s">
        <v>1083</v>
      </c>
      <c r="E205" s="395">
        <f>SUMIF(K4:K188,"=A",M4:M188)</f>
        <v>51806740.840000004</v>
      </c>
      <c r="F205" s="397" t="s">
        <v>1084</v>
      </c>
      <c r="G205" s="357"/>
      <c r="N205" s="357"/>
    </row>
    <row r="206" spans="1:15" x14ac:dyDescent="0.2">
      <c r="A206" s="241">
        <v>38</v>
      </c>
      <c r="B206" s="392"/>
      <c r="C206" s="392"/>
      <c r="D206" s="399" t="s">
        <v>1085</v>
      </c>
      <c r="E206" s="395">
        <f>0.1*E205</f>
        <v>5180674.0840000007</v>
      </c>
      <c r="F206" s="260" t="s">
        <v>1086</v>
      </c>
      <c r="G206" s="256"/>
      <c r="H206" s="376"/>
      <c r="I206" s="377"/>
    </row>
    <row r="207" spans="1:15" x14ac:dyDescent="0.2">
      <c r="A207" s="241">
        <v>39</v>
      </c>
      <c r="B207" s="392"/>
      <c r="C207" s="392"/>
      <c r="D207" s="399" t="s">
        <v>1087</v>
      </c>
      <c r="E207" s="395">
        <f>SUMIF(K4:K191,"=P",M4:M191)</f>
        <v>25409725.859999996</v>
      </c>
      <c r="F207" s="260" t="s">
        <v>1088</v>
      </c>
      <c r="G207" s="256"/>
      <c r="H207" s="247"/>
      <c r="I207" s="377"/>
    </row>
    <row r="208" spans="1:15" x14ac:dyDescent="0.2">
      <c r="A208" s="241">
        <v>40</v>
      </c>
      <c r="B208" s="392"/>
      <c r="C208" s="392"/>
      <c r="D208" s="399" t="s">
        <v>1089</v>
      </c>
      <c r="E208" s="395">
        <f>0.3*E207</f>
        <v>7622917.7579999985</v>
      </c>
      <c r="F208" s="260" t="s">
        <v>1090</v>
      </c>
      <c r="G208" s="256"/>
      <c r="H208" s="376"/>
      <c r="I208" s="377"/>
    </row>
    <row r="209" spans="1:254" x14ac:dyDescent="0.2">
      <c r="A209" s="241">
        <v>41</v>
      </c>
      <c r="B209" s="392"/>
      <c r="C209" s="392"/>
      <c r="D209" s="399" t="s">
        <v>1091</v>
      </c>
      <c r="E209" s="395">
        <f>E206+E208</f>
        <v>12803591.842</v>
      </c>
      <c r="F209" s="397" t="s">
        <v>1092</v>
      </c>
    </row>
    <row r="210" spans="1:254" x14ac:dyDescent="0.2">
      <c r="A210" s="241">
        <v>42</v>
      </c>
      <c r="B210" s="392"/>
      <c r="C210" s="392"/>
      <c r="D210" s="399" t="s">
        <v>1093</v>
      </c>
      <c r="E210" s="400">
        <f>5.425/16.671</f>
        <v>0.32541539199808051</v>
      </c>
      <c r="F210" s="397" t="s">
        <v>1080</v>
      </c>
    </row>
    <row r="211" spans="1:254" x14ac:dyDescent="0.2">
      <c r="A211" s="241">
        <v>43</v>
      </c>
      <c r="B211" s="392"/>
      <c r="C211" s="392"/>
      <c r="D211" s="399" t="s">
        <v>1094</v>
      </c>
      <c r="E211" s="395">
        <f>E209*E210</f>
        <v>4166485.8582478557</v>
      </c>
      <c r="F211" s="397" t="s">
        <v>1095</v>
      </c>
    </row>
    <row r="212" spans="1:254" x14ac:dyDescent="0.2">
      <c r="A212" s="241">
        <v>44</v>
      </c>
      <c r="B212" s="392"/>
      <c r="C212" s="392"/>
      <c r="D212" s="402" t="s">
        <v>1096</v>
      </c>
      <c r="E212" s="504">
        <f>E211+E203</f>
        <v>9591612.4188021123</v>
      </c>
      <c r="F212" s="397" t="s">
        <v>1097</v>
      </c>
    </row>
    <row r="213" spans="1:254" x14ac:dyDescent="0.2">
      <c r="D213" s="372"/>
      <c r="E213" s="358"/>
      <c r="F213" s="397"/>
    </row>
    <row r="214" spans="1:254" x14ac:dyDescent="0.2">
      <c r="D214" s="255"/>
      <c r="E214" s="262" t="s">
        <v>203</v>
      </c>
      <c r="F214" s="262" t="s">
        <v>178</v>
      </c>
      <c r="G214" s="253"/>
      <c r="I214" s="256"/>
      <c r="J214" s="41"/>
      <c r="K214" s="256"/>
      <c r="L214" s="255"/>
      <c r="M214" s="262"/>
      <c r="N214" s="262"/>
      <c r="O214" s="253"/>
      <c r="P214" s="254"/>
      <c r="Q214" s="256"/>
      <c r="R214" s="255"/>
      <c r="S214" s="262"/>
      <c r="T214" s="262"/>
      <c r="U214" s="253"/>
      <c r="V214" s="254"/>
      <c r="W214" s="256"/>
      <c r="X214" s="41"/>
      <c r="Y214" s="256"/>
      <c r="Z214" s="255"/>
      <c r="AA214" s="262"/>
      <c r="AB214" s="262"/>
      <c r="AC214" s="253"/>
      <c r="AD214" s="254"/>
      <c r="AE214" s="256"/>
      <c r="AF214" s="41"/>
      <c r="AG214" s="256"/>
      <c r="AH214" s="255"/>
      <c r="AI214" s="262"/>
      <c r="AJ214" s="262"/>
      <c r="AK214" s="253"/>
      <c r="AL214" s="254"/>
      <c r="AM214" s="256"/>
      <c r="AN214" s="41"/>
      <c r="AO214" s="256"/>
      <c r="AP214" s="255"/>
      <c r="AQ214" s="262"/>
      <c r="AR214" s="262"/>
      <c r="AS214" s="253"/>
      <c r="AT214" s="254"/>
      <c r="AU214" s="256"/>
      <c r="AV214" s="41"/>
      <c r="AW214" s="256"/>
      <c r="AX214" s="255"/>
      <c r="AY214" s="262"/>
      <c r="AZ214" s="262"/>
      <c r="BA214" s="253"/>
      <c r="BB214" s="254"/>
      <c r="BC214" s="256"/>
      <c r="BD214" s="41"/>
      <c r="BE214" s="256"/>
      <c r="BF214" s="255"/>
      <c r="BG214" s="262"/>
      <c r="BH214" s="262"/>
      <c r="BI214" s="253"/>
      <c r="BJ214" s="254"/>
      <c r="BK214" s="256"/>
      <c r="BL214" s="41"/>
      <c r="BM214" s="256"/>
      <c r="BN214" s="255"/>
      <c r="BO214" s="262"/>
      <c r="BP214" s="262"/>
      <c r="BQ214" s="253"/>
      <c r="BR214" s="254"/>
      <c r="BS214" s="256"/>
      <c r="BT214" s="41"/>
      <c r="BU214" s="256"/>
      <c r="BV214" s="255"/>
      <c r="BW214" s="262"/>
      <c r="BX214" s="262"/>
      <c r="BY214" s="253"/>
      <c r="BZ214" s="254"/>
      <c r="CA214" s="256"/>
      <c r="CB214" s="41"/>
      <c r="CC214" s="256"/>
      <c r="CD214" s="255"/>
      <c r="CE214" s="262"/>
      <c r="CF214" s="262"/>
      <c r="CG214" s="253"/>
      <c r="CH214" s="254"/>
      <c r="CI214" s="256"/>
      <c r="CJ214" s="41"/>
      <c r="CK214" s="256"/>
      <c r="CL214" s="255"/>
      <c r="CM214" s="262"/>
      <c r="CN214" s="262"/>
      <c r="CO214" s="253"/>
      <c r="CP214" s="254"/>
      <c r="CQ214" s="256"/>
      <c r="CR214" s="41"/>
      <c r="CS214" s="256"/>
      <c r="CT214" s="255"/>
      <c r="CU214" s="262"/>
      <c r="CV214" s="262"/>
      <c r="CW214" s="253"/>
      <c r="CX214" s="254"/>
      <c r="CY214" s="256"/>
      <c r="CZ214" s="41"/>
      <c r="DA214" s="256"/>
      <c r="DB214" s="255"/>
      <c r="DC214" s="262"/>
      <c r="DD214" s="262"/>
      <c r="DE214" s="253"/>
      <c r="DF214" s="254"/>
      <c r="DG214" s="256"/>
      <c r="DH214" s="41"/>
      <c r="DI214" s="256"/>
      <c r="DJ214" s="255"/>
      <c r="DK214" s="262"/>
      <c r="DL214" s="262"/>
      <c r="DM214" s="253"/>
      <c r="DN214" s="254"/>
      <c r="DO214" s="256"/>
      <c r="DP214" s="41"/>
      <c r="DQ214" s="256"/>
      <c r="DR214" s="255"/>
      <c r="DS214" s="262"/>
      <c r="DT214" s="262"/>
      <c r="DU214" s="253"/>
      <c r="DV214" s="254"/>
      <c r="DW214" s="256"/>
      <c r="DX214" s="41"/>
      <c r="DY214" s="256"/>
      <c r="DZ214" s="255"/>
      <c r="EA214" s="262"/>
      <c r="EB214" s="262"/>
      <c r="EC214" s="253"/>
      <c r="ED214" s="254"/>
      <c r="EE214" s="256"/>
      <c r="EF214" s="41"/>
      <c r="EG214" s="256"/>
      <c r="EH214" s="255"/>
      <c r="EI214" s="262"/>
      <c r="EJ214" s="262"/>
      <c r="EK214" s="253"/>
      <c r="EL214" s="254"/>
      <c r="EM214" s="256"/>
      <c r="EN214" s="41"/>
      <c r="EO214" s="256"/>
      <c r="EP214" s="255"/>
      <c r="EQ214" s="262"/>
      <c r="ER214" s="262"/>
      <c r="ES214" s="253"/>
      <c r="ET214" s="254"/>
      <c r="EU214" s="256"/>
      <c r="EV214" s="41"/>
      <c r="EW214" s="256"/>
      <c r="EX214" s="255"/>
      <c r="EY214" s="262"/>
      <c r="EZ214" s="262"/>
      <c r="FA214" s="253"/>
      <c r="FB214" s="254"/>
      <c r="FC214" s="256"/>
      <c r="FD214" s="41"/>
      <c r="FE214" s="256"/>
      <c r="FF214" s="255"/>
      <c r="FG214" s="262"/>
      <c r="FH214" s="262"/>
      <c r="FI214" s="253"/>
      <c r="FJ214" s="254"/>
      <c r="FK214" s="256"/>
      <c r="FL214" s="41"/>
      <c r="FM214" s="256"/>
      <c r="FN214" s="255"/>
      <c r="FO214" s="262"/>
      <c r="FP214" s="262"/>
      <c r="FQ214" s="253"/>
      <c r="FR214" s="254"/>
      <c r="FS214" s="256"/>
      <c r="FT214" s="41"/>
      <c r="FU214" s="256"/>
      <c r="FV214" s="255"/>
      <c r="FW214" s="262"/>
      <c r="FX214" s="262"/>
      <c r="FY214" s="253"/>
      <c r="FZ214" s="254"/>
      <c r="GA214" s="256"/>
      <c r="GB214" s="41"/>
      <c r="GC214" s="256"/>
      <c r="GD214" s="255"/>
      <c r="GE214" s="262"/>
      <c r="GF214" s="262"/>
      <c r="GG214" s="253"/>
      <c r="GH214" s="254"/>
      <c r="GI214" s="256"/>
      <c r="GJ214" s="41"/>
      <c r="GK214" s="256"/>
      <c r="GL214" s="255"/>
      <c r="GM214" s="262"/>
      <c r="GN214" s="262"/>
      <c r="GO214" s="253"/>
      <c r="GP214" s="254"/>
      <c r="GQ214" s="256"/>
      <c r="GR214" s="41"/>
      <c r="GS214" s="256"/>
      <c r="GT214" s="255"/>
      <c r="GU214" s="262"/>
      <c r="GV214" s="262"/>
      <c r="GW214" s="253"/>
      <c r="GX214" s="254"/>
      <c r="GY214" s="256"/>
      <c r="GZ214" s="41"/>
      <c r="HA214" s="256"/>
      <c r="HB214" s="255"/>
      <c r="HC214" s="262"/>
      <c r="HD214" s="262"/>
      <c r="HE214" s="253"/>
      <c r="HF214" s="254"/>
      <c r="HG214" s="256"/>
      <c r="HH214" s="41"/>
      <c r="HI214" s="256"/>
      <c r="HJ214" s="255"/>
      <c r="HK214" s="262"/>
      <c r="HL214" s="262"/>
      <c r="HM214" s="253"/>
      <c r="HN214" s="254"/>
      <c r="HO214" s="256"/>
      <c r="HP214" s="41"/>
      <c r="HQ214" s="256"/>
      <c r="HR214" s="255"/>
      <c r="HS214" s="262"/>
      <c r="HT214" s="262"/>
      <c r="HU214" s="253"/>
      <c r="HV214" s="254"/>
      <c r="HW214" s="256"/>
      <c r="HX214" s="41"/>
      <c r="HY214" s="256"/>
      <c r="HZ214" s="255"/>
      <c r="IA214" s="262"/>
      <c r="IB214" s="262"/>
      <c r="IC214" s="253"/>
      <c r="ID214" s="254"/>
      <c r="IE214" s="256"/>
      <c r="IF214" s="41"/>
      <c r="IG214" s="256"/>
      <c r="IH214" s="255"/>
      <c r="II214" s="262"/>
      <c r="IJ214" s="262"/>
      <c r="IK214" s="253"/>
      <c r="IL214" s="254"/>
      <c r="IM214" s="256"/>
      <c r="IN214" s="41"/>
      <c r="IO214" s="256"/>
      <c r="IP214" s="255"/>
      <c r="IQ214" s="262"/>
      <c r="IR214" s="262"/>
      <c r="IS214" s="253"/>
      <c r="IT214" s="254"/>
    </row>
    <row r="215" spans="1:254" x14ac:dyDescent="0.2">
      <c r="A215" s="241">
        <v>45</v>
      </c>
      <c r="B215" s="40" t="s">
        <v>1125</v>
      </c>
      <c r="D215" s="255"/>
      <c r="E215" s="507">
        <f>H198+E212</f>
        <v>49609866.430026509</v>
      </c>
      <c r="F215" s="263" t="s">
        <v>1126</v>
      </c>
      <c r="G215" s="253"/>
      <c r="J215" s="40"/>
      <c r="K215" s="256"/>
      <c r="L215" s="255"/>
      <c r="M215" s="261"/>
      <c r="N215" s="263"/>
      <c r="O215" s="253"/>
      <c r="P215" s="254"/>
      <c r="Q215" s="256"/>
      <c r="R215" s="255"/>
      <c r="S215" s="261"/>
      <c r="T215" s="263"/>
      <c r="U215" s="253"/>
      <c r="V215" s="254"/>
      <c r="W215" s="241"/>
      <c r="X215" s="40"/>
      <c r="Y215" s="256"/>
      <c r="Z215" s="255"/>
      <c r="AA215" s="261"/>
      <c r="AB215" s="263"/>
      <c r="AC215" s="253"/>
      <c r="AD215" s="254"/>
      <c r="AE215" s="241"/>
      <c r="AF215" s="40"/>
      <c r="AG215" s="256"/>
      <c r="AH215" s="255"/>
      <c r="AI215" s="261"/>
      <c r="AJ215" s="263"/>
      <c r="AK215" s="253"/>
      <c r="AL215" s="254"/>
      <c r="AM215" s="241"/>
      <c r="AN215" s="40"/>
      <c r="AO215" s="256"/>
      <c r="AP215" s="255"/>
      <c r="AQ215" s="261"/>
      <c r="AR215" s="263"/>
      <c r="AS215" s="253"/>
      <c r="AT215" s="254"/>
      <c r="AU215" s="241"/>
      <c r="AV215" s="40"/>
      <c r="AW215" s="256"/>
      <c r="AX215" s="255"/>
      <c r="AY215" s="261"/>
      <c r="AZ215" s="263"/>
      <c r="BA215" s="253"/>
      <c r="BB215" s="254"/>
      <c r="BC215" s="241"/>
      <c r="BD215" s="40"/>
      <c r="BE215" s="256"/>
      <c r="BF215" s="255"/>
      <c r="BG215" s="261"/>
      <c r="BH215" s="263"/>
      <c r="BI215" s="253"/>
      <c r="BJ215" s="254"/>
      <c r="BK215" s="241"/>
      <c r="BL215" s="40"/>
      <c r="BM215" s="256"/>
      <c r="BN215" s="255"/>
      <c r="BO215" s="261"/>
      <c r="BP215" s="263"/>
      <c r="BQ215" s="253"/>
      <c r="BR215" s="254"/>
      <c r="BS215" s="241"/>
      <c r="BT215" s="40"/>
      <c r="BU215" s="256"/>
      <c r="BV215" s="255"/>
      <c r="BW215" s="261"/>
      <c r="BX215" s="263"/>
      <c r="BY215" s="253"/>
      <c r="BZ215" s="254"/>
      <c r="CA215" s="241"/>
      <c r="CB215" s="40"/>
      <c r="CC215" s="256"/>
      <c r="CD215" s="255"/>
      <c r="CE215" s="261"/>
      <c r="CF215" s="263"/>
      <c r="CG215" s="253"/>
      <c r="CH215" s="254"/>
      <c r="CI215" s="241"/>
      <c r="CJ215" s="40"/>
      <c r="CK215" s="256"/>
      <c r="CL215" s="255"/>
      <c r="CM215" s="261"/>
      <c r="CN215" s="263"/>
      <c r="CO215" s="253"/>
      <c r="CP215" s="254"/>
      <c r="CQ215" s="241"/>
      <c r="CR215" s="40"/>
      <c r="CS215" s="256"/>
      <c r="CT215" s="255"/>
      <c r="CU215" s="261"/>
      <c r="CV215" s="263"/>
      <c r="CW215" s="253"/>
      <c r="CX215" s="254"/>
      <c r="CY215" s="241"/>
      <c r="CZ215" s="40"/>
      <c r="DA215" s="256"/>
      <c r="DB215" s="255"/>
      <c r="DC215" s="261"/>
      <c r="DD215" s="263"/>
      <c r="DE215" s="253"/>
      <c r="DF215" s="254"/>
      <c r="DG215" s="241"/>
      <c r="DH215" s="40"/>
      <c r="DI215" s="256"/>
      <c r="DJ215" s="255"/>
      <c r="DK215" s="261"/>
      <c r="DL215" s="263"/>
      <c r="DM215" s="253"/>
      <c r="DN215" s="254"/>
      <c r="DO215" s="241"/>
      <c r="DP215" s="40"/>
      <c r="DQ215" s="256"/>
      <c r="DR215" s="255"/>
      <c r="DS215" s="261"/>
      <c r="DT215" s="263"/>
      <c r="DU215" s="253"/>
      <c r="DV215" s="254"/>
      <c r="DW215" s="241"/>
      <c r="DX215" s="40"/>
      <c r="DY215" s="256"/>
      <c r="DZ215" s="255"/>
      <c r="EA215" s="261"/>
      <c r="EB215" s="263"/>
      <c r="EC215" s="253"/>
      <c r="ED215" s="254"/>
      <c r="EE215" s="241"/>
      <c r="EF215" s="40"/>
      <c r="EG215" s="256"/>
      <c r="EH215" s="255"/>
      <c r="EI215" s="261"/>
      <c r="EJ215" s="263"/>
      <c r="EK215" s="253"/>
      <c r="EL215" s="254"/>
      <c r="EM215" s="241"/>
      <c r="EN215" s="40"/>
      <c r="EO215" s="256"/>
      <c r="EP215" s="255"/>
      <c r="EQ215" s="261"/>
      <c r="ER215" s="263"/>
      <c r="ES215" s="253"/>
      <c r="ET215" s="254"/>
      <c r="EU215" s="241"/>
      <c r="EV215" s="40"/>
      <c r="EW215" s="256"/>
      <c r="EX215" s="255"/>
      <c r="EY215" s="261"/>
      <c r="EZ215" s="263"/>
      <c r="FA215" s="253"/>
      <c r="FB215" s="254"/>
      <c r="FC215" s="241"/>
      <c r="FD215" s="40"/>
      <c r="FE215" s="256"/>
      <c r="FF215" s="255"/>
      <c r="FG215" s="261"/>
      <c r="FH215" s="263"/>
      <c r="FI215" s="253"/>
      <c r="FJ215" s="254"/>
      <c r="FK215" s="241"/>
      <c r="FL215" s="40"/>
      <c r="FM215" s="256"/>
      <c r="FN215" s="255"/>
      <c r="FO215" s="261"/>
      <c r="FP215" s="263"/>
      <c r="FQ215" s="253"/>
      <c r="FR215" s="254"/>
      <c r="FS215" s="241"/>
      <c r="FT215" s="40"/>
      <c r="FU215" s="256"/>
      <c r="FV215" s="255"/>
      <c r="FW215" s="261"/>
      <c r="FX215" s="263"/>
      <c r="FY215" s="253"/>
      <c r="FZ215" s="254"/>
      <c r="GA215" s="241"/>
      <c r="GB215" s="40"/>
      <c r="GC215" s="256"/>
      <c r="GD215" s="255"/>
      <c r="GE215" s="261"/>
      <c r="GF215" s="263"/>
      <c r="GG215" s="253"/>
      <c r="GH215" s="254"/>
      <c r="GI215" s="241"/>
      <c r="GJ215" s="40"/>
      <c r="GK215" s="256"/>
      <c r="GL215" s="255"/>
      <c r="GM215" s="261"/>
      <c r="GN215" s="263"/>
      <c r="GO215" s="253"/>
      <c r="GP215" s="254"/>
      <c r="GQ215" s="241"/>
      <c r="GR215" s="40"/>
      <c r="GS215" s="256"/>
      <c r="GT215" s="255"/>
      <c r="GU215" s="261"/>
      <c r="GV215" s="263"/>
      <c r="GW215" s="253"/>
      <c r="GX215" s="254"/>
      <c r="GY215" s="241"/>
      <c r="GZ215" s="40"/>
      <c r="HA215" s="256"/>
      <c r="HB215" s="255"/>
      <c r="HC215" s="261"/>
      <c r="HD215" s="263"/>
      <c r="HE215" s="253"/>
      <c r="HF215" s="254"/>
      <c r="HG215" s="241"/>
      <c r="HH215" s="40"/>
      <c r="HI215" s="256"/>
      <c r="HJ215" s="255"/>
      <c r="HK215" s="261"/>
      <c r="HL215" s="263"/>
      <c r="HM215" s="253"/>
      <c r="HN215" s="254"/>
      <c r="HO215" s="241"/>
      <c r="HP215" s="40"/>
      <c r="HQ215" s="256"/>
      <c r="HR215" s="255"/>
      <c r="HS215" s="261"/>
      <c r="HT215" s="263"/>
      <c r="HU215" s="253"/>
      <c r="HV215" s="254"/>
      <c r="HW215" s="241"/>
      <c r="HX215" s="40"/>
      <c r="HY215" s="256"/>
      <c r="HZ215" s="255"/>
      <c r="IA215" s="261"/>
      <c r="IB215" s="263"/>
      <c r="IC215" s="253"/>
      <c r="ID215" s="254"/>
      <c r="IE215" s="241"/>
      <c r="IF215" s="40"/>
      <c r="IG215" s="256"/>
      <c r="IH215" s="255"/>
      <c r="II215" s="261"/>
      <c r="IJ215" s="263"/>
      <c r="IK215" s="253"/>
      <c r="IL215" s="254"/>
      <c r="IM215" s="241"/>
      <c r="IN215" s="40"/>
      <c r="IO215" s="256"/>
      <c r="IP215" s="255"/>
      <c r="IQ215" s="261"/>
      <c r="IR215" s="263"/>
      <c r="IS215" s="253"/>
      <c r="IT215" s="254"/>
    </row>
    <row r="216" spans="1:254" x14ac:dyDescent="0.2">
      <c r="D216" s="372"/>
      <c r="E216" s="358"/>
      <c r="F216" s="397"/>
    </row>
    <row r="218" spans="1:254" x14ac:dyDescent="0.2">
      <c r="A218" s="256" t="s">
        <v>269</v>
      </c>
    </row>
    <row r="219" spans="1:254" ht="12.75" customHeight="1" x14ac:dyDescent="0.2">
      <c r="A219" s="101" t="s">
        <v>1098</v>
      </c>
      <c r="B219" s="1093" t="s">
        <v>1854</v>
      </c>
      <c r="C219" s="1094"/>
      <c r="D219" s="1094"/>
    </row>
    <row r="220" spans="1:254" ht="77.25" customHeight="1" x14ac:dyDescent="0.2">
      <c r="A220" s="101" t="s">
        <v>1099</v>
      </c>
      <c r="B220" s="1075" t="s">
        <v>1480</v>
      </c>
      <c r="C220" s="1076"/>
      <c r="D220" s="1076"/>
      <c r="E220" s="1077"/>
      <c r="F220" s="1077"/>
    </row>
    <row r="221" spans="1:254" ht="12.75" customHeight="1" x14ac:dyDescent="0.2">
      <c r="A221" s="101" t="s">
        <v>1100</v>
      </c>
      <c r="B221" s="1075" t="s">
        <v>1101</v>
      </c>
      <c r="C221" s="1076"/>
      <c r="D221" s="1076"/>
      <c r="E221" s="1077"/>
      <c r="F221" s="1077"/>
    </row>
    <row r="222" spans="1:254" ht="12.75" customHeight="1" x14ac:dyDescent="0.2">
      <c r="A222" s="81" t="s">
        <v>1102</v>
      </c>
      <c r="B222" s="1078" t="s">
        <v>1906</v>
      </c>
      <c r="C222" s="1076"/>
      <c r="D222" s="1076"/>
      <c r="E222" s="1077"/>
      <c r="F222" s="1077"/>
    </row>
    <row r="223" spans="1:254" ht="12.75" customHeight="1" x14ac:dyDescent="0.2">
      <c r="A223" s="101" t="s">
        <v>1103</v>
      </c>
      <c r="B223" s="1075" t="s">
        <v>1104</v>
      </c>
      <c r="C223" s="1076"/>
      <c r="D223" s="1076"/>
      <c r="E223" s="1077"/>
      <c r="F223" s="1077"/>
    </row>
    <row r="224" spans="1:254" ht="12.75" customHeight="1" x14ac:dyDescent="0.2">
      <c r="A224" s="81" t="s">
        <v>1105</v>
      </c>
      <c r="B224" s="1075" t="s">
        <v>1106</v>
      </c>
      <c r="C224" s="1076"/>
      <c r="D224" s="1076"/>
      <c r="E224" s="1077"/>
      <c r="F224" s="1077"/>
    </row>
    <row r="225" spans="1:6" ht="12.75" customHeight="1" x14ac:dyDescent="0.2">
      <c r="A225" s="81" t="s">
        <v>1107</v>
      </c>
      <c r="B225" s="1075" t="s">
        <v>1108</v>
      </c>
      <c r="C225" s="1076"/>
      <c r="D225" s="1076"/>
      <c r="E225" s="1077"/>
      <c r="F225" s="1077"/>
    </row>
    <row r="226" spans="1:6" ht="12.75" customHeight="1" x14ac:dyDescent="0.2">
      <c r="A226" s="81"/>
      <c r="B226" s="1075" t="s">
        <v>1109</v>
      </c>
      <c r="C226" s="1076"/>
      <c r="D226" s="413">
        <v>4.2939999999999999E-2</v>
      </c>
      <c r="E226" s="66"/>
      <c r="F226" s="66"/>
    </row>
    <row r="227" spans="1:6" ht="26.25" customHeight="1" x14ac:dyDescent="0.2">
      <c r="A227" s="81" t="s">
        <v>1110</v>
      </c>
      <c r="B227" s="1075" t="s">
        <v>1111</v>
      </c>
      <c r="C227" s="1076"/>
      <c r="D227" s="1076"/>
      <c r="E227" s="1077"/>
      <c r="F227" s="1077"/>
    </row>
    <row r="228" spans="1:6" ht="27.75" customHeight="1" x14ac:dyDescent="0.2">
      <c r="A228" s="81" t="s">
        <v>1112</v>
      </c>
      <c r="B228" s="1075" t="s">
        <v>1113</v>
      </c>
      <c r="C228" s="1076"/>
      <c r="D228" s="1076"/>
      <c r="E228" s="1077"/>
      <c r="F228" s="1077"/>
    </row>
    <row r="229" spans="1:6" ht="25.5" customHeight="1" x14ac:dyDescent="0.2">
      <c r="A229" s="101" t="s">
        <v>1114</v>
      </c>
      <c r="B229" s="1075" t="s">
        <v>1115</v>
      </c>
      <c r="C229" s="1076"/>
      <c r="D229" s="1076"/>
      <c r="E229" s="1077"/>
      <c r="F229" s="1077"/>
    </row>
    <row r="230" spans="1:6" ht="39.950000000000003" customHeight="1" x14ac:dyDescent="0.2">
      <c r="A230" s="81" t="s">
        <v>1116</v>
      </c>
      <c r="B230" s="1075" t="s">
        <v>1117</v>
      </c>
      <c r="C230" s="1076"/>
      <c r="D230" s="1076"/>
      <c r="E230" s="1077"/>
      <c r="F230" s="1077"/>
    </row>
    <row r="231" spans="1:6" ht="26.1" customHeight="1" x14ac:dyDescent="0.2">
      <c r="A231" s="81" t="s">
        <v>1118</v>
      </c>
      <c r="B231" s="1075" t="s">
        <v>1119</v>
      </c>
      <c r="C231" s="1076"/>
      <c r="D231" s="1076"/>
      <c r="E231" s="1077"/>
      <c r="F231" s="1077"/>
    </row>
    <row r="232" spans="1:6" ht="12.75" customHeight="1" x14ac:dyDescent="0.2">
      <c r="A232" s="81"/>
      <c r="B232" s="1075" t="s">
        <v>1109</v>
      </c>
      <c r="C232" s="1076"/>
      <c r="D232" s="413">
        <v>4.2939999999999999E-2</v>
      </c>
      <c r="E232" s="66"/>
      <c r="F232" s="66"/>
    </row>
    <row r="233" spans="1:6" ht="12.75" customHeight="1" x14ac:dyDescent="0.2">
      <c r="A233" s="81" t="s">
        <v>1120</v>
      </c>
      <c r="B233" s="1075" t="s">
        <v>1121</v>
      </c>
      <c r="C233" s="1076"/>
      <c r="D233" s="1076"/>
      <c r="E233" s="1077"/>
      <c r="F233" s="1077"/>
    </row>
    <row r="234" spans="1:6" ht="12.75" customHeight="1" x14ac:dyDescent="0.2">
      <c r="A234" s="81" t="s">
        <v>1122</v>
      </c>
      <c r="B234" s="1075" t="s">
        <v>1123</v>
      </c>
      <c r="C234" s="1076"/>
      <c r="D234" s="1076"/>
      <c r="E234" s="1077"/>
      <c r="F234" s="1077"/>
    </row>
    <row r="235" spans="1:6" ht="25.5" customHeight="1" x14ac:dyDescent="0.2">
      <c r="A235" s="847" t="s">
        <v>2160</v>
      </c>
      <c r="B235" s="1078" t="s">
        <v>2161</v>
      </c>
      <c r="C235" s="1076"/>
      <c r="D235" s="1076"/>
      <c r="E235" s="1077"/>
      <c r="F235" s="1077"/>
    </row>
    <row r="236" spans="1:6" x14ac:dyDescent="0.2">
      <c r="B236" s="256"/>
      <c r="D236" s="256"/>
      <c r="E236" s="256"/>
      <c r="F236" s="256"/>
    </row>
  </sheetData>
  <autoFilter ref="A1:O236"/>
  <mergeCells count="46">
    <mergeCell ref="B235:F235"/>
    <mergeCell ref="J2:M2"/>
    <mergeCell ref="G2:I2"/>
    <mergeCell ref="B184:D184"/>
    <mergeCell ref="B152:D152"/>
    <mergeCell ref="B67:D67"/>
    <mergeCell ref="B36:D36"/>
    <mergeCell ref="B28:D28"/>
    <mergeCell ref="B183:D183"/>
    <mergeCell ref="B161:D161"/>
    <mergeCell ref="B9:D9"/>
    <mergeCell ref="B10:D10"/>
    <mergeCell ref="B35:D35"/>
    <mergeCell ref="B27:D27"/>
    <mergeCell ref="B127:D127"/>
    <mergeCell ref="B66:D66"/>
    <mergeCell ref="B128:D128"/>
    <mergeCell ref="B227:F227"/>
    <mergeCell ref="B228:F228"/>
    <mergeCell ref="B220:F220"/>
    <mergeCell ref="B187:C187"/>
    <mergeCell ref="B188:C188"/>
    <mergeCell ref="B190:C190"/>
    <mergeCell ref="B194:D194"/>
    <mergeCell ref="B196:D196"/>
    <mergeCell ref="B195:D195"/>
    <mergeCell ref="B189:C189"/>
    <mergeCell ref="B156:D156"/>
    <mergeCell ref="B151:D151"/>
    <mergeCell ref="B225:F225"/>
    <mergeCell ref="B226:C226"/>
    <mergeCell ref="B219:D219"/>
    <mergeCell ref="B234:F234"/>
    <mergeCell ref="B229:F229"/>
    <mergeCell ref="B230:F230"/>
    <mergeCell ref="B231:F231"/>
    <mergeCell ref="B233:F233"/>
    <mergeCell ref="B232:C232"/>
    <mergeCell ref="B221:F221"/>
    <mergeCell ref="B222:F222"/>
    <mergeCell ref="B224:F224"/>
    <mergeCell ref="B223:F223"/>
    <mergeCell ref="B157:D157"/>
    <mergeCell ref="B182:D182"/>
    <mergeCell ref="B162:D162"/>
    <mergeCell ref="B191:C191"/>
  </mergeCells>
  <conditionalFormatting sqref="A223:A224 C158:C160 C198:C213 C129:C150 D72 C2:C8 C153:C155 C237:C65546 A227:A228 C162:C171 A230:A233 C216:C218 C29:C34 C37:C60 A235 C11:C26 C68:C122 C62:C65 C125:C126">
    <cfRule type="cellIs" dxfId="7" priority="8" stopIfTrue="1" operator="between">
      <formula>4990000</formula>
      <formula>4999999</formula>
    </cfRule>
  </conditionalFormatting>
  <conditionalFormatting sqref="A234">
    <cfRule type="cellIs" dxfId="6" priority="7" stopIfTrue="1" operator="between">
      <formula>4990000</formula>
      <formula>4999999</formula>
    </cfRule>
  </conditionalFormatting>
  <conditionalFormatting sqref="A225:A226">
    <cfRule type="cellIs" dxfId="5" priority="6" stopIfTrue="1" operator="between">
      <formula>4990000</formula>
      <formula>4999999</formula>
    </cfRule>
  </conditionalFormatting>
  <conditionalFormatting sqref="K214:K215 Q214:Q215 Y214:Y215 AG214:AG215 AO214:AO215 AW214:AW215 BE214:BE215 BM214:BM215 BU214:BU215 CC214:CC215 CK214:CK215 CS214:CS215 DA214:DA215 DI214:DI215 DQ214:DQ215 DY214:DY215 EG214:EG215 EO214:EO215 EW214:EW215 FE214:FE215 FM214:FM215 FU214:FU215 GC214:GC215 GK214:GK215 GS214:GS215 HA214:HA215 HI214:HI215 HQ214:HQ215 HY214:HY215 IG214:IG215 IO214:IO215">
    <cfRule type="cellIs" dxfId="4" priority="5" stopIfTrue="1" operator="between">
      <formula>4990000</formula>
      <formula>4999999</formula>
    </cfRule>
  </conditionalFormatting>
  <conditionalFormatting sqref="C214:C215">
    <cfRule type="cellIs" dxfId="3" priority="4" stopIfTrue="1" operator="between">
      <formula>4990000</formula>
      <formula>4999999</formula>
    </cfRule>
  </conditionalFormatting>
  <conditionalFormatting sqref="C61">
    <cfRule type="cellIs" dxfId="2" priority="3" stopIfTrue="1" operator="between">
      <formula>4990000</formula>
      <formula>4999999</formula>
    </cfRule>
  </conditionalFormatting>
  <conditionalFormatting sqref="C123">
    <cfRule type="cellIs" dxfId="1" priority="2" stopIfTrue="1" operator="between">
      <formula>4990000</formula>
      <formula>4999999</formula>
    </cfRule>
  </conditionalFormatting>
  <conditionalFormatting sqref="C124">
    <cfRule type="cellIs" dxfId="0" priority="1" stopIfTrue="1" operator="between">
      <formula>4990000</formula>
      <formula>4999999</formula>
    </cfRule>
  </conditionalFormatting>
  <pageMargins left="0.7" right="0.7" top="0.75" bottom="0.75" header="0.3" footer="0.3"/>
  <pageSetup scale="50" orientation="landscape" r:id="rId1"/>
  <headerFooter>
    <oddHeader>&amp;CSchedule 21
Revenue Credits&amp;RDkt. No. ER11-3697
2014 Draft Informational Filing</oddHeader>
    <oddFooter>&amp;RRevenueCredits</oddFooter>
  </headerFooter>
  <rowBreaks count="3" manualBreakCount="3">
    <brk id="67" max="16383" man="1"/>
    <brk id="128" max="16383" man="1"/>
    <brk id="18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activeCell="E20" sqref="E20"/>
    </sheetView>
  </sheetViews>
  <sheetFormatPr defaultRowHeight="12.75" x14ac:dyDescent="0.2"/>
  <cols>
    <col min="1" max="1" width="4.7109375" style="64" customWidth="1"/>
    <col min="2" max="2" width="14" customWidth="1"/>
    <col min="3" max="3" width="26.85546875" customWidth="1"/>
    <col min="4" max="4" width="28.5703125" customWidth="1"/>
    <col min="5" max="5" width="16.28515625" bestFit="1" customWidth="1"/>
    <col min="6" max="6" width="20.7109375" style="452" customWidth="1"/>
    <col min="7" max="7" width="12.140625" bestFit="1" customWidth="1"/>
  </cols>
  <sheetData>
    <row r="1" spans="1:7" x14ac:dyDescent="0.2">
      <c r="A1" s="98" t="s">
        <v>1295</v>
      </c>
      <c r="C1" s="98"/>
      <c r="D1" s="98"/>
      <c r="E1" s="98"/>
    </row>
    <row r="2" spans="1:7" x14ac:dyDescent="0.2">
      <c r="A2" s="98"/>
      <c r="C2" s="98"/>
      <c r="D2" s="98"/>
      <c r="E2" s="98"/>
    </row>
    <row r="3" spans="1:7" x14ac:dyDescent="0.2">
      <c r="B3" s="98" t="s">
        <v>1334</v>
      </c>
      <c r="C3" s="98"/>
      <c r="D3" s="98"/>
      <c r="E3" s="98"/>
    </row>
    <row r="4" spans="1:7" ht="15" x14ac:dyDescent="0.25">
      <c r="A4" s="53" t="s">
        <v>380</v>
      </c>
      <c r="C4" s="98"/>
      <c r="E4" s="3" t="s">
        <v>1140</v>
      </c>
      <c r="F4" s="453" t="s">
        <v>196</v>
      </c>
    </row>
    <row r="5" spans="1:7" ht="15" x14ac:dyDescent="0.25">
      <c r="A5" s="277">
        <v>1</v>
      </c>
      <c r="B5" s="52" t="s">
        <v>1296</v>
      </c>
      <c r="C5" s="52"/>
      <c r="D5" s="454"/>
      <c r="E5" s="455">
        <v>18816506</v>
      </c>
      <c r="F5" s="456" t="s">
        <v>247</v>
      </c>
    </row>
    <row r="6" spans="1:7" ht="15" x14ac:dyDescent="0.25">
      <c r="A6" s="277">
        <v>2</v>
      </c>
      <c r="B6" s="454" t="s">
        <v>1297</v>
      </c>
      <c r="C6" s="454"/>
      <c r="D6" s="454"/>
      <c r="E6" s="428">
        <v>119334857</v>
      </c>
      <c r="F6" s="456" t="s">
        <v>35</v>
      </c>
    </row>
    <row r="7" spans="1:7" ht="15" x14ac:dyDescent="0.25">
      <c r="A7" s="277">
        <v>3</v>
      </c>
      <c r="B7" s="52" t="s">
        <v>1298</v>
      </c>
      <c r="C7" s="52"/>
      <c r="D7" s="52"/>
      <c r="E7" s="61">
        <f>E5+E6</f>
        <v>138151363</v>
      </c>
      <c r="F7" s="13" t="str">
        <f>"Line "&amp;A5&amp;" + Line "&amp;A6&amp;""</f>
        <v>Line 1 + Line 2</v>
      </c>
    </row>
    <row r="8" spans="1:7" ht="15.75" x14ac:dyDescent="0.25">
      <c r="A8" s="457">
        <v>4</v>
      </c>
      <c r="B8" s="1099" t="s">
        <v>1299</v>
      </c>
      <c r="C8" s="1100"/>
      <c r="D8" s="1100"/>
      <c r="E8" s="455">
        <v>138151363</v>
      </c>
      <c r="F8" s="459" t="s">
        <v>1503</v>
      </c>
      <c r="G8" s="1027"/>
    </row>
    <row r="9" spans="1:7" ht="15" x14ac:dyDescent="0.25">
      <c r="A9" s="457"/>
      <c r="B9" s="458"/>
      <c r="C9" s="460"/>
      <c r="D9" s="460"/>
      <c r="E9" s="461"/>
      <c r="F9" s="471"/>
      <c r="G9" s="437"/>
    </row>
    <row r="10" spans="1:7" ht="15" x14ac:dyDescent="0.25">
      <c r="A10" s="457"/>
      <c r="B10" s="98" t="s">
        <v>1335</v>
      </c>
      <c r="C10" s="460"/>
      <c r="D10" s="460"/>
      <c r="E10" s="461"/>
      <c r="F10" s="459"/>
      <c r="G10" s="437"/>
    </row>
    <row r="11" spans="1:7" ht="15" x14ac:dyDescent="0.25">
      <c r="A11" s="462"/>
      <c r="B11" s="52"/>
      <c r="C11" s="52"/>
      <c r="D11" s="52"/>
      <c r="E11" s="61"/>
      <c r="F11" s="459"/>
      <c r="G11" s="437"/>
    </row>
    <row r="12" spans="1:7" ht="15" x14ac:dyDescent="0.25">
      <c r="A12" s="462">
        <v>5</v>
      </c>
      <c r="B12" s="52" t="s">
        <v>1296</v>
      </c>
      <c r="C12" s="52"/>
      <c r="D12" s="52"/>
      <c r="E12" s="455">
        <v>12374574</v>
      </c>
      <c r="F12" s="459" t="s">
        <v>328</v>
      </c>
      <c r="G12" s="437"/>
    </row>
    <row r="13" spans="1:7" ht="15" x14ac:dyDescent="0.25">
      <c r="A13" s="462">
        <v>6</v>
      </c>
      <c r="B13" s="52" t="s">
        <v>1297</v>
      </c>
      <c r="C13" s="52"/>
      <c r="D13" s="52"/>
      <c r="E13" s="455">
        <v>136173048</v>
      </c>
      <c r="F13" s="456" t="s">
        <v>35</v>
      </c>
      <c r="G13" s="437"/>
    </row>
    <row r="14" spans="1:7" ht="15" x14ac:dyDescent="0.25">
      <c r="A14" s="462">
        <v>7</v>
      </c>
      <c r="B14" s="52" t="s">
        <v>1298</v>
      </c>
      <c r="C14" s="52"/>
      <c r="D14" s="52"/>
      <c r="E14" s="461">
        <f>E12+E13</f>
        <v>148547622</v>
      </c>
      <c r="F14" s="13" t="str">
        <f>"Line "&amp;A12&amp;" + Line "&amp;A13&amp;""</f>
        <v>Line 5 + Line 6</v>
      </c>
      <c r="G14" s="1027"/>
    </row>
    <row r="15" spans="1:7" ht="15.75" x14ac:dyDescent="0.25">
      <c r="A15" s="457">
        <v>8</v>
      </c>
      <c r="B15" s="1099" t="s">
        <v>1300</v>
      </c>
      <c r="C15" s="1100"/>
      <c r="D15" s="1100"/>
      <c r="E15" s="455">
        <v>148547622</v>
      </c>
      <c r="F15" s="459" t="s">
        <v>1301</v>
      </c>
      <c r="G15" s="437"/>
    </row>
    <row r="16" spans="1:7" ht="15" x14ac:dyDescent="0.25">
      <c r="A16" s="277"/>
      <c r="B16" s="52"/>
      <c r="C16" s="52"/>
      <c r="D16" s="52"/>
      <c r="E16" s="61"/>
      <c r="F16" s="456"/>
    </row>
    <row r="17" spans="1:7" ht="15" x14ac:dyDescent="0.25">
      <c r="A17" s="277">
        <v>9</v>
      </c>
      <c r="B17" s="52" t="s">
        <v>1302</v>
      </c>
      <c r="C17" s="52"/>
      <c r="D17" s="52"/>
      <c r="E17" s="61">
        <f>(E5+E12)/2</f>
        <v>15595540</v>
      </c>
      <c r="F17" s="16" t="str">
        <f>"(Line "&amp;A5&amp;" + Line "&amp;A12&amp;") / 2"</f>
        <v>(Line 1 + Line 5) / 2</v>
      </c>
      <c r="G17" s="463"/>
    </row>
    <row r="18" spans="1:7" ht="15" x14ac:dyDescent="0.25">
      <c r="A18" s="277"/>
      <c r="B18" s="454"/>
      <c r="C18" s="464"/>
      <c r="D18" s="465"/>
      <c r="E18" s="466"/>
      <c r="F18" s="456"/>
    </row>
    <row r="19" spans="1:7" ht="15" x14ac:dyDescent="0.25">
      <c r="A19" s="277">
        <v>10</v>
      </c>
      <c r="B19" s="454" t="s">
        <v>1303</v>
      </c>
      <c r="C19" s="464"/>
      <c r="D19" s="464"/>
      <c r="E19" s="467">
        <v>617891</v>
      </c>
      <c r="F19" s="472" t="s">
        <v>1130</v>
      </c>
    </row>
    <row r="20" spans="1:7" ht="15" x14ac:dyDescent="0.25">
      <c r="A20" s="277">
        <v>11</v>
      </c>
      <c r="B20" s="454" t="s">
        <v>1304</v>
      </c>
      <c r="C20" s="464"/>
      <c r="D20" s="464"/>
      <c r="E20" s="468">
        <v>842258840</v>
      </c>
      <c r="F20" s="456" t="s">
        <v>35</v>
      </c>
      <c r="G20" s="7"/>
    </row>
    <row r="21" spans="1:7" ht="15" x14ac:dyDescent="0.25">
      <c r="A21" s="277">
        <v>12</v>
      </c>
      <c r="B21" s="454" t="s">
        <v>1305</v>
      </c>
      <c r="C21" s="464"/>
      <c r="D21" s="464"/>
      <c r="E21" s="469">
        <f>E19+E20</f>
        <v>842876731</v>
      </c>
      <c r="F21" s="13" t="str">
        <f>"Line "&amp;A19&amp;" + Line "&amp;A20&amp;""</f>
        <v>Line 10 + Line 11</v>
      </c>
    </row>
    <row r="22" spans="1:7" ht="15" x14ac:dyDescent="0.25">
      <c r="A22" s="277">
        <v>13</v>
      </c>
      <c r="B22" s="1099" t="s">
        <v>1306</v>
      </c>
      <c r="C22" s="1100"/>
      <c r="D22" s="1100"/>
      <c r="E22" s="467">
        <v>842876731</v>
      </c>
      <c r="F22" s="456" t="s">
        <v>1307</v>
      </c>
    </row>
    <row r="23" spans="1:7" x14ac:dyDescent="0.2">
      <c r="C23" s="63"/>
      <c r="D23" s="63"/>
    </row>
    <row r="24" spans="1:7" x14ac:dyDescent="0.2">
      <c r="C24" s="63"/>
      <c r="D24" s="63"/>
    </row>
    <row r="25" spans="1:7" x14ac:dyDescent="0.2">
      <c r="A25" s="53" t="s">
        <v>269</v>
      </c>
    </row>
    <row r="26" spans="1:7" x14ac:dyDescent="0.2">
      <c r="A26" s="64">
        <v>1</v>
      </c>
      <c r="B26" s="12" t="s">
        <v>1333</v>
      </c>
    </row>
    <row r="27" spans="1:7" x14ac:dyDescent="0.2">
      <c r="A27" s="64">
        <v>2</v>
      </c>
      <c r="B27" s="12" t="s">
        <v>1336</v>
      </c>
    </row>
    <row r="28" spans="1:7" x14ac:dyDescent="0.2">
      <c r="A28" s="64">
        <v>3</v>
      </c>
      <c r="B28" t="s">
        <v>2157</v>
      </c>
    </row>
    <row r="29" spans="1:7" x14ac:dyDescent="0.2">
      <c r="A29" s="64">
        <v>4</v>
      </c>
      <c r="B29" t="s">
        <v>1308</v>
      </c>
      <c r="E29" s="470"/>
    </row>
    <row r="30" spans="1:7" x14ac:dyDescent="0.2">
      <c r="B30" t="s">
        <v>1309</v>
      </c>
      <c r="E30" s="470"/>
    </row>
    <row r="31" spans="1:7" x14ac:dyDescent="0.2">
      <c r="E31" s="470"/>
    </row>
    <row r="32" spans="1:7" x14ac:dyDescent="0.2">
      <c r="A32"/>
      <c r="E32" s="470"/>
    </row>
    <row r="33" spans="1:5" x14ac:dyDescent="0.2">
      <c r="A33"/>
      <c r="E33" s="470"/>
    </row>
    <row r="34" spans="1:5" x14ac:dyDescent="0.2">
      <c r="A34"/>
      <c r="E34" s="470"/>
    </row>
    <row r="35" spans="1:5" x14ac:dyDescent="0.2">
      <c r="A35"/>
      <c r="E35" s="470"/>
    </row>
    <row r="39" spans="1:5" x14ac:dyDescent="0.2">
      <c r="A39"/>
      <c r="C39" s="117"/>
      <c r="D39" s="117"/>
      <c r="E39" s="117"/>
    </row>
    <row r="40" spans="1:5" x14ac:dyDescent="0.2">
      <c r="A40"/>
      <c r="C40" s="117"/>
      <c r="D40" s="117"/>
      <c r="E40" s="117"/>
    </row>
    <row r="41" spans="1:5" x14ac:dyDescent="0.2">
      <c r="A41"/>
      <c r="C41" s="117"/>
      <c r="D41" s="117"/>
      <c r="E41" s="117"/>
    </row>
    <row r="42" spans="1:5" x14ac:dyDescent="0.2">
      <c r="A42"/>
      <c r="C42" s="117"/>
      <c r="D42" s="117"/>
      <c r="E42" s="117"/>
    </row>
    <row r="43" spans="1:5" x14ac:dyDescent="0.2">
      <c r="A43"/>
      <c r="C43" s="117"/>
      <c r="D43" s="117"/>
      <c r="E43" s="117"/>
    </row>
    <row r="44" spans="1:5" x14ac:dyDescent="0.2">
      <c r="A44"/>
      <c r="C44" s="117"/>
      <c r="D44" s="117"/>
      <c r="E44" s="117"/>
    </row>
    <row r="45" spans="1:5" x14ac:dyDescent="0.2">
      <c r="A45"/>
      <c r="C45" s="117"/>
      <c r="D45" s="117"/>
      <c r="E45" s="117"/>
    </row>
    <row r="46" spans="1:5" x14ac:dyDescent="0.2">
      <c r="A46"/>
      <c r="C46" s="117"/>
      <c r="D46" s="117"/>
      <c r="E46" s="117"/>
    </row>
    <row r="47" spans="1:5" x14ac:dyDescent="0.2">
      <c r="A47"/>
      <c r="C47" s="117"/>
      <c r="D47" s="117"/>
      <c r="E47" s="117"/>
    </row>
    <row r="48" spans="1:5" x14ac:dyDescent="0.2">
      <c r="A48"/>
      <c r="C48" s="117"/>
      <c r="D48" s="117"/>
      <c r="E48" s="117"/>
    </row>
    <row r="49" spans="1:5" x14ac:dyDescent="0.2">
      <c r="A49"/>
      <c r="C49" s="117"/>
      <c r="D49" s="117"/>
      <c r="E49" s="117"/>
    </row>
    <row r="50" spans="1:5" x14ac:dyDescent="0.2">
      <c r="A50"/>
      <c r="C50" s="117"/>
      <c r="D50" s="117"/>
      <c r="E50" s="117"/>
    </row>
    <row r="51" spans="1:5" x14ac:dyDescent="0.2">
      <c r="A51"/>
      <c r="C51" s="117"/>
      <c r="D51" s="117"/>
      <c r="E51" s="117"/>
    </row>
    <row r="54" spans="1:5" x14ac:dyDescent="0.2">
      <c r="A54"/>
      <c r="E54" s="117"/>
    </row>
  </sheetData>
  <mergeCells count="3">
    <mergeCell ref="B8:D8"/>
    <mergeCell ref="B15:D15"/>
    <mergeCell ref="B22:D22"/>
  </mergeCells>
  <pageMargins left="0.7" right="0.7" top="0.75" bottom="0.75" header="0.3" footer="0.3"/>
  <pageSetup scale="75" orientation="portrait" r:id="rId1"/>
  <headerFooter>
    <oddHeader>&amp;CSchedule 22
Network Upgrade Credits and Interest Expense&amp;RDkt. No. ER11-3697
2014 Draft Informational Filing</oddHeader>
    <oddFooter>&amp;RNUCs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activeCell="P80" sqref="P80"/>
    </sheetView>
  </sheetViews>
  <sheetFormatPr defaultRowHeight="12.75" x14ac:dyDescent="0.2"/>
  <cols>
    <col min="1" max="1" width="4.7109375" customWidth="1"/>
    <col min="2" max="2" width="30.7109375" customWidth="1"/>
    <col min="3" max="5" width="15.7109375" customWidth="1"/>
    <col min="6" max="6" width="3.7109375" customWidth="1"/>
    <col min="7" max="8" width="10.7109375" customWidth="1"/>
  </cols>
  <sheetData>
    <row r="1" spans="1:7" x14ac:dyDescent="0.2">
      <c r="A1" s="1" t="s">
        <v>482</v>
      </c>
    </row>
    <row r="3" spans="1:7" x14ac:dyDescent="0.2">
      <c r="A3" s="53" t="s">
        <v>380</v>
      </c>
    </row>
    <row r="4" spans="1:7" x14ac:dyDescent="0.2">
      <c r="A4" s="2">
        <v>1</v>
      </c>
      <c r="B4" s="12" t="s">
        <v>484</v>
      </c>
    </row>
    <row r="5" spans="1:7" x14ac:dyDescent="0.2">
      <c r="A5" s="2">
        <f>A4+1</f>
        <v>2</v>
      </c>
      <c r="B5" s="12" t="s">
        <v>483</v>
      </c>
    </row>
    <row r="6" spans="1:7" x14ac:dyDescent="0.2">
      <c r="A6" s="2">
        <f t="shared" ref="A6:A19" si="0">A5+1</f>
        <v>3</v>
      </c>
      <c r="B6" s="12" t="s">
        <v>1481</v>
      </c>
    </row>
    <row r="7" spans="1:7" x14ac:dyDescent="0.2">
      <c r="A7" s="2">
        <f t="shared" si="0"/>
        <v>4</v>
      </c>
    </row>
    <row r="8" spans="1:7" x14ac:dyDescent="0.2">
      <c r="A8" s="2">
        <f t="shared" si="0"/>
        <v>5</v>
      </c>
      <c r="B8" s="12" t="s">
        <v>486</v>
      </c>
    </row>
    <row r="9" spans="1:7" x14ac:dyDescent="0.2">
      <c r="A9" s="2">
        <f t="shared" si="0"/>
        <v>6</v>
      </c>
      <c r="B9" s="12" t="s">
        <v>485</v>
      </c>
    </row>
    <row r="10" spans="1:7" x14ac:dyDescent="0.2">
      <c r="A10" s="2">
        <f t="shared" si="0"/>
        <v>7</v>
      </c>
    </row>
    <row r="11" spans="1:7" x14ac:dyDescent="0.2">
      <c r="A11" s="2">
        <f t="shared" si="0"/>
        <v>8</v>
      </c>
      <c r="B11" s="12" t="s">
        <v>489</v>
      </c>
    </row>
    <row r="12" spans="1:7" x14ac:dyDescent="0.2">
      <c r="A12" s="2">
        <f t="shared" si="0"/>
        <v>9</v>
      </c>
      <c r="B12" s="12" t="s">
        <v>487</v>
      </c>
    </row>
    <row r="13" spans="1:7" x14ac:dyDescent="0.2">
      <c r="A13" s="2">
        <f t="shared" si="0"/>
        <v>10</v>
      </c>
      <c r="B13" s="12" t="s">
        <v>488</v>
      </c>
    </row>
    <row r="14" spans="1:7" x14ac:dyDescent="0.2">
      <c r="A14" s="2">
        <f t="shared" si="0"/>
        <v>11</v>
      </c>
    </row>
    <row r="15" spans="1:7" x14ac:dyDescent="0.2">
      <c r="A15" s="2">
        <f t="shared" si="0"/>
        <v>12</v>
      </c>
      <c r="B15" s="12"/>
      <c r="E15" s="2" t="s">
        <v>79</v>
      </c>
    </row>
    <row r="16" spans="1:7" x14ac:dyDescent="0.2">
      <c r="A16" s="2">
        <f t="shared" si="0"/>
        <v>13</v>
      </c>
      <c r="E16" s="3" t="s">
        <v>203</v>
      </c>
      <c r="G16" s="55" t="s">
        <v>178</v>
      </c>
    </row>
    <row r="17" spans="1:7" x14ac:dyDescent="0.2">
      <c r="A17" s="2">
        <f t="shared" si="0"/>
        <v>14</v>
      </c>
      <c r="B17" s="12" t="s">
        <v>491</v>
      </c>
      <c r="E17" s="67">
        <f>D29</f>
        <v>0</v>
      </c>
      <c r="G17" s="12" t="s">
        <v>610</v>
      </c>
    </row>
    <row r="18" spans="1:7" x14ac:dyDescent="0.2">
      <c r="A18" s="2">
        <f t="shared" si="0"/>
        <v>15</v>
      </c>
      <c r="B18" s="683" t="s">
        <v>2073</v>
      </c>
      <c r="E18" s="67">
        <f>(C29+D29)/2</f>
        <v>0</v>
      </c>
      <c r="G18" s="683" t="str">
        <f>"Avg. of L "&amp;A29&amp;", C1 and C2"</f>
        <v>Avg. of L 20, C1 and C2</v>
      </c>
    </row>
    <row r="19" spans="1:7" x14ac:dyDescent="0.2">
      <c r="A19" s="2">
        <f t="shared" si="0"/>
        <v>16</v>
      </c>
      <c r="B19" s="12" t="s">
        <v>490</v>
      </c>
      <c r="E19" s="67">
        <f>E29</f>
        <v>0</v>
      </c>
      <c r="G19" s="12" t="str">
        <f>"Line "&amp;A29&amp;", C3"</f>
        <v>Line 20, C3</v>
      </c>
    </row>
    <row r="20" spans="1:7" x14ac:dyDescent="0.2">
      <c r="A20" s="2"/>
      <c r="B20" s="12"/>
      <c r="E20" s="67"/>
    </row>
    <row r="21" spans="1:7" x14ac:dyDescent="0.2">
      <c r="A21" s="2"/>
      <c r="C21" s="4" t="s">
        <v>501</v>
      </c>
      <c r="D21" s="4" t="s">
        <v>502</v>
      </c>
      <c r="E21" s="4" t="s">
        <v>503</v>
      </c>
    </row>
    <row r="22" spans="1:7" x14ac:dyDescent="0.2">
      <c r="A22" s="2"/>
      <c r="C22" s="2" t="s">
        <v>79</v>
      </c>
      <c r="D22" s="2" t="s">
        <v>79</v>
      </c>
    </row>
    <row r="23" spans="1:7" x14ac:dyDescent="0.2">
      <c r="A23" s="2"/>
      <c r="B23" s="2" t="s">
        <v>492</v>
      </c>
      <c r="C23" s="2" t="s">
        <v>448</v>
      </c>
      <c r="D23" s="2" t="s">
        <v>349</v>
      </c>
      <c r="E23" s="2" t="s">
        <v>79</v>
      </c>
    </row>
    <row r="24" spans="1:7" x14ac:dyDescent="0.2">
      <c r="A24" s="2"/>
      <c r="B24" s="2" t="s">
        <v>493</v>
      </c>
      <c r="C24" s="2" t="s">
        <v>498</v>
      </c>
      <c r="D24" s="2" t="s">
        <v>498</v>
      </c>
      <c r="E24" s="2" t="s">
        <v>499</v>
      </c>
    </row>
    <row r="25" spans="1:7" x14ac:dyDescent="0.2">
      <c r="A25" s="2"/>
      <c r="B25" s="3" t="s">
        <v>494</v>
      </c>
      <c r="C25" s="3" t="s">
        <v>494</v>
      </c>
      <c r="D25" s="3" t="s">
        <v>494</v>
      </c>
      <c r="E25" s="3" t="s">
        <v>500</v>
      </c>
    </row>
    <row r="26" spans="1:7" x14ac:dyDescent="0.2">
      <c r="A26" s="2">
        <f>A19+1</f>
        <v>17</v>
      </c>
      <c r="B26" s="137" t="s">
        <v>495</v>
      </c>
      <c r="C26" s="127">
        <v>0</v>
      </c>
      <c r="D26" s="127">
        <v>0</v>
      </c>
      <c r="E26" s="127">
        <v>0</v>
      </c>
    </row>
    <row r="27" spans="1:7" x14ac:dyDescent="0.2">
      <c r="A27" s="2">
        <f>A26+1</f>
        <v>18</v>
      </c>
      <c r="B27" s="137" t="s">
        <v>496</v>
      </c>
      <c r="C27" s="127">
        <v>0</v>
      </c>
      <c r="D27" s="127">
        <v>0</v>
      </c>
      <c r="E27" s="127">
        <v>0</v>
      </c>
    </row>
    <row r="28" spans="1:7" x14ac:dyDescent="0.2">
      <c r="A28" s="2">
        <f>A27+1</f>
        <v>19</v>
      </c>
      <c r="B28" s="137" t="s">
        <v>497</v>
      </c>
      <c r="C28" s="138">
        <v>0</v>
      </c>
      <c r="D28" s="138">
        <v>0</v>
      </c>
      <c r="E28" s="138">
        <v>0</v>
      </c>
    </row>
    <row r="29" spans="1:7" x14ac:dyDescent="0.2">
      <c r="A29" s="835">
        <f>A28+1</f>
        <v>20</v>
      </c>
      <c r="B29" s="12" t="s">
        <v>226</v>
      </c>
      <c r="C29" s="7">
        <f>SUM(C26:C28)</f>
        <v>0</v>
      </c>
      <c r="D29" s="7">
        <f>SUM(D26:D28)</f>
        <v>0</v>
      </c>
      <c r="E29" s="7">
        <f>SUM(E26:E28)</f>
        <v>0</v>
      </c>
      <c r="G29" s="12" t="s">
        <v>375</v>
      </c>
    </row>
    <row r="30" spans="1:7" x14ac:dyDescent="0.2">
      <c r="A30" s="2"/>
    </row>
    <row r="31" spans="1:7" x14ac:dyDescent="0.2">
      <c r="A31" s="2"/>
      <c r="B31" s="1" t="s">
        <v>445</v>
      </c>
    </row>
    <row r="32" spans="1:7" x14ac:dyDescent="0.2">
      <c r="A32" s="2"/>
      <c r="B32" s="12" t="s">
        <v>505</v>
      </c>
    </row>
    <row r="33" spans="1:2" x14ac:dyDescent="0.2">
      <c r="A33" s="2"/>
      <c r="B33" s="12" t="s">
        <v>504</v>
      </c>
    </row>
    <row r="34" spans="1:2" x14ac:dyDescent="0.2">
      <c r="A34" s="2"/>
      <c r="B34" s="13" t="s">
        <v>611</v>
      </c>
    </row>
    <row r="35" spans="1:2" x14ac:dyDescent="0.2">
      <c r="A35" s="2"/>
      <c r="B35" s="13" t="s">
        <v>612</v>
      </c>
    </row>
    <row r="36" spans="1:2" x14ac:dyDescent="0.2">
      <c r="A36" s="2"/>
      <c r="B36" s="12" t="s">
        <v>506</v>
      </c>
    </row>
    <row r="37" spans="1:2" x14ac:dyDescent="0.2">
      <c r="A37" s="2"/>
    </row>
    <row r="38" spans="1:2" x14ac:dyDescent="0.2">
      <c r="A38" s="2"/>
    </row>
  </sheetData>
  <pageMargins left="0.7" right="0.7" top="0.75" bottom="0.75" header="0.3" footer="0.3"/>
  <pageSetup orientation="landscape" r:id="rId1"/>
  <headerFooter>
    <oddHeader>&amp;CSchedule 23
Regulatory Assets and Liabilities&amp;RDkt. No. ER11-3697
2014 Draft Informational Filing</oddHeader>
    <oddFooter>&amp;RRegAssets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topLeftCell="B157" zoomScale="85" zoomScaleNormal="85" workbookViewId="0">
      <selection activeCell="H26" sqref="H26"/>
    </sheetView>
  </sheetViews>
  <sheetFormatPr defaultRowHeight="12.75" x14ac:dyDescent="0.2"/>
  <cols>
    <col min="1" max="2" width="4.7109375" customWidth="1"/>
    <col min="3" max="3" width="28.7109375" customWidth="1"/>
    <col min="4" max="8" width="14.7109375" customWidth="1"/>
  </cols>
  <sheetData>
    <row r="1" spans="1:9" ht="15" x14ac:dyDescent="0.25">
      <c r="A1" s="1" t="s">
        <v>1523</v>
      </c>
      <c r="I1" s="434"/>
    </row>
    <row r="3" spans="1:9" x14ac:dyDescent="0.2">
      <c r="B3" s="1" t="s">
        <v>1894</v>
      </c>
    </row>
    <row r="4" spans="1:9" x14ac:dyDescent="0.2">
      <c r="B4" s="1"/>
    </row>
    <row r="5" spans="1:9" x14ac:dyDescent="0.2">
      <c r="B5" s="1"/>
      <c r="C5" s="1" t="s">
        <v>1740</v>
      </c>
      <c r="D5" s="99" t="s">
        <v>417</v>
      </c>
      <c r="E5" s="99" t="s">
        <v>400</v>
      </c>
      <c r="F5" s="99" t="s">
        <v>401</v>
      </c>
    </row>
    <row r="6" spans="1:9" ht="15" x14ac:dyDescent="0.25">
      <c r="D6" s="277" t="s">
        <v>79</v>
      </c>
      <c r="E6" s="277" t="s">
        <v>79</v>
      </c>
      <c r="F6" s="277" t="s">
        <v>228</v>
      </c>
    </row>
    <row r="7" spans="1:9" ht="15" x14ac:dyDescent="0.25">
      <c r="C7" s="1"/>
      <c r="D7" s="277" t="s">
        <v>349</v>
      </c>
      <c r="E7" s="277" t="s">
        <v>268</v>
      </c>
      <c r="F7" s="277" t="s">
        <v>229</v>
      </c>
    </row>
    <row r="8" spans="1:9" x14ac:dyDescent="0.2">
      <c r="A8" s="3" t="s">
        <v>380</v>
      </c>
      <c r="C8" s="3" t="s">
        <v>263</v>
      </c>
      <c r="D8" s="3" t="s">
        <v>203</v>
      </c>
      <c r="E8" s="3" t="s">
        <v>203</v>
      </c>
      <c r="F8" s="3" t="s">
        <v>203</v>
      </c>
      <c r="G8" s="3" t="s">
        <v>207</v>
      </c>
    </row>
    <row r="9" spans="1:9" x14ac:dyDescent="0.2">
      <c r="A9" s="2">
        <v>1</v>
      </c>
      <c r="C9" s="110" t="s">
        <v>1538</v>
      </c>
      <c r="D9" s="7">
        <f>CWIP!E24</f>
        <v>791056336.65999997</v>
      </c>
      <c r="E9" s="7">
        <f>CWIP!E25</f>
        <v>928168461.01007903</v>
      </c>
      <c r="F9" s="7">
        <f>CWIP!E137</f>
        <v>-9657773.5894911475</v>
      </c>
      <c r="G9" s="13" t="str">
        <f>"CWIP WS, Lines "&amp;CWIP!A24&amp;", "&amp;CWIP!A25&amp;", "&amp;CWIP!A137&amp;""</f>
        <v>CWIP WS, Lines 13, 14, 92</v>
      </c>
    </row>
    <row r="10" spans="1:9" x14ac:dyDescent="0.2">
      <c r="A10" s="2">
        <f>A9+1</f>
        <v>2</v>
      </c>
      <c r="C10" s="110" t="s">
        <v>1539</v>
      </c>
      <c r="D10" s="7">
        <f>CWIP!F24</f>
        <v>537340673.84000003</v>
      </c>
      <c r="E10" s="7">
        <f>CWIP!F25</f>
        <v>305945176.07943881</v>
      </c>
      <c r="F10" s="7">
        <f>CWIP!F137</f>
        <v>-530144853.68553329</v>
      </c>
      <c r="G10" s="13" t="str">
        <f>"CWIP WS, Lines "&amp;CWIP!A24&amp;", "&amp;CWIP!A25&amp;", "&amp;CWIP!A137&amp;""</f>
        <v>CWIP WS, Lines 13, 14, 92</v>
      </c>
    </row>
    <row r="11" spans="1:9" x14ac:dyDescent="0.2">
      <c r="A11" s="2">
        <f t="shared" ref="A11:A20" si="0">A10+1</f>
        <v>3</v>
      </c>
      <c r="C11" s="110" t="s">
        <v>1540</v>
      </c>
      <c r="D11" s="7">
        <f>CWIP!G24</f>
        <v>149797194.14000002</v>
      </c>
      <c r="E11" s="7">
        <f>CWIP!G25</f>
        <v>67821660.70964402</v>
      </c>
      <c r="F11" s="7">
        <f>CWIP!G137</f>
        <v>-149797190.29999998</v>
      </c>
      <c r="G11" s="13" t="str">
        <f>"CWIP WS, Lines "&amp;CWIP!A24&amp;", "&amp;CWIP!A25&amp;", "&amp;CWIP!A137&amp;""</f>
        <v>CWIP WS, Lines 13, 14, 92</v>
      </c>
    </row>
    <row r="12" spans="1:9" x14ac:dyDescent="0.2">
      <c r="A12" s="2">
        <f t="shared" si="0"/>
        <v>4</v>
      </c>
      <c r="C12" s="110" t="s">
        <v>1541</v>
      </c>
      <c r="D12" s="7">
        <f>CWIP!H24</f>
        <v>-69617.340000000084</v>
      </c>
      <c r="E12" s="7">
        <f>CWIP!H25</f>
        <v>-70159.231515233419</v>
      </c>
      <c r="F12" s="7">
        <f>CWIP!H137</f>
        <v>0</v>
      </c>
      <c r="G12" s="13" t="str">
        <f>"CWIP WS, Lines "&amp;CWIP!A24&amp;", "&amp;CWIP!A25&amp;", "&amp;CWIP!A137&amp;""</f>
        <v>CWIP WS, Lines 13, 14, 92</v>
      </c>
    </row>
    <row r="13" spans="1:9" x14ac:dyDescent="0.2">
      <c r="A13" s="2">
        <f t="shared" si="0"/>
        <v>5</v>
      </c>
      <c r="C13" s="110" t="s">
        <v>1542</v>
      </c>
      <c r="D13" s="7">
        <f>CWIP!I24</f>
        <v>150654601.54999998</v>
      </c>
      <c r="E13" s="7">
        <f>CWIP!I25</f>
        <v>69027361.589334413</v>
      </c>
      <c r="F13" s="7">
        <f>CWIP!I137</f>
        <v>-148367224.52423075</v>
      </c>
      <c r="G13" s="13" t="str">
        <f>"CWIP WS, Lines "&amp;CWIP!A24&amp;", "&amp;CWIP!A25&amp;", "&amp;CWIP!A137&amp;""</f>
        <v>CWIP WS, Lines 13, 14, 92</v>
      </c>
    </row>
    <row r="14" spans="1:9" x14ac:dyDescent="0.2">
      <c r="A14" s="2">
        <f t="shared" si="0"/>
        <v>6</v>
      </c>
      <c r="C14" s="110" t="s">
        <v>1543</v>
      </c>
      <c r="D14" s="7">
        <f>CWIP!D44</f>
        <v>3256743.08</v>
      </c>
      <c r="E14" s="7">
        <f>CWIP!D45</f>
        <v>4861315.323947289</v>
      </c>
      <c r="F14" s="7">
        <f>CWIP!D165</f>
        <v>27550038.126923081</v>
      </c>
      <c r="G14" s="13" t="str">
        <f>"CWIP WS, Lines "&amp;CWIP!A44&amp;", "&amp;CWIP!A45&amp;", "&amp;CWIP!A165&amp;""</f>
        <v>CWIP WS, Lines 27, 28, 114</v>
      </c>
    </row>
    <row r="15" spans="1:9" x14ac:dyDescent="0.2">
      <c r="A15" s="2">
        <f t="shared" si="0"/>
        <v>7</v>
      </c>
      <c r="C15" s="110" t="s">
        <v>1544</v>
      </c>
      <c r="D15" s="7">
        <f>CWIP!E44</f>
        <v>48014271.539999999</v>
      </c>
      <c r="E15" s="7">
        <f>CWIP!E45</f>
        <v>29232262.877808098</v>
      </c>
      <c r="F15" s="7">
        <f>CWIP!E165</f>
        <v>-48014271.540000007</v>
      </c>
      <c r="G15" s="13" t="str">
        <f>"CWIP WS, Lines "&amp;CWIP!A44&amp;", "&amp;CWIP!A45&amp;", "&amp;CWIP!A165&amp;""</f>
        <v>CWIP WS, Lines 27, 28, 114</v>
      </c>
    </row>
    <row r="16" spans="1:9" x14ac:dyDescent="0.2">
      <c r="A16" s="2">
        <f t="shared" si="0"/>
        <v>8</v>
      </c>
      <c r="C16" s="110" t="s">
        <v>1545</v>
      </c>
      <c r="D16" s="7">
        <f>CWIP!F44</f>
        <v>10365518.710000001</v>
      </c>
      <c r="E16" s="7">
        <f>CWIP!F45</f>
        <v>5592409.1441755388</v>
      </c>
      <c r="F16" s="7">
        <f>CWIP!F165</f>
        <v>16046968.957639324</v>
      </c>
      <c r="G16" s="13" t="str">
        <f>"CWIP WS, Lines "&amp;CWIP!A44&amp;", "&amp;CWIP!A45&amp;", "&amp;CWIP!A165&amp;""</f>
        <v>CWIP WS, Lines 27, 28, 114</v>
      </c>
    </row>
    <row r="17" spans="1:7" x14ac:dyDescent="0.2">
      <c r="A17" s="2">
        <f t="shared" si="0"/>
        <v>9</v>
      </c>
      <c r="C17" s="110" t="s">
        <v>1546</v>
      </c>
      <c r="D17" s="7">
        <f>CWIP!G44</f>
        <v>13832634.930000002</v>
      </c>
      <c r="E17" s="7">
        <f>CWIP!G45</f>
        <v>8898462.5574217569</v>
      </c>
      <c r="F17" s="7">
        <f>CWIP!G165</f>
        <v>11775550.578846155</v>
      </c>
      <c r="G17" s="13" t="str">
        <f>"CWIP WS, Lines "&amp;CWIP!A44&amp;", "&amp;CWIP!A45&amp;", "&amp;CWIP!A165&amp;""</f>
        <v>CWIP WS, Lines 27, 28, 114</v>
      </c>
    </row>
    <row r="18" spans="1:7" x14ac:dyDescent="0.2">
      <c r="A18" s="2">
        <f t="shared" si="0"/>
        <v>10</v>
      </c>
      <c r="C18" s="510" t="s">
        <v>1547</v>
      </c>
      <c r="D18" s="511" t="str">
        <f>CWIP!H44</f>
        <v>---</v>
      </c>
      <c r="E18" s="511" t="str">
        <f>CWIP!H45</f>
        <v>---</v>
      </c>
      <c r="F18" s="511" t="str">
        <f>CWIP!H165</f>
        <v>---</v>
      </c>
      <c r="G18" s="13" t="str">
        <f>"CWIP WS, Lines "&amp;CWIP!A44&amp;", "&amp;CWIP!A45&amp;", "&amp;CWIP!A165&amp;""</f>
        <v>CWIP WS, Lines 27, 28, 114</v>
      </c>
    </row>
    <row r="19" spans="1:7" x14ac:dyDescent="0.2">
      <c r="A19" s="2">
        <f t="shared" si="0"/>
        <v>11</v>
      </c>
      <c r="C19" s="510" t="s">
        <v>1548</v>
      </c>
      <c r="D19" s="511" t="str">
        <f>CWIP!I44</f>
        <v>---</v>
      </c>
      <c r="E19" s="511" t="str">
        <f>CWIP!I45</f>
        <v>---</v>
      </c>
      <c r="F19" s="511" t="str">
        <f>CWIP!I165</f>
        <v>---</v>
      </c>
      <c r="G19" s="13" t="str">
        <f>"CWIP WS, Lines "&amp;CWIP!A44&amp;", "&amp;CWIP!A45&amp;", "&amp;CWIP!A165&amp;""</f>
        <v>CWIP WS, Lines 27, 28, 114</v>
      </c>
    </row>
    <row r="20" spans="1:7" x14ac:dyDescent="0.2">
      <c r="A20" s="2">
        <f t="shared" si="0"/>
        <v>12</v>
      </c>
      <c r="C20" s="110" t="s">
        <v>226</v>
      </c>
      <c r="D20" s="7">
        <f>SUM(D9:D19)</f>
        <v>1704248357.1100001</v>
      </c>
      <c r="E20" s="7">
        <f>SUM(E9:E19)</f>
        <v>1419476950.0603337</v>
      </c>
      <c r="F20" s="7">
        <f>SUM(F9:F19)</f>
        <v>-830608755.97584653</v>
      </c>
      <c r="G20" s="13" t="str">
        <f>"Sum of Lines "&amp;A9&amp;" to "&amp;A19&amp;""</f>
        <v>Sum of Lines 1 to 11</v>
      </c>
    </row>
    <row r="21" spans="1:7" x14ac:dyDescent="0.2">
      <c r="A21" s="2"/>
      <c r="C21" s="1"/>
    </row>
    <row r="22" spans="1:7" ht="15" x14ac:dyDescent="0.25">
      <c r="A22" s="2"/>
      <c r="C22" s="1" t="s">
        <v>1537</v>
      </c>
      <c r="D22" s="277" t="s">
        <v>349</v>
      </c>
      <c r="E22" s="277" t="s">
        <v>268</v>
      </c>
      <c r="F22" s="13"/>
    </row>
    <row r="23" spans="1:7" x14ac:dyDescent="0.2">
      <c r="D23" s="3" t="s">
        <v>203</v>
      </c>
      <c r="E23" s="3" t="s">
        <v>203</v>
      </c>
      <c r="F23" s="3" t="s">
        <v>207</v>
      </c>
    </row>
    <row r="24" spans="1:7" x14ac:dyDescent="0.2">
      <c r="A24" s="2">
        <f>A20+1</f>
        <v>13</v>
      </c>
      <c r="C24" s="110" t="s">
        <v>1741</v>
      </c>
      <c r="D24" s="7">
        <f>D20</f>
        <v>1704248357.1100001</v>
      </c>
      <c r="E24" s="7">
        <f>E20</f>
        <v>1419476950.0603337</v>
      </c>
      <c r="F24" s="16" t="str">
        <f>"Line "&amp;A20&amp;""</f>
        <v>Line 12</v>
      </c>
    </row>
    <row r="25" spans="1:7" x14ac:dyDescent="0.2">
      <c r="A25" s="2">
        <f>A24+1</f>
        <v>14</v>
      </c>
      <c r="C25" s="110" t="s">
        <v>1524</v>
      </c>
      <c r="D25" s="8">
        <f>BaseTRR!K91</f>
        <v>7.9883096434750375E-2</v>
      </c>
      <c r="E25" s="8">
        <f>BaseTRR!K91</f>
        <v>7.9883096434750375E-2</v>
      </c>
      <c r="F25" s="16" t="str">
        <f>"BaseTRR WS, Line "&amp;BaseTRR!A91&amp;""</f>
        <v>BaseTRR WS, Line 53</v>
      </c>
    </row>
    <row r="26" spans="1:7" x14ac:dyDescent="0.2">
      <c r="A26" s="2">
        <f>A25+1</f>
        <v>15</v>
      </c>
      <c r="C26" s="37" t="s">
        <v>1742</v>
      </c>
      <c r="D26" s="7">
        <f>D24*D25</f>
        <v>136140635.85978302</v>
      </c>
      <c r="E26" s="7">
        <f>E24*E25</f>
        <v>113392214.08857498</v>
      </c>
      <c r="F26" s="16" t="str">
        <f>"Line "&amp;A24&amp;" * Line "&amp;A25&amp;""</f>
        <v>Line 13 * Line 14</v>
      </c>
    </row>
    <row r="28" spans="1:7" x14ac:dyDescent="0.2">
      <c r="C28" s="1" t="s">
        <v>103</v>
      </c>
    </row>
    <row r="29" spans="1:7" ht="15" x14ac:dyDescent="0.25">
      <c r="D29" s="277" t="s">
        <v>349</v>
      </c>
      <c r="E29" s="277" t="s">
        <v>268</v>
      </c>
    </row>
    <row r="30" spans="1:7" x14ac:dyDescent="0.2">
      <c r="D30" s="3" t="s">
        <v>203</v>
      </c>
      <c r="E30" s="3" t="s">
        <v>203</v>
      </c>
      <c r="F30" s="3" t="s">
        <v>207</v>
      </c>
    </row>
    <row r="31" spans="1:7" ht="15" x14ac:dyDescent="0.25">
      <c r="A31" s="277">
        <f>A26+1</f>
        <v>16</v>
      </c>
      <c r="C31" s="110" t="s">
        <v>1741</v>
      </c>
      <c r="D31" s="7">
        <f>D20</f>
        <v>1704248357.1100001</v>
      </c>
      <c r="E31" s="7">
        <f>E20</f>
        <v>1419476950.0603337</v>
      </c>
      <c r="F31" s="16" t="str">
        <f>"Line "&amp;A20&amp;""</f>
        <v>Line 12</v>
      </c>
    </row>
    <row r="32" spans="1:7" x14ac:dyDescent="0.2">
      <c r="A32" s="2">
        <f t="shared" ref="A32:A38" si="1">A31+1</f>
        <v>17</v>
      </c>
      <c r="C32" s="425" t="s">
        <v>1743</v>
      </c>
      <c r="D32" s="8">
        <f>BaseTRR!K93</f>
        <v>5.5682309717842722E-2</v>
      </c>
      <c r="E32" s="8">
        <f>BaseTRR!K93</f>
        <v>5.5682309717842722E-2</v>
      </c>
      <c r="F32" s="16" t="str">
        <f>"BaseTRR WS, Line "&amp;BaseTRR!A93&amp;""</f>
        <v>BaseTRR WS, Line 54</v>
      </c>
    </row>
    <row r="33" spans="1:7" x14ac:dyDescent="0.2">
      <c r="A33" s="2">
        <f t="shared" si="1"/>
        <v>18</v>
      </c>
      <c r="C33" s="425" t="s">
        <v>1237</v>
      </c>
      <c r="D33" s="8">
        <f>BaseTRR!K102</f>
        <v>0.39936028204298801</v>
      </c>
      <c r="E33" s="8">
        <f>BaseTRR!K102</f>
        <v>0.39936028204298801</v>
      </c>
      <c r="F33" s="16" t="str">
        <f>"BaseTRR WS, Line "&amp;BaseTRR!A102&amp;""</f>
        <v>BaseTRR WS, Line 58</v>
      </c>
    </row>
    <row r="34" spans="1:7" x14ac:dyDescent="0.2">
      <c r="A34" s="2">
        <f t="shared" si="1"/>
        <v>19</v>
      </c>
      <c r="C34" s="110" t="s">
        <v>304</v>
      </c>
      <c r="D34" s="7">
        <f>((D24*D32)*(D33/(1-D33)))</f>
        <v>63095872.324549921</v>
      </c>
      <c r="E34" s="7">
        <f>((E24*E32)*(E33/(1-E33)))</f>
        <v>52552866.508568101</v>
      </c>
      <c r="F34" s="13" t="s">
        <v>1549</v>
      </c>
    </row>
    <row r="35" spans="1:7" x14ac:dyDescent="0.2">
      <c r="A35" s="2">
        <f t="shared" si="1"/>
        <v>20</v>
      </c>
    </row>
    <row r="36" spans="1:7" x14ac:dyDescent="0.2">
      <c r="A36" s="2">
        <f t="shared" si="1"/>
        <v>21</v>
      </c>
      <c r="C36" s="13" t="s">
        <v>1525</v>
      </c>
      <c r="E36" s="7"/>
      <c r="F36" s="12"/>
    </row>
    <row r="37" spans="1:7" x14ac:dyDescent="0.2">
      <c r="A37" s="2">
        <f t="shared" si="1"/>
        <v>22</v>
      </c>
      <c r="C37" s="13" t="s">
        <v>1744</v>
      </c>
      <c r="E37" s="7"/>
      <c r="F37" s="12"/>
    </row>
    <row r="38" spans="1:7" x14ac:dyDescent="0.2">
      <c r="A38" s="2">
        <f t="shared" si="1"/>
        <v>23</v>
      </c>
      <c r="D38" s="13"/>
      <c r="E38" s="7"/>
      <c r="F38" s="12"/>
      <c r="G38" s="13"/>
    </row>
    <row r="39" spans="1:7" x14ac:dyDescent="0.2">
      <c r="C39" s="1" t="s">
        <v>1534</v>
      </c>
    </row>
    <row r="40" spans="1:7" x14ac:dyDescent="0.2">
      <c r="D40" s="3" t="s">
        <v>199</v>
      </c>
      <c r="E40" s="3" t="s">
        <v>207</v>
      </c>
    </row>
    <row r="41" spans="1:7" x14ac:dyDescent="0.2">
      <c r="A41" s="2">
        <f>A38+1</f>
        <v>24</v>
      </c>
      <c r="C41" s="110" t="s">
        <v>596</v>
      </c>
      <c r="D41" s="7">
        <f>IncentiveAdder!G17</f>
        <v>8107.9052148112505</v>
      </c>
      <c r="E41" s="16" t="str">
        <f>"IncentiveAdder WS, Line "&amp;IncentiveAdder!A17&amp;""</f>
        <v>IncentiveAdder WS, Line 3</v>
      </c>
    </row>
    <row r="43" spans="1:7" x14ac:dyDescent="0.2">
      <c r="C43" s="57" t="s">
        <v>390</v>
      </c>
    </row>
    <row r="44" spans="1:7" ht="15" x14ac:dyDescent="0.25">
      <c r="D44" s="277" t="s">
        <v>349</v>
      </c>
      <c r="E44" s="277" t="s">
        <v>268</v>
      </c>
    </row>
    <row r="45" spans="1:7" x14ac:dyDescent="0.2">
      <c r="D45" s="3" t="s">
        <v>203</v>
      </c>
      <c r="E45" s="3" t="s">
        <v>203</v>
      </c>
    </row>
    <row r="46" spans="1:7" x14ac:dyDescent="0.2">
      <c r="A46" s="2">
        <f>A41+1</f>
        <v>25</v>
      </c>
      <c r="C46" s="110" t="s">
        <v>1745</v>
      </c>
      <c r="D46" s="7">
        <f>D9</f>
        <v>791056336.65999997</v>
      </c>
      <c r="E46" s="7">
        <f>E9</f>
        <v>928168461.01007903</v>
      </c>
      <c r="F46" s="16" t="str">
        <f>"Line "&amp;A9&amp;""</f>
        <v>Line 1</v>
      </c>
    </row>
    <row r="47" spans="1:7" x14ac:dyDescent="0.2">
      <c r="A47" s="2">
        <f>A46+1</f>
        <v>26</v>
      </c>
      <c r="C47" s="110" t="s">
        <v>1527</v>
      </c>
      <c r="D47" s="43">
        <f>IncentiveAdder!E26</f>
        <v>1.2500000000000001E-2</v>
      </c>
      <c r="E47" s="43">
        <f>IncentiveAdder!E26</f>
        <v>1.2500000000000001E-2</v>
      </c>
      <c r="F47" s="16" t="str">
        <f>"IncentiveAdder WS, Line "&amp;IncentiveAdder!A26&amp;""</f>
        <v>IncentiveAdder WS, Line 5</v>
      </c>
    </row>
    <row r="48" spans="1:7" x14ac:dyDescent="0.2">
      <c r="A48" s="2">
        <f>A47+1</f>
        <v>27</v>
      </c>
      <c r="C48" s="110" t="s">
        <v>1746</v>
      </c>
      <c r="D48" s="7">
        <f>(D46/1000000)*($D$41*(D47/0.01))</f>
        <v>8017262.2465188717</v>
      </c>
      <c r="E48" s="7">
        <f>(E46/1000000)*($D$41*(E47/0.01))</f>
        <v>9406877.3815586902</v>
      </c>
      <c r="F48" s="13" t="s">
        <v>1747</v>
      </c>
    </row>
    <row r="49" spans="1:6" x14ac:dyDescent="0.2">
      <c r="C49" s="62"/>
    </row>
    <row r="50" spans="1:6" x14ac:dyDescent="0.2">
      <c r="C50" s="57" t="s">
        <v>1535</v>
      </c>
      <c r="E50" s="3"/>
      <c r="F50" s="3"/>
    </row>
    <row r="51" spans="1:6" ht="15" x14ac:dyDescent="0.25">
      <c r="D51" s="277" t="s">
        <v>349</v>
      </c>
      <c r="E51" s="277" t="s">
        <v>268</v>
      </c>
    </row>
    <row r="52" spans="1:6" x14ac:dyDescent="0.2">
      <c r="D52" s="3" t="s">
        <v>203</v>
      </c>
      <c r="E52" s="3" t="s">
        <v>203</v>
      </c>
    </row>
    <row r="53" spans="1:6" x14ac:dyDescent="0.2">
      <c r="A53" s="2">
        <f>A48+1</f>
        <v>28</v>
      </c>
      <c r="C53" s="110" t="s">
        <v>1528</v>
      </c>
      <c r="D53" s="7">
        <f>D10</f>
        <v>537340673.84000003</v>
      </c>
      <c r="E53" s="7">
        <f>E10</f>
        <v>305945176.07943881</v>
      </c>
      <c r="F53" s="16" t="str">
        <f>"Line "&amp;A10&amp;""</f>
        <v>Line 2</v>
      </c>
    </row>
    <row r="54" spans="1:6" x14ac:dyDescent="0.2">
      <c r="A54" s="2">
        <f>A53+1</f>
        <v>29</v>
      </c>
      <c r="C54" s="110" t="s">
        <v>1527</v>
      </c>
      <c r="D54" s="43">
        <f>IncentiveAdder!E27</f>
        <v>0.01</v>
      </c>
      <c r="E54" s="43">
        <f>IncentiveAdder!E27</f>
        <v>0.01</v>
      </c>
      <c r="F54" s="16" t="str">
        <f>"IncentiveAdder WS, Line "&amp;IncentiveAdder!A27&amp;""</f>
        <v>IncentiveAdder WS, Line 6</v>
      </c>
    </row>
    <row r="55" spans="1:6" x14ac:dyDescent="0.2">
      <c r="A55" s="2">
        <f>A54+1</f>
        <v>30</v>
      </c>
      <c r="C55" s="110" t="s">
        <v>1746</v>
      </c>
      <c r="D55" s="7">
        <f>(D53/1000000)*($D$41*(D54/0.01))</f>
        <v>4356707.2515575271</v>
      </c>
      <c r="E55" s="7">
        <f>(E53/1000000)*($D$41*(E54/0.01))</f>
        <v>2480574.4885808281</v>
      </c>
      <c r="F55" s="13" t="s">
        <v>1747</v>
      </c>
    </row>
    <row r="56" spans="1:6" x14ac:dyDescent="0.2">
      <c r="A56" s="2">
        <f>A55+1</f>
        <v>31</v>
      </c>
      <c r="D56" s="52"/>
      <c r="E56" s="7"/>
      <c r="F56" s="13"/>
    </row>
    <row r="57" spans="1:6" x14ac:dyDescent="0.2">
      <c r="A57" s="2">
        <f>A56+1</f>
        <v>32</v>
      </c>
      <c r="C57" s="52" t="s">
        <v>1748</v>
      </c>
      <c r="D57" s="7"/>
      <c r="E57" s="13"/>
    </row>
    <row r="59" spans="1:6" x14ac:dyDescent="0.2">
      <c r="C59" s="1" t="s">
        <v>1895</v>
      </c>
    </row>
    <row r="60" spans="1:6" x14ac:dyDescent="0.2">
      <c r="C60" s="1"/>
    </row>
    <row r="61" spans="1:6" ht="15" x14ac:dyDescent="0.25">
      <c r="C61" s="1"/>
      <c r="E61" s="277" t="s">
        <v>324</v>
      </c>
    </row>
    <row r="62" spans="1:6" ht="15" x14ac:dyDescent="0.25">
      <c r="C62" s="1"/>
      <c r="D62" s="277" t="s">
        <v>1749</v>
      </c>
      <c r="E62" s="277" t="s">
        <v>1135</v>
      </c>
    </row>
    <row r="63" spans="1:6" x14ac:dyDescent="0.2">
      <c r="D63" s="3" t="s">
        <v>203</v>
      </c>
      <c r="E63" s="3" t="s">
        <v>203</v>
      </c>
      <c r="F63" s="3" t="s">
        <v>207</v>
      </c>
    </row>
    <row r="64" spans="1:6" x14ac:dyDescent="0.2">
      <c r="A64" s="2">
        <f>A57+1</f>
        <v>33</v>
      </c>
      <c r="C64" s="110" t="s">
        <v>1526</v>
      </c>
      <c r="D64" s="7">
        <f>D26</f>
        <v>136140635.85978302</v>
      </c>
      <c r="E64" s="7">
        <f>E26</f>
        <v>113392214.08857498</v>
      </c>
      <c r="F64" s="16" t="str">
        <f>"Line "&amp;A26&amp;""</f>
        <v>Line 15</v>
      </c>
    </row>
    <row r="65" spans="1:9" x14ac:dyDescent="0.2">
      <c r="A65" s="2">
        <f>A64+1</f>
        <v>34</v>
      </c>
      <c r="C65" s="110" t="s">
        <v>304</v>
      </c>
      <c r="D65" s="7">
        <f>D34</f>
        <v>63095872.324549921</v>
      </c>
      <c r="E65" s="7">
        <f>E34</f>
        <v>52552866.508568101</v>
      </c>
      <c r="F65" s="16" t="str">
        <f>"Line "&amp;A34&amp;""</f>
        <v>Line 19</v>
      </c>
    </row>
    <row r="66" spans="1:9" x14ac:dyDescent="0.2">
      <c r="A66" s="2">
        <f>A65+1</f>
        <v>35</v>
      </c>
      <c r="C66" s="110" t="s">
        <v>1529</v>
      </c>
      <c r="D66" s="7">
        <f>D48</f>
        <v>8017262.2465188717</v>
      </c>
      <c r="E66" s="7">
        <f>E48</f>
        <v>9406877.3815586902</v>
      </c>
      <c r="F66" s="16" t="str">
        <f>"Line "&amp;A48&amp;""</f>
        <v>Line 27</v>
      </c>
    </row>
    <row r="67" spans="1:9" ht="15" x14ac:dyDescent="0.25">
      <c r="A67" s="2">
        <f>A66+1</f>
        <v>36</v>
      </c>
      <c r="C67" s="110" t="s">
        <v>1530</v>
      </c>
      <c r="D67" s="120">
        <f>D55</f>
        <v>4356707.2515575271</v>
      </c>
      <c r="E67" s="676">
        <f>E55</f>
        <v>2480574.4885808281</v>
      </c>
      <c r="F67" s="16" t="str">
        <f>"Line "&amp;A55&amp;""</f>
        <v>Line 30</v>
      </c>
    </row>
    <row r="68" spans="1:9" x14ac:dyDescent="0.2">
      <c r="A68" s="674">
        <f t="shared" ref="A68:A69" si="2">A67+1</f>
        <v>37</v>
      </c>
      <c r="C68" s="110" t="s">
        <v>1812</v>
      </c>
      <c r="D68" s="107">
        <f>SUM(D64:D67)*(FFU!D20+FFU!E20)</f>
        <v>2369402.5186099373</v>
      </c>
      <c r="E68" s="107">
        <f>SUM(E64:E67)*(FFU!D20)</f>
        <v>1625887.2778418711</v>
      </c>
      <c r="F68" s="13" t="s">
        <v>418</v>
      </c>
    </row>
    <row r="69" spans="1:9" x14ac:dyDescent="0.2">
      <c r="A69" s="674">
        <f t="shared" si="2"/>
        <v>38</v>
      </c>
      <c r="C69" s="110" t="s">
        <v>4</v>
      </c>
      <c r="D69" s="7">
        <f>SUM(D64:D68)</f>
        <v>213979880.20101929</v>
      </c>
      <c r="E69" s="7">
        <f>SUM(E64:E68)</f>
        <v>179458419.74512446</v>
      </c>
      <c r="F69" s="13" t="str">
        <f>"Sum Lines "&amp;A64&amp;" to "&amp;A68&amp;""</f>
        <v>Sum Lines 33 to 37</v>
      </c>
    </row>
    <row r="70" spans="1:9" x14ac:dyDescent="0.2">
      <c r="A70" s="2"/>
      <c r="D70" s="110"/>
      <c r="E70" s="7"/>
      <c r="F70" s="13"/>
    </row>
    <row r="71" spans="1:9" ht="12.75" customHeight="1" x14ac:dyDescent="0.25">
      <c r="A71" s="2"/>
      <c r="C71" s="434" t="s">
        <v>1896</v>
      </c>
      <c r="D71" s="110"/>
      <c r="E71" s="7"/>
      <c r="F71" s="13"/>
    </row>
    <row r="72" spans="1:9" x14ac:dyDescent="0.2">
      <c r="A72" s="2"/>
      <c r="D72" s="110"/>
      <c r="E72" s="7"/>
      <c r="F72" s="13"/>
    </row>
    <row r="73" spans="1:9" ht="12.75" customHeight="1" x14ac:dyDescent="0.25">
      <c r="A73" s="2"/>
      <c r="C73" s="434" t="s">
        <v>1750</v>
      </c>
      <c r="D73" s="110"/>
      <c r="E73" s="7"/>
      <c r="F73" s="13"/>
    </row>
    <row r="74" spans="1:9" ht="15" x14ac:dyDescent="0.25">
      <c r="A74" s="2"/>
      <c r="C74" s="434"/>
      <c r="D74" s="99" t="s">
        <v>417</v>
      </c>
      <c r="E74" s="99" t="s">
        <v>400</v>
      </c>
      <c r="F74" s="99" t="s">
        <v>401</v>
      </c>
      <c r="G74" s="99" t="s">
        <v>402</v>
      </c>
      <c r="H74" s="99" t="s">
        <v>403</v>
      </c>
    </row>
    <row r="75" spans="1:9" ht="15" x14ac:dyDescent="0.25">
      <c r="A75" s="2"/>
      <c r="C75" s="434"/>
      <c r="D75" s="2" t="s">
        <v>1751</v>
      </c>
      <c r="E75" s="654" t="s">
        <v>1752</v>
      </c>
      <c r="F75" s="2"/>
      <c r="H75" s="112" t="s">
        <v>1821</v>
      </c>
    </row>
    <row r="76" spans="1:9" ht="15" x14ac:dyDescent="0.25">
      <c r="A76" s="2"/>
      <c r="C76" s="3" t="s">
        <v>263</v>
      </c>
      <c r="D76" s="3" t="s">
        <v>1753</v>
      </c>
      <c r="E76" s="498" t="s">
        <v>1754</v>
      </c>
      <c r="F76" s="3" t="s">
        <v>9</v>
      </c>
      <c r="G76" s="3" t="s">
        <v>1758</v>
      </c>
      <c r="H76" s="3" t="s">
        <v>225</v>
      </c>
      <c r="I76" s="3" t="s">
        <v>207</v>
      </c>
    </row>
    <row r="77" spans="1:9" x14ac:dyDescent="0.2">
      <c r="A77" s="2">
        <f>A69+1</f>
        <v>39</v>
      </c>
      <c r="C77" s="110" t="s">
        <v>1538</v>
      </c>
      <c r="D77" s="655">
        <f t="shared" ref="D77:D85" si="3">$D$26*(D9/$D$20)</f>
        <v>63192029.626731135</v>
      </c>
      <c r="E77" s="655">
        <f t="shared" ref="E77:E85" si="4">$D$34*(D9/$D$20)</f>
        <v>29287039.891336661</v>
      </c>
      <c r="F77" s="655">
        <f>D48</f>
        <v>8017262.2465188717</v>
      </c>
      <c r="G77" s="7">
        <f>(D77+E77+F77)*(FFU!$D$20+FFU!$E$20)</f>
        <v>1125257.4267680766</v>
      </c>
      <c r="H77" s="165">
        <f>SUM(D77:G77)</f>
        <v>101621589.19135474</v>
      </c>
      <c r="I77" s="13" t="s">
        <v>419</v>
      </c>
    </row>
    <row r="78" spans="1:9" x14ac:dyDescent="0.2">
      <c r="A78" s="2">
        <f t="shared" ref="A78:A88" si="5">A77+1</f>
        <v>40</v>
      </c>
      <c r="C78" s="110" t="s">
        <v>1539</v>
      </c>
      <c r="D78" s="655">
        <f t="shared" si="3"/>
        <v>42924436.866674468</v>
      </c>
      <c r="E78" s="655">
        <f t="shared" si="4"/>
        <v>19893801.5166342</v>
      </c>
      <c r="F78" s="655">
        <f>D55</f>
        <v>4356707.2515575271</v>
      </c>
      <c r="G78" s="7">
        <f>(D78+E78+F78)*(FFU!$D$20+FFU!$E$20)</f>
        <v>752157.86627359665</v>
      </c>
      <c r="H78" s="165">
        <f t="shared" ref="H78:H85" si="6">SUM(D78:G78)</f>
        <v>67927103.50113979</v>
      </c>
      <c r="I78" s="13" t="s">
        <v>419</v>
      </c>
    </row>
    <row r="79" spans="1:9" x14ac:dyDescent="0.2">
      <c r="A79" s="2">
        <f t="shared" si="5"/>
        <v>41</v>
      </c>
      <c r="C79" s="110" t="s">
        <v>1540</v>
      </c>
      <c r="D79" s="655">
        <f t="shared" si="3"/>
        <v>11966263.705140645</v>
      </c>
      <c r="E79" s="655">
        <f t="shared" si="4"/>
        <v>5545896.2871238431</v>
      </c>
      <c r="F79" s="655">
        <v>0</v>
      </c>
      <c r="G79" s="7">
        <f>(D79+E79+F79)*(FFU!$D$20+FFU!$E$20)</f>
        <v>196083.65543338543</v>
      </c>
      <c r="H79" s="165">
        <f t="shared" si="6"/>
        <v>17708243.647697873</v>
      </c>
      <c r="I79" s="13" t="s">
        <v>419</v>
      </c>
    </row>
    <row r="80" spans="1:9" x14ac:dyDescent="0.2">
      <c r="A80" s="2">
        <f t="shared" si="5"/>
        <v>42</v>
      </c>
      <c r="C80" s="110" t="s">
        <v>1541</v>
      </c>
      <c r="D80" s="655">
        <f t="shared" si="3"/>
        <v>-5561.2486847508108</v>
      </c>
      <c r="E80" s="655">
        <f t="shared" si="4"/>
        <v>-2577.4217577440036</v>
      </c>
      <c r="F80" s="655">
        <v>0</v>
      </c>
      <c r="G80" s="7">
        <f>(D80+E80+F80)*(FFU!$D$20+FFU!$E$20)</f>
        <v>-91.128692944614428</v>
      </c>
      <c r="H80" s="165">
        <f t="shared" si="6"/>
        <v>-8229.7991354394289</v>
      </c>
      <c r="I80" s="13" t="s">
        <v>419</v>
      </c>
    </row>
    <row r="81" spans="1:9" x14ac:dyDescent="0.2">
      <c r="A81" s="2">
        <f t="shared" si="5"/>
        <v>43</v>
      </c>
      <c r="C81" s="110" t="s">
        <v>1542</v>
      </c>
      <c r="D81" s="655">
        <f t="shared" si="3"/>
        <v>12034756.06395754</v>
      </c>
      <c r="E81" s="655">
        <f t="shared" si="4"/>
        <v>5577639.8227686239</v>
      </c>
      <c r="F81" s="655">
        <v>0</v>
      </c>
      <c r="G81" s="7">
        <f>(D81+E81+F81)*(FFU!$D$20+FFU!$E$20)</f>
        <v>197205.99674367282</v>
      </c>
      <c r="H81" s="165">
        <f t="shared" si="6"/>
        <v>17809601.883469835</v>
      </c>
      <c r="I81" s="13" t="s">
        <v>419</v>
      </c>
    </row>
    <row r="82" spans="1:9" x14ac:dyDescent="0.2">
      <c r="A82" s="2">
        <f t="shared" si="5"/>
        <v>44</v>
      </c>
      <c r="C82" s="110" t="s">
        <v>1543</v>
      </c>
      <c r="D82" s="655">
        <f t="shared" si="3"/>
        <v>260158.72152284594</v>
      </c>
      <c r="E82" s="655">
        <f t="shared" si="4"/>
        <v>120573.4156716446</v>
      </c>
      <c r="F82" s="655">
        <v>0</v>
      </c>
      <c r="G82" s="7">
        <f>(D82+E82+F82)*(FFU!$D$20+FFU!$E$20)</f>
        <v>4263.0577401667097</v>
      </c>
      <c r="H82" s="165">
        <f t="shared" si="6"/>
        <v>384995.19493465725</v>
      </c>
      <c r="I82" s="13" t="s">
        <v>419</v>
      </c>
    </row>
    <row r="83" spans="1:9" x14ac:dyDescent="0.2">
      <c r="A83" s="2">
        <f t="shared" si="5"/>
        <v>45</v>
      </c>
      <c r="C83" s="110" t="s">
        <v>1544</v>
      </c>
      <c r="D83" s="655">
        <f t="shared" si="3"/>
        <v>3835528.6836741101</v>
      </c>
      <c r="E83" s="655">
        <f t="shared" si="4"/>
        <v>1777617.8772332375</v>
      </c>
      <c r="F83" s="655">
        <v>0</v>
      </c>
      <c r="G83" s="7">
        <f>(D83+E83+F83)*(FFU!$D$20+FFU!$E$20)</f>
        <v>62850.40204247956</v>
      </c>
      <c r="H83" s="165">
        <f t="shared" si="6"/>
        <v>5675996.9629498264</v>
      </c>
      <c r="I83" s="13" t="s">
        <v>419</v>
      </c>
    </row>
    <row r="84" spans="1:9" x14ac:dyDescent="0.2">
      <c r="A84" s="2">
        <f t="shared" si="5"/>
        <v>46</v>
      </c>
      <c r="C84" s="110" t="s">
        <v>1545</v>
      </c>
      <c r="D84" s="655">
        <f t="shared" si="3"/>
        <v>828029.73070713936</v>
      </c>
      <c r="E84" s="655">
        <f t="shared" si="4"/>
        <v>383759.4693140607</v>
      </c>
      <c r="F84" s="655">
        <v>0</v>
      </c>
      <c r="G84" s="7">
        <f>(D84+E84+F84)*(FFU!$D$20+FFU!$E$20)</f>
        <v>13568.403672637376</v>
      </c>
      <c r="H84" s="165">
        <f t="shared" si="6"/>
        <v>1225357.6036938375</v>
      </c>
      <c r="I84" s="13" t="s">
        <v>419</v>
      </c>
    </row>
    <row r="85" spans="1:9" x14ac:dyDescent="0.2">
      <c r="A85" s="2">
        <f t="shared" si="5"/>
        <v>47</v>
      </c>
      <c r="C85" s="110" t="s">
        <v>1546</v>
      </c>
      <c r="D85" s="655">
        <f t="shared" si="3"/>
        <v>1104993.7100598866</v>
      </c>
      <c r="E85" s="655">
        <f t="shared" si="4"/>
        <v>512121.46622539253</v>
      </c>
      <c r="F85" s="655">
        <v>0</v>
      </c>
      <c r="G85" s="7">
        <f>(D85+E85+F85)*(FFU!$D$20+FFU!$E$20)</f>
        <v>18106.838628866266</v>
      </c>
      <c r="H85" s="165">
        <f t="shared" si="6"/>
        <v>1635222.0149141452</v>
      </c>
      <c r="I85" s="13" t="s">
        <v>419</v>
      </c>
    </row>
    <row r="86" spans="1:9" x14ac:dyDescent="0.2">
      <c r="A86" s="2">
        <f t="shared" si="5"/>
        <v>48</v>
      </c>
      <c r="C86" s="510" t="s">
        <v>1547</v>
      </c>
      <c r="D86" s="224" t="s">
        <v>92</v>
      </c>
      <c r="E86" s="224" t="s">
        <v>92</v>
      </c>
      <c r="F86" s="224" t="s">
        <v>92</v>
      </c>
      <c r="G86" s="224" t="s">
        <v>92</v>
      </c>
      <c r="H86" s="224" t="s">
        <v>92</v>
      </c>
      <c r="I86" s="13" t="s">
        <v>419</v>
      </c>
    </row>
    <row r="87" spans="1:9" x14ac:dyDescent="0.2">
      <c r="A87" s="2">
        <f t="shared" si="5"/>
        <v>49</v>
      </c>
      <c r="C87" s="510" t="s">
        <v>1548</v>
      </c>
      <c r="D87" s="224" t="s">
        <v>92</v>
      </c>
      <c r="E87" s="224" t="s">
        <v>92</v>
      </c>
      <c r="F87" s="224" t="s">
        <v>92</v>
      </c>
      <c r="G87" s="224" t="s">
        <v>92</v>
      </c>
      <c r="H87" s="224" t="s">
        <v>92</v>
      </c>
      <c r="I87" s="13" t="s">
        <v>419</v>
      </c>
    </row>
    <row r="88" spans="1:9" x14ac:dyDescent="0.2">
      <c r="A88" s="2">
        <f t="shared" si="5"/>
        <v>50</v>
      </c>
      <c r="C88" s="110" t="s">
        <v>226</v>
      </c>
      <c r="D88" s="61">
        <f>SUM(D77:D87)</f>
        <v>136140635.85978305</v>
      </c>
      <c r="E88" s="61">
        <f>SUM(E77:E87)</f>
        <v>63095872.324549921</v>
      </c>
      <c r="F88" s="61">
        <f>SUM(F77:F87)</f>
        <v>12373969.498076398</v>
      </c>
      <c r="G88" s="61">
        <f>SUM(G77:G87)</f>
        <v>2369402.5186099373</v>
      </c>
      <c r="H88" s="61">
        <f>SUM(H77:H87)</f>
        <v>213979880.20101923</v>
      </c>
      <c r="I88" s="13" t="str">
        <f>"Sum L "&amp;A77&amp;" to L "&amp;A87&amp;""</f>
        <v>Sum L 39 to L 49</v>
      </c>
    </row>
    <row r="89" spans="1:9" x14ac:dyDescent="0.2">
      <c r="A89" s="2"/>
      <c r="C89" s="110"/>
      <c r="D89" s="110"/>
      <c r="E89" s="7"/>
      <c r="F89" s="13"/>
    </row>
    <row r="90" spans="1:9" ht="15" x14ac:dyDescent="0.25">
      <c r="A90" s="2"/>
      <c r="C90" s="434" t="s">
        <v>1897</v>
      </c>
      <c r="D90" s="110"/>
      <c r="E90" s="7"/>
      <c r="F90" s="13"/>
    </row>
    <row r="91" spans="1:9" ht="15" x14ac:dyDescent="0.25">
      <c r="A91" s="2"/>
      <c r="C91" s="434"/>
      <c r="D91" s="99" t="s">
        <v>417</v>
      </c>
      <c r="E91" s="99" t="s">
        <v>400</v>
      </c>
      <c r="F91" s="99" t="s">
        <v>401</v>
      </c>
      <c r="G91" s="99" t="s">
        <v>402</v>
      </c>
      <c r="H91" s="99" t="s">
        <v>403</v>
      </c>
    </row>
    <row r="92" spans="1:9" ht="15" x14ac:dyDescent="0.25">
      <c r="A92" s="2"/>
      <c r="C92" s="434"/>
      <c r="D92" s="2" t="s">
        <v>1751</v>
      </c>
      <c r="E92" s="654" t="s">
        <v>1752</v>
      </c>
      <c r="F92" s="2"/>
      <c r="H92" s="112" t="s">
        <v>1821</v>
      </c>
    </row>
    <row r="93" spans="1:9" ht="15" x14ac:dyDescent="0.25">
      <c r="A93" s="2"/>
      <c r="C93" s="3" t="s">
        <v>263</v>
      </c>
      <c r="D93" s="3" t="s">
        <v>1753</v>
      </c>
      <c r="E93" s="498" t="s">
        <v>1754</v>
      </c>
      <c r="F93" s="3" t="s">
        <v>9</v>
      </c>
      <c r="G93" s="3" t="s">
        <v>1820</v>
      </c>
      <c r="H93" s="3" t="s">
        <v>225</v>
      </c>
      <c r="I93" s="3" t="s">
        <v>207</v>
      </c>
    </row>
    <row r="94" spans="1:9" x14ac:dyDescent="0.2">
      <c r="A94" s="2">
        <f>A88+1</f>
        <v>51</v>
      </c>
      <c r="C94" s="110" t="s">
        <v>1538</v>
      </c>
      <c r="D94" s="61">
        <f t="shared" ref="D94:D102" si="7">$E$26*(E9/$E$20)</f>
        <v>74144970.678561985</v>
      </c>
      <c r="E94" s="61">
        <f t="shared" ref="E94:E102" si="8">$E$34*(E9/$E$20)</f>
        <v>34363300.669906981</v>
      </c>
      <c r="F94" s="656">
        <f>E48</f>
        <v>9406877.3815586902</v>
      </c>
      <c r="G94" s="7">
        <f>(D94+E94+F94)*(FFU!$D$20)</f>
        <v>1078074.6218088968</v>
      </c>
      <c r="H94" s="487">
        <f>SUM(D94:G94)</f>
        <v>118993223.35183655</v>
      </c>
      <c r="I94" s="13" t="s">
        <v>1420</v>
      </c>
    </row>
    <row r="95" spans="1:9" x14ac:dyDescent="0.2">
      <c r="A95" s="2">
        <f t="shared" ref="A95:A105" si="9">A94+1</f>
        <v>52</v>
      </c>
      <c r="C95" s="110" t="s">
        <v>1539</v>
      </c>
      <c r="D95" s="61">
        <f t="shared" si="7"/>
        <v>24439848.004500493</v>
      </c>
      <c r="E95" s="61">
        <f t="shared" si="8"/>
        <v>11326915.873314967</v>
      </c>
      <c r="F95" s="656">
        <f>E55</f>
        <v>2480574.4885808281</v>
      </c>
      <c r="G95" s="7">
        <f>(D95+E95+F95)*(FFU!$D$20)</f>
        <v>349687.76521628798</v>
      </c>
      <c r="H95" s="487">
        <f t="shared" ref="H95:H102" si="10">SUM(D95:G95)</f>
        <v>38597026.131612584</v>
      </c>
      <c r="I95" s="13" t="s">
        <v>1420</v>
      </c>
    </row>
    <row r="96" spans="1:9" x14ac:dyDescent="0.2">
      <c r="A96" s="2">
        <f t="shared" si="9"/>
        <v>53</v>
      </c>
      <c r="C96" s="110" t="s">
        <v>1540</v>
      </c>
      <c r="D96" s="61">
        <f t="shared" si="7"/>
        <v>5417804.2628334137</v>
      </c>
      <c r="E96" s="61">
        <f t="shared" si="8"/>
        <v>2510940.8655856131</v>
      </c>
      <c r="F96" s="656">
        <v>0</v>
      </c>
      <c r="G96" s="7">
        <f>(D96+E96+F96)*(FFU!$D$20)</f>
        <v>72490.930960109472</v>
      </c>
      <c r="H96" s="487">
        <f t="shared" si="10"/>
        <v>8001236.0593791362</v>
      </c>
      <c r="I96" s="13" t="s">
        <v>1420</v>
      </c>
    </row>
    <row r="97" spans="1:9" x14ac:dyDescent="0.2">
      <c r="A97" s="2">
        <f t="shared" si="9"/>
        <v>54</v>
      </c>
      <c r="C97" s="110" t="s">
        <v>1541</v>
      </c>
      <c r="D97" s="61">
        <f t="shared" si="7"/>
        <v>-5604.5366569193693</v>
      </c>
      <c r="E97" s="61">
        <f t="shared" si="8"/>
        <v>-2597.4840436874092</v>
      </c>
      <c r="F97" s="656">
        <v>0</v>
      </c>
      <c r="G97" s="7">
        <f>(D97+E97+F97)*(FFU!$D$20)</f>
        <v>-74.989434861507661</v>
      </c>
      <c r="H97" s="487">
        <f t="shared" si="10"/>
        <v>-8277.0101354682865</v>
      </c>
      <c r="I97" s="13" t="s">
        <v>1420</v>
      </c>
    </row>
    <row r="98" spans="1:9" x14ac:dyDescent="0.2">
      <c r="A98" s="2">
        <f t="shared" si="9"/>
        <v>55</v>
      </c>
      <c r="C98" s="110" t="s">
        <v>1542</v>
      </c>
      <c r="D98" s="61">
        <f t="shared" si="7"/>
        <v>5514119.3824771848</v>
      </c>
      <c r="E98" s="61">
        <f t="shared" si="8"/>
        <v>2555579.1651909281</v>
      </c>
      <c r="F98" s="656">
        <v>0</v>
      </c>
      <c r="G98" s="7">
        <f>(D98+E98+F98)*(FFU!$D$20)</f>
        <v>73779.639881620009</v>
      </c>
      <c r="H98" s="487">
        <f t="shared" si="10"/>
        <v>8143478.1875497326</v>
      </c>
      <c r="I98" s="13" t="s">
        <v>1420</v>
      </c>
    </row>
    <row r="99" spans="1:9" x14ac:dyDescent="0.2">
      <c r="A99" s="2">
        <f t="shared" si="9"/>
        <v>56</v>
      </c>
      <c r="C99" s="110" t="s">
        <v>1543</v>
      </c>
      <c r="D99" s="61">
        <f t="shared" si="7"/>
        <v>388336.92082261102</v>
      </c>
      <c r="E99" s="61">
        <f t="shared" si="8"/>
        <v>179979.00935594592</v>
      </c>
      <c r="F99" s="656">
        <v>0</v>
      </c>
      <c r="G99" s="7">
        <f>(D99+E99+F99)*(FFU!$D$20)</f>
        <v>5195.9988864365105</v>
      </c>
      <c r="H99" s="487">
        <f t="shared" si="10"/>
        <v>573511.9290649934</v>
      </c>
      <c r="I99" s="13" t="s">
        <v>1420</v>
      </c>
    </row>
    <row r="100" spans="1:9" x14ac:dyDescent="0.2">
      <c r="A100" s="2">
        <f t="shared" si="9"/>
        <v>57</v>
      </c>
      <c r="C100" s="110" t="s">
        <v>1544</v>
      </c>
      <c r="D100" s="61">
        <f t="shared" si="7"/>
        <v>2335163.6744739176</v>
      </c>
      <c r="E100" s="61">
        <f t="shared" si="8"/>
        <v>1082257.2417928472</v>
      </c>
      <c r="F100" s="656">
        <v>0</v>
      </c>
      <c r="G100" s="7">
        <f>(D100+E100+F100)*(FFU!$D$20)</f>
        <v>31244.795953243774</v>
      </c>
      <c r="H100" s="487">
        <f t="shared" si="10"/>
        <v>3448665.7122200085</v>
      </c>
      <c r="I100" s="13" t="s">
        <v>1420</v>
      </c>
    </row>
    <row r="101" spans="1:9" x14ac:dyDescent="0.2">
      <c r="A101" s="2">
        <f t="shared" si="9"/>
        <v>58</v>
      </c>
      <c r="C101" s="110" t="s">
        <v>1545</v>
      </c>
      <c r="D101" s="61">
        <f t="shared" si="7"/>
        <v>446738.95896675438</v>
      </c>
      <c r="E101" s="61">
        <f t="shared" si="8"/>
        <v>207046.07510721523</v>
      </c>
      <c r="F101" s="656">
        <v>0</v>
      </c>
      <c r="G101" s="7">
        <f>(D101+E101+F101)*(FFU!$D$20)</f>
        <v>5977.425809531489</v>
      </c>
      <c r="H101" s="487">
        <f t="shared" si="10"/>
        <v>659762.45988350105</v>
      </c>
      <c r="I101" s="13" t="s">
        <v>1420</v>
      </c>
    </row>
    <row r="102" spans="1:9" x14ac:dyDescent="0.2">
      <c r="A102" s="2">
        <f t="shared" si="9"/>
        <v>59</v>
      </c>
      <c r="C102" s="110" t="s">
        <v>1546</v>
      </c>
      <c r="D102" s="61">
        <f t="shared" si="7"/>
        <v>710836.74259553757</v>
      </c>
      <c r="E102" s="61">
        <f t="shared" si="8"/>
        <v>329445.09235729428</v>
      </c>
      <c r="F102" s="656">
        <v>0</v>
      </c>
      <c r="G102" s="7">
        <f>(D102+E102+F102)*(FFU!$D$20)</f>
        <v>9511.0887606067499</v>
      </c>
      <c r="H102" s="487">
        <f t="shared" si="10"/>
        <v>1049792.9237134387</v>
      </c>
      <c r="I102" s="13" t="s">
        <v>1420</v>
      </c>
    </row>
    <row r="103" spans="1:9" x14ac:dyDescent="0.2">
      <c r="A103" s="2">
        <f t="shared" si="9"/>
        <v>60</v>
      </c>
      <c r="C103" s="510" t="s">
        <v>1547</v>
      </c>
      <c r="D103" s="224" t="s">
        <v>92</v>
      </c>
      <c r="E103" s="224" t="s">
        <v>92</v>
      </c>
      <c r="F103" s="224" t="s">
        <v>92</v>
      </c>
      <c r="G103" s="224" t="s">
        <v>92</v>
      </c>
      <c r="H103" s="224" t="s">
        <v>92</v>
      </c>
      <c r="I103" s="13" t="s">
        <v>1420</v>
      </c>
    </row>
    <row r="104" spans="1:9" x14ac:dyDescent="0.2">
      <c r="A104" s="2">
        <f t="shared" si="9"/>
        <v>61</v>
      </c>
      <c r="C104" s="510" t="s">
        <v>1548</v>
      </c>
      <c r="D104" s="224" t="s">
        <v>92</v>
      </c>
      <c r="E104" s="224" t="s">
        <v>92</v>
      </c>
      <c r="F104" s="224" t="s">
        <v>92</v>
      </c>
      <c r="G104" s="224" t="s">
        <v>92</v>
      </c>
      <c r="H104" s="224" t="s">
        <v>92</v>
      </c>
      <c r="I104" s="13" t="s">
        <v>1420</v>
      </c>
    </row>
    <row r="105" spans="1:9" x14ac:dyDescent="0.2">
      <c r="A105" s="2">
        <f t="shared" si="9"/>
        <v>62</v>
      </c>
      <c r="C105" s="110" t="s">
        <v>226</v>
      </c>
      <c r="D105" s="7">
        <f>SUM(D94:D104)</f>
        <v>113392214.08857496</v>
      </c>
      <c r="E105" s="7">
        <f>SUM(E94:E104)</f>
        <v>52552866.508568108</v>
      </c>
      <c r="F105" s="7">
        <f>SUM(F94:F104)</f>
        <v>11887451.870139519</v>
      </c>
      <c r="G105" s="61">
        <f>SUM(G94:G104)</f>
        <v>1625887.2778418709</v>
      </c>
      <c r="H105" s="7">
        <f>SUM(H94:H104)</f>
        <v>179458419.74512449</v>
      </c>
      <c r="I105" s="13" t="str">
        <f>"Sum of L "&amp;A94&amp;" to "&amp;A104&amp;""</f>
        <v>Sum of L 51 to 61</v>
      </c>
    </row>
    <row r="106" spans="1:9" x14ac:dyDescent="0.2">
      <c r="C106" s="110"/>
    </row>
    <row r="107" spans="1:9" x14ac:dyDescent="0.2">
      <c r="B107" s="1" t="s">
        <v>1536</v>
      </c>
    </row>
    <row r="108" spans="1:9" x14ac:dyDescent="0.2">
      <c r="B108" s="1"/>
    </row>
    <row r="109" spans="1:9" ht="15" x14ac:dyDescent="0.25">
      <c r="B109" s="1"/>
      <c r="C109" s="434" t="s">
        <v>1755</v>
      </c>
    </row>
    <row r="110" spans="1:9" x14ac:dyDescent="0.2">
      <c r="E110" s="3" t="s">
        <v>199</v>
      </c>
      <c r="F110" s="3" t="s">
        <v>207</v>
      </c>
    </row>
    <row r="111" spans="1:9" x14ac:dyDescent="0.2">
      <c r="A111" s="2">
        <f>A105+1</f>
        <v>63</v>
      </c>
      <c r="D111" s="110" t="s">
        <v>411</v>
      </c>
      <c r="E111" s="7">
        <f>F20</f>
        <v>-830608755.97584653</v>
      </c>
      <c r="F111" s="16" t="str">
        <f>"Line "&amp;A20&amp;", Col 3"</f>
        <v>Line 12, Col 3</v>
      </c>
    </row>
    <row r="112" spans="1:9" x14ac:dyDescent="0.2">
      <c r="A112" s="2">
        <f>A111+1</f>
        <v>64</v>
      </c>
      <c r="D112" s="110" t="s">
        <v>409</v>
      </c>
      <c r="E112" s="450">
        <f>IFPTRR!D25</f>
        <v>0.116905794483024</v>
      </c>
      <c r="F112" s="47" t="str">
        <f>"IFPTRR WS, Line "&amp;IFPTRR!A25&amp;""</f>
        <v>IFPTRR WS, Line 16</v>
      </c>
    </row>
    <row r="113" spans="1:6" x14ac:dyDescent="0.2">
      <c r="A113" s="2">
        <f>A112+1</f>
        <v>65</v>
      </c>
      <c r="D113" s="110" t="s">
        <v>1813</v>
      </c>
      <c r="E113" s="7">
        <f>E111*E112</f>
        <v>-97102976.521912545</v>
      </c>
      <c r="F113" s="16" t="str">
        <f>"Line "&amp;A111&amp;" * Line "&amp;A112&amp;""</f>
        <v>Line 63 * Line 64</v>
      </c>
    </row>
    <row r="114" spans="1:6" x14ac:dyDescent="0.2">
      <c r="A114" s="674">
        <f>A113+1</f>
        <v>66</v>
      </c>
      <c r="D114" s="110" t="s">
        <v>1812</v>
      </c>
      <c r="E114" s="107">
        <f>E113*(FFU!D20+FFU!E20)</f>
        <v>-1087262.0281158546</v>
      </c>
      <c r="F114" s="13" t="str">
        <f>"Line "&amp;A113&amp;" * (FF + U Factors from FFU WS)"</f>
        <v>Line 65 * (FF + U Factors from FFU WS)</v>
      </c>
    </row>
    <row r="115" spans="1:6" x14ac:dyDescent="0.2">
      <c r="A115" s="679">
        <f>A114+1</f>
        <v>67</v>
      </c>
      <c r="D115" s="110" t="s">
        <v>1814</v>
      </c>
      <c r="E115" s="7">
        <f>SUM(E113:E114)</f>
        <v>-98190238.550028399</v>
      </c>
      <c r="F115" s="16" t="str">
        <f>"Line "&amp;A113&amp;" + Line "&amp;A114&amp;""</f>
        <v>Line 65 + Line 66</v>
      </c>
    </row>
    <row r="116" spans="1:6" x14ac:dyDescent="0.2">
      <c r="A116" s="674"/>
      <c r="D116" s="110"/>
      <c r="E116" s="7"/>
      <c r="F116" s="16"/>
    </row>
    <row r="117" spans="1:6" ht="15" x14ac:dyDescent="0.25">
      <c r="A117" s="2"/>
      <c r="C117" s="434" t="s">
        <v>1756</v>
      </c>
      <c r="D117" s="110"/>
      <c r="E117" s="7"/>
      <c r="F117" s="16"/>
    </row>
    <row r="118" spans="1:6" x14ac:dyDescent="0.2">
      <c r="A118" s="2"/>
      <c r="D118" s="708" t="s">
        <v>203</v>
      </c>
      <c r="E118" s="708" t="s">
        <v>203</v>
      </c>
    </row>
    <row r="119" spans="1:6" x14ac:dyDescent="0.2">
      <c r="A119" s="2"/>
      <c r="C119" s="3" t="s">
        <v>263</v>
      </c>
      <c r="D119" s="3" t="s">
        <v>1858</v>
      </c>
      <c r="E119" s="3" t="s">
        <v>1859</v>
      </c>
      <c r="F119" s="3" t="s">
        <v>207</v>
      </c>
    </row>
    <row r="120" spans="1:6" x14ac:dyDescent="0.2">
      <c r="A120" s="2">
        <f>A115+1</f>
        <v>68</v>
      </c>
      <c r="C120" s="110" t="s">
        <v>1538</v>
      </c>
      <c r="D120" s="61">
        <f>$E$113*(F9/$F$20)</f>
        <v>-1129049.6944166292</v>
      </c>
      <c r="E120" s="61">
        <f>$E$115*(F9/$F$20)</f>
        <v>-1141691.663845012</v>
      </c>
      <c r="F120" s="13" t="s">
        <v>1435</v>
      </c>
    </row>
    <row r="121" spans="1:6" x14ac:dyDescent="0.2">
      <c r="A121" s="2">
        <f t="shared" ref="A121:A131" si="11">A120+1</f>
        <v>69</v>
      </c>
      <c r="C121" s="110" t="s">
        <v>1539</v>
      </c>
      <c r="D121" s="61">
        <f t="shared" ref="D121:D128" si="12">$E$113*(F10/$F$20)</f>
        <v>-61977005.311193787</v>
      </c>
      <c r="E121" s="61">
        <f t="shared" ref="E121:E128" si="13">$E$115*(F10/$F$20)</f>
        <v>-62670961.839663222</v>
      </c>
      <c r="F121" s="13" t="s">
        <v>1435</v>
      </c>
    </row>
    <row r="122" spans="1:6" x14ac:dyDescent="0.2">
      <c r="A122" s="2">
        <f t="shared" si="11"/>
        <v>70</v>
      </c>
      <c r="C122" s="110" t="s">
        <v>1540</v>
      </c>
      <c r="D122" s="61">
        <f t="shared" si="12"/>
        <v>-17512159.543346234</v>
      </c>
      <c r="E122" s="61">
        <f t="shared" si="13"/>
        <v>-17708243.193753082</v>
      </c>
      <c r="F122" s="13" t="s">
        <v>1435</v>
      </c>
    </row>
    <row r="123" spans="1:6" x14ac:dyDescent="0.2">
      <c r="A123" s="2">
        <f t="shared" si="11"/>
        <v>71</v>
      </c>
      <c r="C123" s="110" t="s">
        <v>1541</v>
      </c>
      <c r="D123" s="61">
        <f t="shared" si="12"/>
        <v>0</v>
      </c>
      <c r="E123" s="61">
        <f t="shared" si="13"/>
        <v>0</v>
      </c>
      <c r="F123" s="13" t="s">
        <v>1435</v>
      </c>
    </row>
    <row r="124" spans="1:6" x14ac:dyDescent="0.2">
      <c r="A124" s="2">
        <f t="shared" si="11"/>
        <v>72</v>
      </c>
      <c r="C124" s="110" t="s">
        <v>1542</v>
      </c>
      <c r="D124" s="61">
        <f t="shared" si="12"/>
        <v>-17344988.258246399</v>
      </c>
      <c r="E124" s="61">
        <f t="shared" si="13"/>
        <v>-17539200.091773983</v>
      </c>
      <c r="F124" s="13" t="s">
        <v>1435</v>
      </c>
    </row>
    <row r="125" spans="1:6" x14ac:dyDescent="0.2">
      <c r="A125" s="2">
        <f t="shared" si="11"/>
        <v>73</v>
      </c>
      <c r="C125" s="110" t="s">
        <v>1543</v>
      </c>
      <c r="D125" s="61">
        <f t="shared" si="12"/>
        <v>3220759.095265545</v>
      </c>
      <c r="E125" s="61">
        <f t="shared" si="13"/>
        <v>3256821.9348552334</v>
      </c>
      <c r="F125" s="13" t="s">
        <v>1435</v>
      </c>
    </row>
    <row r="126" spans="1:6" x14ac:dyDescent="0.2">
      <c r="A126" s="2">
        <f t="shared" si="11"/>
        <v>74</v>
      </c>
      <c r="C126" s="110" t="s">
        <v>1544</v>
      </c>
      <c r="D126" s="61">
        <f t="shared" si="12"/>
        <v>-5613146.560907349</v>
      </c>
      <c r="E126" s="61">
        <f t="shared" si="13"/>
        <v>-5675996.9629498282</v>
      </c>
      <c r="F126" s="13" t="s">
        <v>1435</v>
      </c>
    </row>
    <row r="127" spans="1:6" x14ac:dyDescent="0.2">
      <c r="A127" s="2">
        <f t="shared" si="11"/>
        <v>75</v>
      </c>
      <c r="C127" s="110" t="s">
        <v>1545</v>
      </c>
      <c r="D127" s="61">
        <f t="shared" si="12"/>
        <v>1875983.6550372487</v>
      </c>
      <c r="E127" s="61">
        <f t="shared" si="13"/>
        <v>1896989.0440227007</v>
      </c>
      <c r="F127" s="13" t="s">
        <v>1435</v>
      </c>
    </row>
    <row r="128" spans="1:6" x14ac:dyDescent="0.2">
      <c r="A128" s="2">
        <f t="shared" si="11"/>
        <v>76</v>
      </c>
      <c r="C128" s="110" t="s">
        <v>1546</v>
      </c>
      <c r="D128" s="61">
        <f t="shared" si="12"/>
        <v>1376630.0958950426</v>
      </c>
      <c r="E128" s="61">
        <f t="shared" si="13"/>
        <v>1392044.2230787796</v>
      </c>
      <c r="F128" s="13" t="s">
        <v>1435</v>
      </c>
    </row>
    <row r="129" spans="1:8" x14ac:dyDescent="0.2">
      <c r="A129" s="2">
        <f t="shared" si="11"/>
        <v>77</v>
      </c>
      <c r="C129" s="510" t="s">
        <v>1547</v>
      </c>
      <c r="D129" s="653" t="s">
        <v>92</v>
      </c>
      <c r="E129" s="653" t="s">
        <v>92</v>
      </c>
      <c r="F129" s="13" t="s">
        <v>1435</v>
      </c>
    </row>
    <row r="130" spans="1:8" x14ac:dyDescent="0.2">
      <c r="A130" s="2">
        <f t="shared" si="11"/>
        <v>78</v>
      </c>
      <c r="C130" s="510" t="s">
        <v>1548</v>
      </c>
      <c r="D130" s="653" t="s">
        <v>92</v>
      </c>
      <c r="E130" s="653" t="s">
        <v>92</v>
      </c>
      <c r="F130" s="13" t="s">
        <v>1435</v>
      </c>
    </row>
    <row r="131" spans="1:8" x14ac:dyDescent="0.2">
      <c r="A131" s="2">
        <f t="shared" si="11"/>
        <v>79</v>
      </c>
      <c r="C131" s="110" t="s">
        <v>226</v>
      </c>
      <c r="D131" s="7">
        <f>SUM(D120:D130)</f>
        <v>-97102976.521912575</v>
      </c>
      <c r="E131" s="7">
        <f>SUM(E120:E130)</f>
        <v>-98190238.550028428</v>
      </c>
      <c r="F131" s="13" t="str">
        <f>"Sum of Lines "&amp;A120&amp;" to "&amp;A130&amp;""</f>
        <v>Sum of Lines 68 to 78</v>
      </c>
    </row>
    <row r="133" spans="1:8" x14ac:dyDescent="0.2">
      <c r="B133" s="1" t="s">
        <v>1864</v>
      </c>
    </row>
    <row r="134" spans="1:8" x14ac:dyDescent="0.2">
      <c r="B134" s="1"/>
    </row>
    <row r="135" spans="1:8" ht="15" x14ac:dyDescent="0.25">
      <c r="C135" s="434" t="s">
        <v>1755</v>
      </c>
    </row>
    <row r="136" spans="1:8" x14ac:dyDescent="0.2">
      <c r="E136" s="3" t="s">
        <v>199</v>
      </c>
      <c r="F136" s="3" t="s">
        <v>207</v>
      </c>
      <c r="H136" s="1"/>
    </row>
    <row r="137" spans="1:8" x14ac:dyDescent="0.2">
      <c r="A137" s="2">
        <f>A131+1</f>
        <v>80</v>
      </c>
      <c r="D137" s="110" t="s">
        <v>1550</v>
      </c>
      <c r="E137" s="7">
        <f>SUM(D64:D67)</f>
        <v>211610477.68240935</v>
      </c>
      <c r="F137" s="16" t="str">
        <f>"Sum Line "&amp;A64&amp;" to "&amp;A67&amp;""</f>
        <v>Sum Line 33 to 36</v>
      </c>
    </row>
    <row r="138" spans="1:8" x14ac:dyDescent="0.2">
      <c r="A138" s="2">
        <f t="shared" ref="A138:A145" si="14">A137+1</f>
        <v>81</v>
      </c>
      <c r="D138" s="681" t="s">
        <v>1855</v>
      </c>
      <c r="E138" s="7">
        <f>E113</f>
        <v>-97102976.521912545</v>
      </c>
      <c r="F138" s="16" t="str">
        <f>"Line "&amp;A113&amp;""</f>
        <v>Line 65</v>
      </c>
    </row>
    <row r="139" spans="1:8" x14ac:dyDescent="0.2">
      <c r="A139" s="2">
        <f t="shared" si="14"/>
        <v>82</v>
      </c>
      <c r="D139" s="110" t="s">
        <v>1551</v>
      </c>
      <c r="E139" s="7">
        <f>SUM(E137:E138)</f>
        <v>114507501.1604968</v>
      </c>
      <c r="F139" s="16" t="str">
        <f>"Line "&amp;A137&amp;" + Line "&amp;A138&amp;""</f>
        <v>Line 80 + Line 81</v>
      </c>
    </row>
    <row r="140" spans="1:8" x14ac:dyDescent="0.2">
      <c r="A140" s="2">
        <f t="shared" si="14"/>
        <v>83</v>
      </c>
      <c r="D140" s="110" t="s">
        <v>1531</v>
      </c>
      <c r="E140" s="8">
        <f>FFU!D20</f>
        <v>9.1427999999999995E-3</v>
      </c>
      <c r="F140" s="47" t="str">
        <f>"FFU WS, Line "&amp;FFU!A20&amp;""</f>
        <v>FFU WS, Line 5</v>
      </c>
    </row>
    <row r="141" spans="1:8" x14ac:dyDescent="0.2">
      <c r="A141" s="2">
        <f t="shared" si="14"/>
        <v>84</v>
      </c>
      <c r="D141" s="110" t="s">
        <v>1532</v>
      </c>
      <c r="E141" s="8">
        <f>FFU!E20</f>
        <v>2.0541999999999999E-3</v>
      </c>
      <c r="F141" s="47" t="str">
        <f>"FFU WS, Line "&amp;FFU!A20&amp;""</f>
        <v>FFU WS, Line 5</v>
      </c>
    </row>
    <row r="142" spans="1:8" x14ac:dyDescent="0.2">
      <c r="A142" s="2">
        <f t="shared" si="14"/>
        <v>85</v>
      </c>
      <c r="D142" s="681" t="s">
        <v>1862</v>
      </c>
      <c r="E142" s="7">
        <f>E139*E140</f>
        <v>1046919.1816101901</v>
      </c>
      <c r="F142" s="16" t="str">
        <f>"Line "&amp;A139&amp;" * Line "&amp;A140&amp;""</f>
        <v>Line 82 * Line 83</v>
      </c>
    </row>
    <row r="143" spans="1:8" x14ac:dyDescent="0.2">
      <c r="A143" s="709">
        <f t="shared" si="14"/>
        <v>86</v>
      </c>
      <c r="D143" s="681" t="s">
        <v>1863</v>
      </c>
      <c r="E143" s="7">
        <f>E139*E141</f>
        <v>235221.30888389252</v>
      </c>
      <c r="F143" s="16" t="str">
        <f>"Line "&amp;A139&amp;" * Line "&amp;A141&amp;""</f>
        <v>Line 82 * Line 84</v>
      </c>
    </row>
    <row r="144" spans="1:8" x14ac:dyDescent="0.2">
      <c r="A144" s="709">
        <f t="shared" si="14"/>
        <v>87</v>
      </c>
      <c r="D144" s="110" t="s">
        <v>1552</v>
      </c>
      <c r="E144" s="7">
        <f>E139+E142+E143</f>
        <v>115789641.65099089</v>
      </c>
      <c r="F144" s="13" t="str">
        <f>"Line "&amp;A139&amp;" + Line "&amp;A142&amp;" + Line "&amp;A143&amp;""</f>
        <v>Line 82 + Line 85 + Line 86</v>
      </c>
    </row>
    <row r="145" spans="1:8" x14ac:dyDescent="0.2">
      <c r="A145" s="709">
        <f t="shared" si="14"/>
        <v>88</v>
      </c>
      <c r="D145" s="681" t="s">
        <v>1861</v>
      </c>
      <c r="E145" s="7">
        <f>E139+E142</f>
        <v>115554420.342107</v>
      </c>
      <c r="F145" s="13" t="str">
        <f>"Line "&amp;A139&amp;" + Line "&amp;A142&amp;""</f>
        <v>Line 82 + Line 85</v>
      </c>
    </row>
    <row r="147" spans="1:8" ht="15" x14ac:dyDescent="0.25">
      <c r="C147" s="434" t="s">
        <v>1757</v>
      </c>
    </row>
    <row r="148" spans="1:8" ht="15" x14ac:dyDescent="0.25">
      <c r="C148" s="434"/>
      <c r="D148" s="99" t="s">
        <v>417</v>
      </c>
      <c r="E148" s="99" t="s">
        <v>400</v>
      </c>
      <c r="F148" s="99" t="s">
        <v>401</v>
      </c>
      <c r="G148" s="99" t="s">
        <v>402</v>
      </c>
    </row>
    <row r="149" spans="1:8" ht="12.75" customHeight="1" x14ac:dyDescent="0.25">
      <c r="D149" s="277" t="s">
        <v>1749</v>
      </c>
      <c r="E149" s="277" t="s">
        <v>1325</v>
      </c>
    </row>
    <row r="150" spans="1:8" ht="12.75" customHeight="1" x14ac:dyDescent="0.25">
      <c r="D150" s="3" t="s">
        <v>1858</v>
      </c>
      <c r="E150" s="3" t="s">
        <v>1858</v>
      </c>
      <c r="F150" s="3" t="s">
        <v>1758</v>
      </c>
      <c r="G150" s="279" t="s">
        <v>225</v>
      </c>
      <c r="H150" s="3" t="s">
        <v>207</v>
      </c>
    </row>
    <row r="151" spans="1:8" x14ac:dyDescent="0.2">
      <c r="A151" s="709">
        <f>A145+1</f>
        <v>89</v>
      </c>
      <c r="C151" s="110" t="s">
        <v>1538</v>
      </c>
      <c r="D151" s="7">
        <f t="shared" ref="D151:D159" si="15">D77+E77+F77</f>
        <v>100496331.76458666</v>
      </c>
      <c r="E151" s="7">
        <f t="shared" ref="E151:E159" si="16">D120</f>
        <v>-1129049.6944166292</v>
      </c>
      <c r="F151" s="7">
        <f>(D151+E151)*(FFU!$D$20+FFU!$E$20)</f>
        <v>1112615.4573396938</v>
      </c>
      <c r="G151" s="7">
        <f>SUM(D151:F151)</f>
        <v>100479897.52750972</v>
      </c>
      <c r="H151" s="13" t="s">
        <v>1437</v>
      </c>
    </row>
    <row r="152" spans="1:8" x14ac:dyDescent="0.2">
      <c r="A152" s="709">
        <f t="shared" ref="A152:A162" si="17">A151+1</f>
        <v>90</v>
      </c>
      <c r="C152" s="110" t="s">
        <v>1539</v>
      </c>
      <c r="D152" s="7">
        <f t="shared" si="15"/>
        <v>67174945.634866193</v>
      </c>
      <c r="E152" s="7">
        <f t="shared" si="16"/>
        <v>-61977005.311193787</v>
      </c>
      <c r="F152" s="7">
        <f>(D152+E152)*(FFU!$D$20+FFU!$E$20)</f>
        <v>58201.337804159928</v>
      </c>
      <c r="G152" s="7">
        <f t="shared" ref="G152:G159" si="18">SUM(D152:F152)</f>
        <v>5256141.6614765665</v>
      </c>
      <c r="H152" s="13" t="s">
        <v>1437</v>
      </c>
    </row>
    <row r="153" spans="1:8" x14ac:dyDescent="0.2">
      <c r="A153" s="709">
        <f t="shared" si="17"/>
        <v>91</v>
      </c>
      <c r="C153" s="110" t="s">
        <v>1540</v>
      </c>
      <c r="D153" s="7">
        <f t="shared" si="15"/>
        <v>17512159.992264487</v>
      </c>
      <c r="E153" s="7">
        <f t="shared" si="16"/>
        <v>-17512159.543346234</v>
      </c>
      <c r="F153" s="7">
        <f>(D153+E153)*(FFU!$D$20+FFU!$E$20)</f>
        <v>5.0265376808941355E-3</v>
      </c>
      <c r="G153" s="7">
        <f t="shared" si="18"/>
        <v>0.45394479086425898</v>
      </c>
      <c r="H153" s="13" t="s">
        <v>1437</v>
      </c>
    </row>
    <row r="154" spans="1:8" x14ac:dyDescent="0.2">
      <c r="A154" s="709">
        <f t="shared" si="17"/>
        <v>92</v>
      </c>
      <c r="C154" s="110" t="s">
        <v>1541</v>
      </c>
      <c r="D154" s="7">
        <f t="shared" si="15"/>
        <v>-8138.6704424948148</v>
      </c>
      <c r="E154" s="7">
        <f t="shared" si="16"/>
        <v>0</v>
      </c>
      <c r="F154" s="7">
        <f>(D154+E154)*(FFU!$D$20+FFU!$E$20)</f>
        <v>-91.128692944614428</v>
      </c>
      <c r="G154" s="7">
        <f t="shared" si="18"/>
        <v>-8229.7991354394289</v>
      </c>
      <c r="H154" s="13" t="s">
        <v>1437</v>
      </c>
    </row>
    <row r="155" spans="1:8" x14ac:dyDescent="0.2">
      <c r="A155" s="709">
        <f t="shared" si="17"/>
        <v>93</v>
      </c>
      <c r="C155" s="110" t="s">
        <v>1542</v>
      </c>
      <c r="D155" s="7">
        <f t="shared" si="15"/>
        <v>17612395.886726163</v>
      </c>
      <c r="E155" s="7">
        <f t="shared" si="16"/>
        <v>-17344988.258246399</v>
      </c>
      <c r="F155" s="7">
        <f>(D155+E155)*(FFU!$D$20+FFU!$E$20)</f>
        <v>2994.1632160879158</v>
      </c>
      <c r="G155" s="7">
        <f t="shared" si="18"/>
        <v>270401.79169585177</v>
      </c>
      <c r="H155" s="13" t="s">
        <v>1437</v>
      </c>
    </row>
    <row r="156" spans="1:8" x14ac:dyDescent="0.2">
      <c r="A156" s="709">
        <f t="shared" si="17"/>
        <v>94</v>
      </c>
      <c r="C156" s="110" t="s">
        <v>1543</v>
      </c>
      <c r="D156" s="7">
        <f t="shared" si="15"/>
        <v>380732.13719449053</v>
      </c>
      <c r="E156" s="7">
        <f t="shared" si="16"/>
        <v>3220759.095265545</v>
      </c>
      <c r="F156" s="7">
        <f>(D156+E156)*(FFU!$D$20+FFU!$E$20)</f>
        <v>40325.897329855012</v>
      </c>
      <c r="G156" s="7">
        <f t="shared" si="18"/>
        <v>3641817.1297898907</v>
      </c>
      <c r="H156" s="13" t="s">
        <v>1437</v>
      </c>
    </row>
    <row r="157" spans="1:8" x14ac:dyDescent="0.2">
      <c r="A157" s="709">
        <f t="shared" si="17"/>
        <v>95</v>
      </c>
      <c r="C157" s="110" t="s">
        <v>1544</v>
      </c>
      <c r="D157" s="7">
        <f t="shared" si="15"/>
        <v>5613146.5609073471</v>
      </c>
      <c r="E157" s="7">
        <f t="shared" si="16"/>
        <v>-5613146.560907349</v>
      </c>
      <c r="F157" s="7">
        <f>(D157+E157)*(FFU!$D$20+FFU!$E$20)</f>
        <v>-2.0856037735939023E-11</v>
      </c>
      <c r="G157" s="7">
        <f t="shared" si="18"/>
        <v>-1.8835011869668959E-9</v>
      </c>
      <c r="H157" s="13" t="s">
        <v>1437</v>
      </c>
    </row>
    <row r="158" spans="1:8" x14ac:dyDescent="0.2">
      <c r="A158" s="709">
        <f t="shared" si="17"/>
        <v>96</v>
      </c>
      <c r="C158" s="110" t="s">
        <v>1545</v>
      </c>
      <c r="D158" s="7">
        <f t="shared" si="15"/>
        <v>1211789.2000212001</v>
      </c>
      <c r="E158" s="7">
        <f t="shared" si="16"/>
        <v>1875983.6550372487</v>
      </c>
      <c r="F158" s="7">
        <f>(D158+E158)*(FFU!$D$20+FFU!$E$20)</f>
        <v>34573.792658089449</v>
      </c>
      <c r="G158" s="7">
        <f t="shared" si="18"/>
        <v>3122346.6477165385</v>
      </c>
      <c r="H158" s="13" t="s">
        <v>1437</v>
      </c>
    </row>
    <row r="159" spans="1:8" x14ac:dyDescent="0.2">
      <c r="A159" s="709">
        <f t="shared" si="17"/>
        <v>97</v>
      </c>
      <c r="C159" s="110" t="s">
        <v>1546</v>
      </c>
      <c r="D159" s="7">
        <f t="shared" si="15"/>
        <v>1617115.176285279</v>
      </c>
      <c r="E159" s="7">
        <f t="shared" si="16"/>
        <v>1376630.0958950426</v>
      </c>
      <c r="F159" s="7">
        <f>(D159+E159)*(FFU!$D$20+FFU!$E$20)</f>
        <v>33520.965812603055</v>
      </c>
      <c r="G159" s="7">
        <f t="shared" si="18"/>
        <v>3027266.2379929246</v>
      </c>
      <c r="H159" s="13" t="s">
        <v>1437</v>
      </c>
    </row>
    <row r="160" spans="1:8" x14ac:dyDescent="0.2">
      <c r="A160" s="709">
        <f t="shared" si="17"/>
        <v>98</v>
      </c>
      <c r="C160" s="510" t="s">
        <v>1547</v>
      </c>
      <c r="D160" s="653" t="s">
        <v>92</v>
      </c>
      <c r="E160" s="653" t="s">
        <v>92</v>
      </c>
      <c r="F160" s="653" t="s">
        <v>92</v>
      </c>
      <c r="G160" s="653" t="s">
        <v>92</v>
      </c>
      <c r="H160" s="13" t="s">
        <v>1437</v>
      </c>
    </row>
    <row r="161" spans="1:8" x14ac:dyDescent="0.2">
      <c r="A161" s="709">
        <f t="shared" si="17"/>
        <v>99</v>
      </c>
      <c r="C161" s="510" t="s">
        <v>1548</v>
      </c>
      <c r="D161" s="653" t="s">
        <v>92</v>
      </c>
      <c r="E161" s="653" t="s">
        <v>92</v>
      </c>
      <c r="F161" s="653" t="s">
        <v>92</v>
      </c>
      <c r="G161" s="653" t="s">
        <v>92</v>
      </c>
      <c r="H161" s="13" t="s">
        <v>1437</v>
      </c>
    </row>
    <row r="162" spans="1:8" x14ac:dyDescent="0.2">
      <c r="A162" s="709">
        <f t="shared" si="17"/>
        <v>100</v>
      </c>
      <c r="C162" s="110" t="s">
        <v>226</v>
      </c>
      <c r="D162" s="7">
        <f>SUM(D151:D161)</f>
        <v>211610477.68240932</v>
      </c>
      <c r="E162" s="7">
        <f>SUM(E151:E161)</f>
        <v>-97102976.521912575</v>
      </c>
      <c r="F162" s="7">
        <f>SUM(F151:F161)</f>
        <v>1282140.4904940822</v>
      </c>
      <c r="G162" s="7">
        <f>SUM(G151:G161)</f>
        <v>115789641.65099083</v>
      </c>
    </row>
    <row r="164" spans="1:8" ht="15" x14ac:dyDescent="0.25">
      <c r="C164" s="434" t="s">
        <v>1856</v>
      </c>
    </row>
    <row r="165" spans="1:8" ht="15" x14ac:dyDescent="0.25">
      <c r="C165" s="434"/>
    </row>
    <row r="166" spans="1:8" x14ac:dyDescent="0.2">
      <c r="D166" s="99" t="s">
        <v>417</v>
      </c>
      <c r="E166" s="99" t="s">
        <v>400</v>
      </c>
      <c r="F166" s="99" t="s">
        <v>401</v>
      </c>
      <c r="G166" s="99" t="s">
        <v>402</v>
      </c>
    </row>
    <row r="167" spans="1:8" ht="12.75" customHeight="1" x14ac:dyDescent="0.25">
      <c r="D167" s="277" t="s">
        <v>1749</v>
      </c>
      <c r="E167" s="277" t="s">
        <v>1325</v>
      </c>
      <c r="F167" s="99"/>
      <c r="G167" s="99"/>
    </row>
    <row r="168" spans="1:8" ht="12.75" customHeight="1" x14ac:dyDescent="0.25">
      <c r="D168" s="3" t="s">
        <v>1858</v>
      </c>
      <c r="E168" s="3" t="s">
        <v>1858</v>
      </c>
      <c r="F168" s="3" t="s">
        <v>1820</v>
      </c>
      <c r="G168" s="279" t="s">
        <v>225</v>
      </c>
      <c r="H168" s="3" t="s">
        <v>207</v>
      </c>
    </row>
    <row r="169" spans="1:8" x14ac:dyDescent="0.2">
      <c r="A169" s="709">
        <f>A162+1</f>
        <v>101</v>
      </c>
      <c r="C169" s="110" t="s">
        <v>1538</v>
      </c>
      <c r="D169" s="7">
        <f t="shared" ref="D169:D177" si="19">D77+E77+F77</f>
        <v>100496331.76458666</v>
      </c>
      <c r="E169" s="7">
        <f t="shared" ref="E169:E177" si="20">D120</f>
        <v>-1129049.6944166292</v>
      </c>
      <c r="F169" s="7">
        <f>(D169+E169)*(FFU!$D$20)</f>
        <v>908495.18651115056</v>
      </c>
      <c r="G169" s="7">
        <f>SUM(D169:F169)</f>
        <v>100275777.25668117</v>
      </c>
      <c r="H169" s="687" t="s">
        <v>1438</v>
      </c>
    </row>
    <row r="170" spans="1:8" x14ac:dyDescent="0.2">
      <c r="A170" s="709">
        <f t="shared" ref="A170:A180" si="21">A169+1</f>
        <v>102</v>
      </c>
      <c r="C170" s="110" t="s">
        <v>1539</v>
      </c>
      <c r="D170" s="7">
        <f t="shared" si="19"/>
        <v>67174945.634866193</v>
      </c>
      <c r="E170" s="7">
        <f t="shared" si="20"/>
        <v>-61977005.311193787</v>
      </c>
      <c r="F170" s="7">
        <f>(D170+E170)*(FFU!$D$20)</f>
        <v>47523.728791272071</v>
      </c>
      <c r="G170" s="7">
        <f t="shared" ref="G170:G177" si="22">SUM(D170:F170)</f>
        <v>5245464.0524636786</v>
      </c>
      <c r="H170" s="687" t="s">
        <v>1438</v>
      </c>
    </row>
    <row r="171" spans="1:8" x14ac:dyDescent="0.2">
      <c r="A171" s="709">
        <f t="shared" si="21"/>
        <v>103</v>
      </c>
      <c r="C171" s="110" t="s">
        <v>1540</v>
      </c>
      <c r="D171" s="7">
        <f t="shared" si="19"/>
        <v>17512159.992264487</v>
      </c>
      <c r="E171" s="7">
        <f t="shared" si="20"/>
        <v>-17512159.543346234</v>
      </c>
      <c r="F171" s="7">
        <f>(D171+E171)*(FFU!$D$20)</f>
        <v>4.1043698052048681E-3</v>
      </c>
      <c r="G171" s="7">
        <f t="shared" si="22"/>
        <v>0.45302262298856971</v>
      </c>
      <c r="H171" s="687" t="s">
        <v>1438</v>
      </c>
    </row>
    <row r="172" spans="1:8" x14ac:dyDescent="0.2">
      <c r="A172" s="709">
        <f t="shared" si="21"/>
        <v>104</v>
      </c>
      <c r="C172" s="110" t="s">
        <v>1541</v>
      </c>
      <c r="D172" s="7">
        <f t="shared" si="19"/>
        <v>-8138.6704424948148</v>
      </c>
      <c r="E172" s="7">
        <f t="shared" si="20"/>
        <v>0</v>
      </c>
      <c r="F172" s="7">
        <f>(D172+E172)*(FFU!$D$20)</f>
        <v>-74.410236121641589</v>
      </c>
      <c r="G172" s="7">
        <f t="shared" si="22"/>
        <v>-8213.0806786164558</v>
      </c>
      <c r="H172" s="687" t="s">
        <v>1438</v>
      </c>
    </row>
    <row r="173" spans="1:8" x14ac:dyDescent="0.2">
      <c r="A173" s="709">
        <f t="shared" si="21"/>
        <v>105</v>
      </c>
      <c r="C173" s="110" t="s">
        <v>1542</v>
      </c>
      <c r="D173" s="7">
        <f t="shared" si="19"/>
        <v>17612395.886726163</v>
      </c>
      <c r="E173" s="7">
        <f t="shared" si="20"/>
        <v>-17344988.258246399</v>
      </c>
      <c r="F173" s="7">
        <f>(D173+E173)*(FFU!$D$20)</f>
        <v>2444.854465664785</v>
      </c>
      <c r="G173" s="7">
        <f t="shared" si="22"/>
        <v>269852.48294542864</v>
      </c>
      <c r="H173" s="687" t="s">
        <v>1438</v>
      </c>
    </row>
    <row r="174" spans="1:8" x14ac:dyDescent="0.2">
      <c r="A174" s="709">
        <f t="shared" si="21"/>
        <v>106</v>
      </c>
      <c r="C174" s="110" t="s">
        <v>1543</v>
      </c>
      <c r="D174" s="7">
        <f t="shared" si="19"/>
        <v>380732.13719449053</v>
      </c>
      <c r="E174" s="7">
        <f t="shared" si="20"/>
        <v>3220759.095265545</v>
      </c>
      <c r="F174" s="7">
        <f>(D174+E174)*(FFU!$D$20)</f>
        <v>32927.714040135608</v>
      </c>
      <c r="G174" s="7">
        <f t="shared" si="22"/>
        <v>3634418.946500171</v>
      </c>
      <c r="H174" s="687" t="s">
        <v>1438</v>
      </c>
    </row>
    <row r="175" spans="1:8" x14ac:dyDescent="0.2">
      <c r="A175" s="709">
        <f t="shared" si="21"/>
        <v>107</v>
      </c>
      <c r="C175" s="110" t="s">
        <v>1544</v>
      </c>
      <c r="D175" s="7">
        <f t="shared" si="19"/>
        <v>5613146.5609073471</v>
      </c>
      <c r="E175" s="7">
        <f t="shared" si="20"/>
        <v>-5613146.560907349</v>
      </c>
      <c r="F175" s="7">
        <f>(D175+E175)*(FFU!$D$20)</f>
        <v>-1.7029792070388793E-11</v>
      </c>
      <c r="G175" s="7">
        <f t="shared" si="22"/>
        <v>-1.8796749413013458E-9</v>
      </c>
      <c r="H175" s="687" t="s">
        <v>1438</v>
      </c>
    </row>
    <row r="176" spans="1:8" x14ac:dyDescent="0.2">
      <c r="A176" s="709">
        <f t="shared" si="21"/>
        <v>108</v>
      </c>
      <c r="C176" s="110" t="s">
        <v>1545</v>
      </c>
      <c r="D176" s="7">
        <f t="shared" si="19"/>
        <v>1211789.2000212001</v>
      </c>
      <c r="E176" s="7">
        <f t="shared" si="20"/>
        <v>1875983.6550372487</v>
      </c>
      <c r="F176" s="7">
        <f>(D176+E176)*(FFU!$D$20)</f>
        <v>28230.889659228385</v>
      </c>
      <c r="G176" s="7">
        <f t="shared" si="22"/>
        <v>3116003.7447176771</v>
      </c>
      <c r="H176" s="687" t="s">
        <v>1438</v>
      </c>
    </row>
    <row r="177" spans="1:8" x14ac:dyDescent="0.2">
      <c r="A177" s="709">
        <f t="shared" si="21"/>
        <v>109</v>
      </c>
      <c r="C177" s="110" t="s">
        <v>1546</v>
      </c>
      <c r="D177" s="7">
        <f t="shared" si="19"/>
        <v>1617115.176285279</v>
      </c>
      <c r="E177" s="7">
        <f t="shared" si="20"/>
        <v>1376630.0958950426</v>
      </c>
      <c r="F177" s="7">
        <f>(D177+E177)*(FFU!$D$20)</f>
        <v>27371.214274490245</v>
      </c>
      <c r="G177" s="7">
        <f t="shared" si="22"/>
        <v>3021116.4864548119</v>
      </c>
      <c r="H177" s="687" t="s">
        <v>1438</v>
      </c>
    </row>
    <row r="178" spans="1:8" x14ac:dyDescent="0.2">
      <c r="A178" s="709">
        <f t="shared" si="21"/>
        <v>110</v>
      </c>
      <c r="C178" s="510" t="s">
        <v>1547</v>
      </c>
      <c r="D178" s="653" t="s">
        <v>92</v>
      </c>
      <c r="E178" s="653" t="s">
        <v>92</v>
      </c>
      <c r="F178" s="653" t="s">
        <v>92</v>
      </c>
      <c r="G178" s="653" t="s">
        <v>92</v>
      </c>
      <c r="H178" s="687" t="s">
        <v>1438</v>
      </c>
    </row>
    <row r="179" spans="1:8" x14ac:dyDescent="0.2">
      <c r="A179" s="709">
        <f t="shared" si="21"/>
        <v>111</v>
      </c>
      <c r="C179" s="510" t="s">
        <v>1548</v>
      </c>
      <c r="D179" s="653" t="s">
        <v>92</v>
      </c>
      <c r="E179" s="653" t="s">
        <v>92</v>
      </c>
      <c r="F179" s="653" t="s">
        <v>92</v>
      </c>
      <c r="G179" s="653" t="s">
        <v>92</v>
      </c>
      <c r="H179" s="687" t="s">
        <v>1438</v>
      </c>
    </row>
    <row r="180" spans="1:8" x14ac:dyDescent="0.2">
      <c r="A180" s="709">
        <f t="shared" si="21"/>
        <v>112</v>
      </c>
      <c r="C180" s="110" t="s">
        <v>226</v>
      </c>
      <c r="D180" s="7">
        <f>SUM(D169:D179)</f>
        <v>211610477.68240932</v>
      </c>
      <c r="E180" s="7">
        <f>SUM(E169:E179)</f>
        <v>-97102976.521912575</v>
      </c>
      <c r="F180" s="7">
        <f>SUM(F169:F179)</f>
        <v>1046919.1816101898</v>
      </c>
      <c r="G180" s="7">
        <f>SUM(G169:G179)</f>
        <v>115554420.34210695</v>
      </c>
    </row>
    <row r="182" spans="1:8" x14ac:dyDescent="0.2">
      <c r="B182" s="1" t="s">
        <v>269</v>
      </c>
    </row>
    <row r="183" spans="1:8" x14ac:dyDescent="0.2">
      <c r="B183" s="52" t="str">
        <f>"1) (Sum Lines "&amp;A64&amp;" to "&amp;A67&amp;") * (FF + U Factors from FFU WS) for Prior Year TRR"</f>
        <v>1) (Sum Lines 33 to 36) * (FF + U Factors from FFU WS) for Prior Year TRR</v>
      </c>
    </row>
    <row r="184" spans="1:8" x14ac:dyDescent="0.2">
      <c r="B184" s="13" t="str">
        <f>"(Sum Lines "&amp;A65&amp;" to "&amp;A68&amp;") * (FF Factor from FFU WS) for True Up TRR"</f>
        <v>(Sum Lines 34 to 37) * (FF Factor from FFU WS) for True Up TRR</v>
      </c>
    </row>
    <row r="185" spans="1:8" x14ac:dyDescent="0.2">
      <c r="B185" s="12" t="str">
        <f>"2) Project Cost of capital is a fraction of total Cost of Capital on Line "&amp;A26&amp;" based on fraction of project CWIP Balances on Lines "&amp;A9&amp;" to "&amp;A20&amp;", Col 1."</f>
        <v>2) Project Cost of capital is a fraction of total Cost of Capital on Line 15 based on fraction of project CWIP Balances on Lines 1 to 12, Col 1.</v>
      </c>
    </row>
    <row r="186" spans="1:8" x14ac:dyDescent="0.2">
      <c r="B186" s="13" t="str">
        <f>"Project Income Taxes is a fraction of total Income on Line "&amp;A34&amp;" based on fraction of project CWIP Balances on Lines "&amp;A9&amp;" to "&amp;A20&amp;", Col 1."</f>
        <v>Project Income Taxes is a fraction of total Income on Line 19 based on fraction of project CWIP Balances on Lines 1 to 12, Col 1.</v>
      </c>
    </row>
    <row r="187" spans="1:8" x14ac:dyDescent="0.2">
      <c r="B187" s="16" t="str">
        <f>"ROE Adder is from Lines "&amp;A66&amp;" and "&amp;A67&amp;".  FF&amp;U Expenses are based on FF&amp;U Factors on FFU worksheet."</f>
        <v>ROE Adder is from Lines 35 and 36.  FF&amp;U Expenses are based on FF&amp;U Factors on FFU worksheet.</v>
      </c>
    </row>
    <row r="188" spans="1:8" x14ac:dyDescent="0.2">
      <c r="B188" s="12" t="str">
        <f>"3) Project Cost of capital is a fraction of total Cost of Capital on Line "&amp;A26&amp;" based on fraction of project CWIP Balances on Lines "&amp;A9&amp;" to "&amp;A20&amp;", Col 2."</f>
        <v>3) Project Cost of capital is a fraction of total Cost of Capital on Line 15 based on fraction of project CWIP Balances on Lines 1 to 12, Col 2.</v>
      </c>
    </row>
    <row r="189" spans="1:8" x14ac:dyDescent="0.2">
      <c r="B189" s="13" t="str">
        <f>"Project Income Taxes is a fraction of total Income on Line "&amp;A34&amp;" based on fraction of project CWIP Balances on Lines "&amp;A9&amp;" to "&amp;A20&amp;", Col 2."</f>
        <v>Project Income Taxes is a fraction of total Income on Line 19 based on fraction of project CWIP Balances on Lines 1 to 12, Col 2.</v>
      </c>
    </row>
    <row r="190" spans="1:8" x14ac:dyDescent="0.2">
      <c r="B190" s="16" t="str">
        <f>"ROE Adder is from Lines "&amp;A66&amp;" and "&amp;A67&amp;".  FF Expenses is based on FF Factor on FFU worksheet."</f>
        <v>ROE Adder is from Lines 35 and 36.  FF Expenses is based on FF Factor on FFU worksheet.</v>
      </c>
    </row>
    <row r="191" spans="1:8" x14ac:dyDescent="0.2">
      <c r="B191" s="12" t="str">
        <f>"4) Project contribution to total IFPTRR is based on fraction of Forecast Period CWIP Balances on Lines "&amp;A9&amp;" to "&amp;A20&amp;", Col 3."</f>
        <v>4) Project contribution to total IFPTRR is based on fraction of Forecast Period CWIP Balances on Lines 1 to 12, Col 3.</v>
      </c>
    </row>
    <row r="192" spans="1:8" x14ac:dyDescent="0.2">
      <c r="B192" s="12" t="str">
        <f>"5) Column 1 is from Lines "&amp;A77&amp;" to "&amp;A87&amp;", Sum of Column 1-3 (no FF&amp;U)."</f>
        <v>5) Column 1 is from Lines 39 to 49, Sum of Column 1-3 (no FF&amp;U).</v>
      </c>
    </row>
    <row r="193" spans="2:2" x14ac:dyDescent="0.2">
      <c r="B193" s="13" t="str">
        <f>"Column 2 is from Lines "&amp;A120&amp;" to "&amp;A130&amp;" (no FF&amp;U)."</f>
        <v>Column 2 is from Lines 68 to 78 (no FF&amp;U).</v>
      </c>
    </row>
    <row r="194" spans="2:2" x14ac:dyDescent="0.2">
      <c r="B194" s="687" t="s">
        <v>1857</v>
      </c>
    </row>
    <row r="195" spans="2:2" x14ac:dyDescent="0.2">
      <c r="B195" s="683" t="s">
        <v>1860</v>
      </c>
    </row>
  </sheetData>
  <pageMargins left="0.7" right="0.7" top="0.75" bottom="0.75" header="0.3" footer="0.3"/>
  <pageSetup scale="70" orientation="portrait" r:id="rId1"/>
  <headerFooter>
    <oddHeader>&amp;CSchedule 24
CWIP TRR
&amp;RDkt. No. ER11-3697
2014 Draft Informational Filing</oddHeader>
    <oddFooter>&amp;RCWIPTRR</oddFooter>
  </headerFooter>
  <rowBreaks count="2" manualBreakCount="2">
    <brk id="70" max="16383" man="1"/>
    <brk id="132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opLeftCell="A43" zoomScale="85" zoomScaleNormal="85" workbookViewId="0">
      <selection activeCell="G17" sqref="G17"/>
    </sheetView>
  </sheetViews>
  <sheetFormatPr defaultRowHeight="12.75" x14ac:dyDescent="0.2"/>
  <cols>
    <col min="1" max="1" width="4.7109375" customWidth="1"/>
    <col min="6" max="6" width="11.7109375" customWidth="1"/>
    <col min="7" max="7" width="21.7109375" customWidth="1"/>
    <col min="8" max="9" width="14.7109375" customWidth="1"/>
  </cols>
  <sheetData>
    <row r="1" spans="1:12" x14ac:dyDescent="0.2">
      <c r="A1" s="1" t="s">
        <v>1663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x14ac:dyDescent="0.2">
      <c r="A2" s="1"/>
      <c r="B2" s="264"/>
      <c r="C2" s="264"/>
      <c r="D2" s="264"/>
      <c r="E2" s="264"/>
      <c r="F2" s="264"/>
      <c r="G2" s="264"/>
      <c r="H2" s="635" t="s">
        <v>19</v>
      </c>
      <c r="I2" s="489"/>
      <c r="J2" s="264"/>
      <c r="K2" s="264"/>
      <c r="L2" s="264"/>
    </row>
    <row r="3" spans="1:12" x14ac:dyDescent="0.2">
      <c r="A3" s="1"/>
      <c r="B3" s="264" t="s">
        <v>1664</v>
      </c>
      <c r="C3" s="264"/>
      <c r="D3" s="264"/>
      <c r="E3" s="264"/>
      <c r="F3" s="264"/>
      <c r="G3" s="264"/>
      <c r="H3" s="274"/>
      <c r="I3" s="274"/>
      <c r="J3" s="264"/>
      <c r="K3" s="264"/>
      <c r="L3" s="264"/>
    </row>
    <row r="4" spans="1:12" x14ac:dyDescent="0.2">
      <c r="A4" s="1"/>
      <c r="B4" s="264" t="s">
        <v>1838</v>
      </c>
      <c r="C4" s="264"/>
      <c r="D4" s="264"/>
      <c r="E4" s="264"/>
      <c r="F4" s="264"/>
      <c r="G4" s="264"/>
      <c r="H4" s="274"/>
      <c r="I4" s="274"/>
      <c r="J4" s="264"/>
      <c r="K4" s="264"/>
      <c r="L4" s="264"/>
    </row>
    <row r="5" spans="1:12" x14ac:dyDescent="0.2">
      <c r="A5" s="1"/>
      <c r="B5" s="264" t="s">
        <v>1665</v>
      </c>
      <c r="C5" s="264"/>
      <c r="D5" s="264"/>
      <c r="E5" s="264"/>
      <c r="F5" s="264"/>
      <c r="G5" s="264"/>
      <c r="H5" s="274"/>
      <c r="I5" s="274"/>
      <c r="J5" s="264"/>
      <c r="K5" s="264"/>
      <c r="L5" s="264"/>
    </row>
    <row r="6" spans="1:12" x14ac:dyDescent="0.2">
      <c r="A6" s="1"/>
      <c r="B6" s="264" t="s">
        <v>1666</v>
      </c>
      <c r="C6" s="264"/>
      <c r="D6" s="264"/>
      <c r="E6" s="264"/>
      <c r="F6" s="264"/>
      <c r="G6" s="264"/>
      <c r="H6" s="274"/>
      <c r="I6" s="274"/>
      <c r="J6" s="264"/>
      <c r="K6" s="264"/>
      <c r="L6" s="264"/>
    </row>
    <row r="7" spans="1:12" x14ac:dyDescent="0.2">
      <c r="A7" s="1"/>
      <c r="B7" s="264" t="s">
        <v>1667</v>
      </c>
      <c r="C7" s="264"/>
      <c r="D7" s="264"/>
      <c r="E7" s="264"/>
      <c r="F7" s="264"/>
      <c r="G7" s="264"/>
      <c r="H7" s="274"/>
      <c r="I7" s="274"/>
      <c r="J7" s="264"/>
      <c r="K7" s="264"/>
      <c r="L7" s="264"/>
    </row>
    <row r="8" spans="1:12" x14ac:dyDescent="0.2">
      <c r="A8" s="1"/>
      <c r="B8" s="264"/>
      <c r="C8" s="264"/>
      <c r="D8" s="264"/>
      <c r="E8" s="264"/>
      <c r="F8" s="264"/>
      <c r="G8" s="264"/>
      <c r="H8" s="267" t="s">
        <v>1668</v>
      </c>
      <c r="I8" s="274"/>
      <c r="J8" s="264"/>
      <c r="K8" s="264"/>
      <c r="L8" s="264"/>
    </row>
    <row r="9" spans="1:12" ht="15" x14ac:dyDescent="0.25">
      <c r="A9" s="1"/>
      <c r="B9" s="264"/>
      <c r="C9" s="264"/>
      <c r="D9" s="264"/>
      <c r="E9" s="264"/>
      <c r="F9" s="264"/>
      <c r="G9" s="267" t="s">
        <v>201</v>
      </c>
      <c r="H9" s="277" t="s">
        <v>1669</v>
      </c>
      <c r="I9" s="636" t="s">
        <v>373</v>
      </c>
      <c r="J9" s="264"/>
      <c r="K9" s="264"/>
      <c r="L9" s="264"/>
    </row>
    <row r="10" spans="1:12" x14ac:dyDescent="0.2">
      <c r="A10" s="53" t="s">
        <v>380</v>
      </c>
      <c r="B10" s="264"/>
      <c r="C10" s="264"/>
      <c r="D10" s="264"/>
      <c r="E10" s="264"/>
      <c r="F10" s="264"/>
      <c r="G10" s="431" t="s">
        <v>334</v>
      </c>
      <c r="H10" s="431" t="s">
        <v>334</v>
      </c>
      <c r="I10" s="637" t="s">
        <v>1670</v>
      </c>
      <c r="J10" s="264"/>
      <c r="K10" s="264"/>
      <c r="L10" s="264"/>
    </row>
    <row r="11" spans="1:12" x14ac:dyDescent="0.2">
      <c r="A11" s="2">
        <v>1</v>
      </c>
      <c r="B11" s="264" t="s">
        <v>1671</v>
      </c>
      <c r="C11" s="264"/>
      <c r="D11" s="264"/>
      <c r="E11" s="264"/>
      <c r="F11" s="264"/>
      <c r="G11" s="286" t="s">
        <v>259</v>
      </c>
      <c r="H11" s="638" t="s">
        <v>259</v>
      </c>
      <c r="I11" s="64" t="s">
        <v>261</v>
      </c>
      <c r="J11" s="264"/>
      <c r="K11" s="264"/>
      <c r="L11" s="264"/>
    </row>
    <row r="12" spans="1:12" x14ac:dyDescent="0.2">
      <c r="A12" s="2">
        <f>A11+1</f>
        <v>2</v>
      </c>
      <c r="B12" s="264" t="s">
        <v>1672</v>
      </c>
      <c r="C12" s="264"/>
      <c r="D12" s="264"/>
      <c r="E12" s="264"/>
      <c r="F12" s="264"/>
      <c r="G12" s="286" t="s">
        <v>259</v>
      </c>
      <c r="H12" s="638" t="s">
        <v>259</v>
      </c>
      <c r="I12" s="638" t="s">
        <v>259</v>
      </c>
      <c r="J12" s="264"/>
      <c r="K12" s="264"/>
      <c r="L12" s="264"/>
    </row>
    <row r="13" spans="1:12" x14ac:dyDescent="0.2">
      <c r="A13" s="131">
        <f>A12+1</f>
        <v>3</v>
      </c>
      <c r="B13" s="274" t="s">
        <v>1901</v>
      </c>
      <c r="C13" s="264"/>
      <c r="D13" s="264"/>
      <c r="E13" s="264"/>
      <c r="F13" s="264"/>
      <c r="G13" s="286" t="s">
        <v>259</v>
      </c>
      <c r="H13" s="638" t="s">
        <v>259</v>
      </c>
      <c r="I13" s="638" t="s">
        <v>259</v>
      </c>
      <c r="J13" s="264"/>
      <c r="K13" s="264"/>
      <c r="L13" s="264"/>
    </row>
    <row r="14" spans="1:12" x14ac:dyDescent="0.2">
      <c r="A14" s="2">
        <f>A13+1</f>
        <v>4</v>
      </c>
      <c r="B14" s="264" t="s">
        <v>1673</v>
      </c>
      <c r="C14" s="264"/>
      <c r="D14" s="264"/>
      <c r="E14" s="264"/>
      <c r="F14" s="264"/>
      <c r="G14" s="286" t="s">
        <v>259</v>
      </c>
      <c r="H14" s="638" t="s">
        <v>259</v>
      </c>
      <c r="I14" s="638" t="s">
        <v>261</v>
      </c>
      <c r="J14" s="264"/>
      <c r="K14" s="264"/>
      <c r="L14" s="264"/>
    </row>
    <row r="15" spans="1:12" x14ac:dyDescent="0.2">
      <c r="A15" s="2">
        <f>A14+1</f>
        <v>5</v>
      </c>
      <c r="B15" s="264" t="s">
        <v>1674</v>
      </c>
      <c r="C15" s="264"/>
      <c r="D15" s="264"/>
      <c r="E15" s="264"/>
      <c r="F15" s="264"/>
      <c r="G15" s="286" t="s">
        <v>261</v>
      </c>
      <c r="H15" s="638" t="s">
        <v>259</v>
      </c>
      <c r="I15" s="638" t="s">
        <v>261</v>
      </c>
      <c r="J15" s="264"/>
      <c r="K15" s="264"/>
      <c r="L15" s="264"/>
    </row>
    <row r="16" spans="1:12" x14ac:dyDescent="0.2">
      <c r="A16" s="264"/>
      <c r="B16" s="264"/>
      <c r="C16" s="639"/>
      <c r="D16" s="274"/>
      <c r="E16" s="274"/>
      <c r="F16" s="274"/>
      <c r="G16" s="264"/>
      <c r="H16" s="264"/>
      <c r="I16" s="264"/>
      <c r="J16" s="264"/>
      <c r="K16" s="264"/>
      <c r="L16" s="264"/>
    </row>
    <row r="17" spans="1:12" x14ac:dyDescent="0.2">
      <c r="A17" s="264"/>
      <c r="B17" s="488" t="s">
        <v>1675</v>
      </c>
      <c r="C17" s="442"/>
      <c r="D17" s="274"/>
      <c r="E17" s="274"/>
      <c r="F17" s="274"/>
      <c r="G17" s="264"/>
      <c r="H17" s="264"/>
      <c r="I17" s="264"/>
      <c r="J17" s="264"/>
      <c r="K17" s="264"/>
      <c r="L17" s="264"/>
    </row>
    <row r="18" spans="1:12" x14ac:dyDescent="0.2">
      <c r="A18" s="264"/>
      <c r="B18" s="488"/>
      <c r="C18" s="442"/>
      <c r="D18" s="274"/>
      <c r="E18" s="274"/>
      <c r="F18" s="274"/>
      <c r="G18" s="264"/>
      <c r="H18" s="264"/>
      <c r="I18" s="264"/>
      <c r="J18" s="264"/>
      <c r="K18" s="264"/>
      <c r="L18" s="264"/>
    </row>
    <row r="19" spans="1:12" x14ac:dyDescent="0.2">
      <c r="A19" s="264"/>
      <c r="B19" s="640" t="s">
        <v>1676</v>
      </c>
      <c r="C19" s="444"/>
      <c r="D19" s="274"/>
      <c r="E19" s="274"/>
      <c r="F19" s="274"/>
      <c r="G19" s="264"/>
      <c r="H19" s="264"/>
      <c r="I19" s="264"/>
      <c r="J19" s="264"/>
      <c r="K19" s="264"/>
      <c r="L19" s="264"/>
    </row>
    <row r="20" spans="1:12" x14ac:dyDescent="0.2">
      <c r="A20" s="264"/>
      <c r="B20" s="284" t="s">
        <v>1677</v>
      </c>
      <c r="C20" s="444"/>
      <c r="D20" s="274"/>
      <c r="E20" s="274"/>
      <c r="F20" s="274"/>
      <c r="G20" s="264"/>
      <c r="H20" s="264"/>
      <c r="I20" s="264"/>
      <c r="J20" s="264"/>
      <c r="K20" s="264"/>
      <c r="L20" s="264"/>
    </row>
    <row r="21" spans="1:12" x14ac:dyDescent="0.2">
      <c r="A21" s="264"/>
      <c r="B21" s="284" t="s">
        <v>1678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</row>
    <row r="22" spans="1:12" x14ac:dyDescent="0.2">
      <c r="A22" s="264"/>
      <c r="B22" s="264"/>
      <c r="C22" s="264"/>
      <c r="D22" s="264"/>
      <c r="E22" s="264"/>
      <c r="F22" s="264"/>
      <c r="G22" s="264"/>
      <c r="H22" s="99" t="s">
        <v>417</v>
      </c>
      <c r="I22" s="99" t="s">
        <v>400</v>
      </c>
      <c r="J22" s="264"/>
      <c r="K22" s="264"/>
      <c r="L22" s="264"/>
    </row>
    <row r="23" spans="1:12" x14ac:dyDescent="0.2">
      <c r="A23" s="264"/>
      <c r="B23" s="264"/>
      <c r="C23" s="264"/>
      <c r="D23" s="264"/>
      <c r="E23" s="264"/>
      <c r="F23" s="264"/>
      <c r="G23" s="264"/>
      <c r="H23" s="641" t="s">
        <v>1679</v>
      </c>
      <c r="I23" s="264"/>
      <c r="J23" s="264"/>
      <c r="K23" s="264"/>
      <c r="L23" s="264"/>
    </row>
    <row r="24" spans="1:12" x14ac:dyDescent="0.2">
      <c r="A24" s="264"/>
      <c r="B24" s="264"/>
      <c r="C24" s="264"/>
      <c r="D24" s="264"/>
      <c r="E24" s="264"/>
      <c r="F24" s="264"/>
      <c r="G24" s="264"/>
      <c r="H24" s="641" t="s">
        <v>334</v>
      </c>
      <c r="I24" s="267" t="s">
        <v>1680</v>
      </c>
      <c r="J24" s="264"/>
      <c r="K24" s="264"/>
      <c r="L24" s="264"/>
    </row>
    <row r="25" spans="1:12" x14ac:dyDescent="0.2">
      <c r="A25" s="264"/>
      <c r="B25" s="264"/>
      <c r="C25" s="264"/>
      <c r="D25" s="264"/>
      <c r="E25" s="264"/>
      <c r="F25" s="264"/>
      <c r="G25" s="26" t="s">
        <v>222</v>
      </c>
      <c r="H25" s="267" t="s">
        <v>1681</v>
      </c>
      <c r="I25" s="267" t="s">
        <v>1682</v>
      </c>
      <c r="J25" s="264"/>
      <c r="K25" s="264"/>
      <c r="L25" s="264"/>
    </row>
    <row r="26" spans="1:12" ht="15" x14ac:dyDescent="0.25">
      <c r="A26" s="53"/>
      <c r="B26" s="264"/>
      <c r="C26" s="264"/>
      <c r="D26" s="264"/>
      <c r="E26" s="264"/>
      <c r="F26" s="264"/>
      <c r="G26" s="25" t="s">
        <v>207</v>
      </c>
      <c r="H26" s="642" t="s">
        <v>1683</v>
      </c>
      <c r="I26" s="279" t="s">
        <v>1669</v>
      </c>
      <c r="J26" s="431"/>
      <c r="K26" s="264"/>
      <c r="L26" s="264"/>
    </row>
    <row r="27" spans="1:12" x14ac:dyDescent="0.2">
      <c r="A27" s="2">
        <f>A15+1</f>
        <v>6</v>
      </c>
      <c r="B27" s="264"/>
      <c r="C27" s="264" t="s">
        <v>1684</v>
      </c>
      <c r="D27" s="264"/>
      <c r="E27" s="264"/>
      <c r="F27" s="264"/>
      <c r="G27" s="13" t="s">
        <v>1685</v>
      </c>
      <c r="H27" s="268">
        <v>31556000</v>
      </c>
      <c r="I27" s="266">
        <v>-2176300</v>
      </c>
      <c r="J27" s="264"/>
      <c r="K27" s="264"/>
      <c r="L27" s="264"/>
    </row>
    <row r="28" spans="1:12" x14ac:dyDescent="0.2">
      <c r="A28" s="2">
        <f>A27+1</f>
        <v>7</v>
      </c>
      <c r="B28" s="264"/>
      <c r="C28" s="264" t="s">
        <v>1686</v>
      </c>
      <c r="D28" s="264"/>
      <c r="E28" s="264"/>
      <c r="F28" s="264"/>
      <c r="G28" s="13" t="s">
        <v>1685</v>
      </c>
      <c r="H28" s="266">
        <v>-35044000</v>
      </c>
      <c r="I28" s="266">
        <v>2503000</v>
      </c>
      <c r="J28" s="264"/>
      <c r="K28" s="264"/>
      <c r="L28" s="264"/>
    </row>
    <row r="29" spans="1:12" x14ac:dyDescent="0.2">
      <c r="A29" s="2">
        <f>A28+1</f>
        <v>8</v>
      </c>
      <c r="B29" s="274"/>
      <c r="C29" s="274" t="s">
        <v>1902</v>
      </c>
      <c r="D29" s="274"/>
      <c r="E29" s="274"/>
      <c r="F29" s="274"/>
      <c r="G29" s="47" t="s">
        <v>1685</v>
      </c>
      <c r="H29" s="268">
        <v>-624650</v>
      </c>
      <c r="I29" s="268">
        <v>43100</v>
      </c>
      <c r="J29" s="264"/>
      <c r="K29" s="264"/>
      <c r="L29" s="264"/>
    </row>
    <row r="30" spans="1:12" x14ac:dyDescent="0.2">
      <c r="A30" s="2">
        <f>A29+1</f>
        <v>9</v>
      </c>
      <c r="B30" s="264"/>
      <c r="C30" s="264" t="s">
        <v>1687</v>
      </c>
      <c r="D30" s="264"/>
      <c r="E30" s="264"/>
      <c r="F30" s="264"/>
      <c r="G30" s="13" t="s">
        <v>1685</v>
      </c>
      <c r="H30" s="430">
        <v>-7410000</v>
      </c>
      <c r="I30" s="643">
        <v>511200</v>
      </c>
      <c r="J30" s="264"/>
      <c r="K30" s="264"/>
      <c r="L30" s="264"/>
    </row>
    <row r="31" spans="1:12" x14ac:dyDescent="0.2">
      <c r="A31" s="2">
        <f>A30+1</f>
        <v>10</v>
      </c>
      <c r="B31" s="264"/>
      <c r="C31" s="264"/>
      <c r="D31" s="264"/>
      <c r="E31" s="264"/>
      <c r="G31" s="265" t="s">
        <v>226</v>
      </c>
      <c r="H31" s="266">
        <f>SUM(H27:H30)</f>
        <v>-11522650</v>
      </c>
      <c r="I31" s="266">
        <f>SUM(I27:I30)</f>
        <v>881000</v>
      </c>
      <c r="J31" s="264"/>
      <c r="K31" s="264"/>
      <c r="L31" s="264"/>
    </row>
    <row r="32" spans="1:12" x14ac:dyDescent="0.2">
      <c r="A32" s="2"/>
      <c r="B32" s="264"/>
      <c r="C32" s="264"/>
      <c r="D32" s="264"/>
      <c r="E32" s="264"/>
      <c r="G32" s="265"/>
      <c r="H32" s="266"/>
      <c r="I32" s="266"/>
      <c r="J32" s="264"/>
      <c r="K32" s="264"/>
      <c r="L32" s="264"/>
    </row>
    <row r="33" spans="1:12" x14ac:dyDescent="0.2">
      <c r="A33" s="2"/>
      <c r="B33" s="640" t="s">
        <v>1688</v>
      </c>
      <c r="C33" s="264"/>
      <c r="D33" s="264"/>
      <c r="E33" s="264"/>
      <c r="G33" s="265"/>
      <c r="H33" s="266"/>
      <c r="I33" s="266"/>
      <c r="J33" s="264"/>
      <c r="K33" s="264"/>
      <c r="L33" s="264"/>
    </row>
    <row r="34" spans="1:12" x14ac:dyDescent="0.2">
      <c r="A34" s="2"/>
      <c r="B34" s="284" t="s">
        <v>2074</v>
      </c>
      <c r="C34" s="264"/>
      <c r="D34" s="264"/>
      <c r="E34" s="264"/>
      <c r="G34" s="265"/>
      <c r="H34" s="266"/>
      <c r="I34" s="266"/>
      <c r="J34" s="264"/>
      <c r="K34" s="264"/>
      <c r="L34" s="264"/>
    </row>
    <row r="35" spans="1:12" x14ac:dyDescent="0.2">
      <c r="A35" s="2"/>
      <c r="B35" s="284" t="s">
        <v>1689</v>
      </c>
      <c r="C35" s="264"/>
      <c r="D35" s="264"/>
      <c r="E35" s="264"/>
      <c r="G35" s="265"/>
      <c r="H35" s="266"/>
      <c r="I35" s="266"/>
      <c r="J35" s="264"/>
      <c r="K35" s="264"/>
      <c r="L35" s="264"/>
    </row>
    <row r="36" spans="1:12" x14ac:dyDescent="0.2">
      <c r="A36" s="267"/>
      <c r="B36" s="264"/>
      <c r="C36" s="264"/>
      <c r="D36" s="264"/>
      <c r="E36" s="264"/>
      <c r="F36" s="264"/>
      <c r="G36" s="26" t="s">
        <v>222</v>
      </c>
      <c r="H36" s="264"/>
      <c r="I36" s="264"/>
      <c r="J36" s="264"/>
      <c r="K36" s="264"/>
      <c r="L36" s="264"/>
    </row>
    <row r="37" spans="1:12" x14ac:dyDescent="0.2">
      <c r="A37" s="267"/>
      <c r="B37" s="644"/>
      <c r="C37" s="442"/>
      <c r="D37" s="274"/>
      <c r="E37" s="274"/>
      <c r="F37" s="274"/>
      <c r="G37" s="25" t="s">
        <v>207</v>
      </c>
      <c r="H37" s="3" t="s">
        <v>199</v>
      </c>
      <c r="I37" s="645" t="s">
        <v>1690</v>
      </c>
      <c r="J37" s="264"/>
      <c r="K37" s="264"/>
      <c r="L37" s="264"/>
    </row>
    <row r="38" spans="1:12" x14ac:dyDescent="0.2">
      <c r="A38" s="2">
        <f>A31+1</f>
        <v>11</v>
      </c>
      <c r="B38" s="284" t="s">
        <v>1691</v>
      </c>
      <c r="C38" s="264"/>
      <c r="D38" s="264"/>
      <c r="E38" s="274"/>
      <c r="F38" s="264"/>
      <c r="G38" s="284" t="str">
        <f>"IFPTRR WS L "&amp;IFPTRR!A25&amp;""</f>
        <v>IFPTRR WS L 16</v>
      </c>
      <c r="H38" s="429">
        <f>IFPTRR!D25</f>
        <v>0.116905794483024</v>
      </c>
      <c r="I38" s="286">
        <v>1</v>
      </c>
      <c r="J38" s="264"/>
      <c r="K38" s="264"/>
      <c r="L38" s="264"/>
    </row>
    <row r="39" spans="1:12" x14ac:dyDescent="0.2">
      <c r="A39" s="2">
        <f>A38+1</f>
        <v>12</v>
      </c>
      <c r="B39" s="284" t="s">
        <v>79</v>
      </c>
      <c r="C39" s="264"/>
      <c r="D39" s="264"/>
      <c r="E39" s="274"/>
      <c r="F39" s="264"/>
      <c r="G39" s="284"/>
      <c r="H39" s="646">
        <v>2012</v>
      </c>
      <c r="I39" s="286">
        <v>2</v>
      </c>
      <c r="J39" s="264"/>
      <c r="K39" s="264"/>
      <c r="L39" s="264"/>
    </row>
    <row r="40" spans="1:12" x14ac:dyDescent="0.2">
      <c r="A40" s="2">
        <f>A39+1</f>
        <v>13</v>
      </c>
      <c r="B40" s="284" t="s">
        <v>1692</v>
      </c>
      <c r="C40" s="264"/>
      <c r="D40" s="264"/>
      <c r="E40" s="264"/>
      <c r="F40" s="264"/>
      <c r="G40" s="266"/>
      <c r="H40" s="266">
        <f>H31+ (I31*(H39-2010))</f>
        <v>-9760650</v>
      </c>
      <c r="I40" s="286">
        <v>3</v>
      </c>
      <c r="J40" s="264"/>
      <c r="K40" s="264"/>
      <c r="L40" s="264"/>
    </row>
    <row r="41" spans="1:12" x14ac:dyDescent="0.2">
      <c r="A41" s="2">
        <f>A40+1</f>
        <v>14</v>
      </c>
      <c r="B41" s="284" t="s">
        <v>1693</v>
      </c>
      <c r="C41" s="442"/>
      <c r="D41" s="274"/>
      <c r="E41" s="274"/>
      <c r="F41" s="274"/>
      <c r="G41" s="13" t="str">
        <f>"Line "&amp;A40&amp;" * Line "&amp;A38&amp;""</f>
        <v>Line 13 * Line 11</v>
      </c>
      <c r="H41" s="266">
        <f xml:space="preserve"> H40*H38</f>
        <v>-1141076.5429207282</v>
      </c>
      <c r="I41" s="264"/>
      <c r="J41" s="264"/>
      <c r="K41" s="264"/>
      <c r="L41" s="264"/>
    </row>
    <row r="42" spans="1:12" x14ac:dyDescent="0.2">
      <c r="L42" s="264"/>
    </row>
    <row r="43" spans="1:12" x14ac:dyDescent="0.2">
      <c r="B43" s="488" t="s">
        <v>1907</v>
      </c>
      <c r="L43" s="264"/>
    </row>
    <row r="44" spans="1:12" x14ac:dyDescent="0.2">
      <c r="L44" s="264"/>
    </row>
    <row r="45" spans="1:12" x14ac:dyDescent="0.2">
      <c r="B45" s="264" t="str">
        <f>"The annual Wholesale Expense Difference impact is the negative of amounts stated in Lines "&amp;A27&amp;" to "&amp;A30&amp;" above, Column 2."</f>
        <v>The annual Wholesale Expense Difference impact is the negative of amounts stated in Lines 6 to 9 above, Column 2.</v>
      </c>
      <c r="L45" s="264"/>
    </row>
    <row r="46" spans="1:12" x14ac:dyDescent="0.2">
      <c r="B46" s="264" t="s">
        <v>1728</v>
      </c>
      <c r="L46" s="264"/>
    </row>
    <row r="47" spans="1:12" x14ac:dyDescent="0.2">
      <c r="A47" s="264"/>
      <c r="B47" s="264" t="s">
        <v>2075</v>
      </c>
      <c r="C47" s="264"/>
      <c r="D47" s="264"/>
      <c r="E47" s="264"/>
      <c r="F47" s="264"/>
      <c r="G47" s="264"/>
      <c r="H47" s="264"/>
      <c r="I47" s="264"/>
      <c r="J47" s="264"/>
      <c r="K47" s="264"/>
      <c r="L47" s="264"/>
    </row>
    <row r="49" spans="1:12" x14ac:dyDescent="0.2">
      <c r="A49" s="264"/>
      <c r="B49" s="79" t="s">
        <v>1694</v>
      </c>
      <c r="C49" s="264"/>
      <c r="D49" s="264"/>
      <c r="E49" s="264"/>
      <c r="F49" s="264"/>
      <c r="G49" s="264"/>
      <c r="H49" s="264"/>
      <c r="I49" s="264"/>
      <c r="J49" s="264"/>
      <c r="K49" s="264"/>
      <c r="L49" s="264"/>
    </row>
    <row r="50" spans="1:12" x14ac:dyDescent="0.2">
      <c r="A50" s="264"/>
      <c r="B50" s="264"/>
      <c r="C50" s="264"/>
      <c r="D50" s="264"/>
      <c r="E50" s="264"/>
      <c r="F50" s="264"/>
      <c r="G50" s="26"/>
      <c r="H50" s="264"/>
      <c r="I50" s="264"/>
      <c r="J50" s="264"/>
      <c r="K50" s="264"/>
      <c r="L50" s="264"/>
    </row>
    <row r="51" spans="1:12" x14ac:dyDescent="0.2">
      <c r="B51" s="264"/>
      <c r="C51" s="264"/>
      <c r="D51" s="264"/>
      <c r="E51" s="264"/>
      <c r="F51" s="264"/>
      <c r="G51" s="25" t="s">
        <v>207</v>
      </c>
      <c r="H51" s="3" t="s">
        <v>199</v>
      </c>
      <c r="I51" s="264"/>
      <c r="J51" s="431"/>
      <c r="K51" s="264"/>
      <c r="L51" s="264"/>
    </row>
    <row r="52" spans="1:12" x14ac:dyDescent="0.2">
      <c r="A52" s="2">
        <f>A41+1</f>
        <v>15</v>
      </c>
      <c r="B52" s="284" t="s">
        <v>1695</v>
      </c>
      <c r="C52" s="264"/>
      <c r="D52" s="264"/>
      <c r="E52" s="264"/>
      <c r="F52" s="264"/>
      <c r="G52" s="13" t="str">
        <f>"Line "&amp;A28&amp;""</f>
        <v>Line 7</v>
      </c>
      <c r="H52" s="266">
        <f>I28</f>
        <v>2503000</v>
      </c>
      <c r="I52" s="264"/>
      <c r="J52" s="264"/>
      <c r="K52" s="264"/>
      <c r="L52" s="264"/>
    </row>
    <row r="53" spans="1:12" x14ac:dyDescent="0.2">
      <c r="A53" s="2">
        <f>A52+1</f>
        <v>16</v>
      </c>
      <c r="B53" s="13" t="s">
        <v>336</v>
      </c>
      <c r="C53" s="264"/>
      <c r="D53" s="264"/>
      <c r="E53" s="264"/>
      <c r="F53" s="264"/>
      <c r="G53" s="284" t="str">
        <f>"BaseTRR WS L "&amp;BaseTRR!A102&amp;""</f>
        <v>BaseTRR WS L 58</v>
      </c>
      <c r="H53" s="486">
        <f>BaseTRR!K102</f>
        <v>0.39936028204298801</v>
      </c>
      <c r="I53" s="264"/>
      <c r="J53" s="264"/>
      <c r="K53" s="264"/>
      <c r="L53" s="264"/>
    </row>
    <row r="54" spans="1:12" x14ac:dyDescent="0.2">
      <c r="A54" s="2">
        <f>A53+1</f>
        <v>17</v>
      </c>
      <c r="B54" s="13" t="s">
        <v>1727</v>
      </c>
      <c r="C54" s="264"/>
      <c r="D54" s="264"/>
      <c r="E54" s="264"/>
      <c r="F54" s="264"/>
      <c r="G54" s="136" t="s">
        <v>335</v>
      </c>
      <c r="H54" s="648">
        <f>1/(1-H53)</f>
        <v>1.6648915649490406</v>
      </c>
      <c r="I54" s="264"/>
      <c r="J54" s="264"/>
      <c r="K54" s="264"/>
      <c r="L54" s="264"/>
    </row>
    <row r="55" spans="1:12" x14ac:dyDescent="0.2">
      <c r="A55" s="2">
        <f>A54+1</f>
        <v>18</v>
      </c>
      <c r="B55" s="13" t="s">
        <v>382</v>
      </c>
      <c r="C55" s="264"/>
      <c r="D55" s="264"/>
      <c r="E55" s="264"/>
      <c r="F55" s="264"/>
      <c r="G55" s="264"/>
      <c r="H55" s="264"/>
      <c r="I55" s="264"/>
      <c r="J55" s="264"/>
      <c r="K55" s="264"/>
      <c r="L55" s="264"/>
    </row>
    <row r="56" spans="1:12" x14ac:dyDescent="0.2">
      <c r="A56" s="2">
        <f>A55+1</f>
        <v>19</v>
      </c>
      <c r="B56" s="13" t="s">
        <v>381</v>
      </c>
      <c r="C56" s="264"/>
      <c r="D56" s="264"/>
      <c r="E56" s="264"/>
      <c r="F56" s="264"/>
      <c r="G56" s="13" t="str">
        <f>"- Line "&amp;A52&amp;" * Line "&amp;A54&amp;""</f>
        <v>- Line 15 * Line 17</v>
      </c>
      <c r="H56" s="282">
        <f>-H54*H52</f>
        <v>-4167223.5870674485</v>
      </c>
      <c r="I56" s="264"/>
      <c r="J56" s="264"/>
      <c r="K56" s="264"/>
      <c r="L56" s="264"/>
    </row>
    <row r="58" spans="1:12" x14ac:dyDescent="0.2">
      <c r="B58" s="79" t="s">
        <v>1904</v>
      </c>
    </row>
    <row r="60" spans="1:12" x14ac:dyDescent="0.2">
      <c r="G60" s="25" t="s">
        <v>207</v>
      </c>
      <c r="H60" s="3" t="s">
        <v>199</v>
      </c>
    </row>
    <row r="61" spans="1:12" x14ac:dyDescent="0.2">
      <c r="A61" s="2">
        <f>A56+1</f>
        <v>20</v>
      </c>
      <c r="B61" s="649" t="s">
        <v>1903</v>
      </c>
      <c r="G61" s="13" t="str">
        <f>"Line "&amp;A29&amp;""</f>
        <v>Line 8</v>
      </c>
      <c r="H61" s="7">
        <f>I29</f>
        <v>43100</v>
      </c>
    </row>
    <row r="62" spans="1:12" x14ac:dyDescent="0.2">
      <c r="A62" s="2">
        <f>A61+1</f>
        <v>21</v>
      </c>
      <c r="B62" s="13" t="s">
        <v>1727</v>
      </c>
      <c r="C62" s="264"/>
      <c r="D62" s="264"/>
      <c r="E62" s="264"/>
      <c r="F62" s="264"/>
      <c r="G62" s="13" t="str">
        <f>"Line "&amp;A54&amp;""</f>
        <v>Line 17</v>
      </c>
      <c r="H62" s="648">
        <f>H54</f>
        <v>1.6648915649490406</v>
      </c>
    </row>
    <row r="63" spans="1:12" x14ac:dyDescent="0.2">
      <c r="A63" s="2">
        <f>A62+1</f>
        <v>22</v>
      </c>
      <c r="B63" s="284" t="s">
        <v>1905</v>
      </c>
      <c r="G63" s="13" t="str">
        <f>"- Line "&amp;A61&amp;" * Line "&amp;A62&amp;""</f>
        <v>- Line 20 * Line 21</v>
      </c>
      <c r="H63" s="7">
        <f>-H61*H62</f>
        <v>-71756.826449303655</v>
      </c>
    </row>
    <row r="65" spans="1:12" x14ac:dyDescent="0.2">
      <c r="A65" s="264"/>
      <c r="B65" s="640" t="s">
        <v>1696</v>
      </c>
      <c r="C65" s="264"/>
      <c r="D65" s="264"/>
      <c r="E65" s="264"/>
      <c r="F65" s="264"/>
      <c r="G65" s="264"/>
      <c r="H65" s="264"/>
      <c r="I65" s="645" t="s">
        <v>1690</v>
      </c>
      <c r="J65" s="264"/>
      <c r="K65" s="264"/>
      <c r="L65" s="264"/>
    </row>
    <row r="66" spans="1:12" x14ac:dyDescent="0.2">
      <c r="A66" s="2">
        <f>A63+1</f>
        <v>23</v>
      </c>
      <c r="B66" s="447" t="s">
        <v>1924</v>
      </c>
      <c r="C66" s="264"/>
      <c r="D66" s="264"/>
      <c r="E66" s="264"/>
      <c r="F66" s="264"/>
      <c r="G66" s="284" t="str">
        <f>" - Line "&amp;A27&amp;", Col. 2"</f>
        <v xml:space="preserve"> - Line 6, Col. 2</v>
      </c>
      <c r="H66" s="266">
        <f>-I27</f>
        <v>2176300</v>
      </c>
      <c r="I66" s="264"/>
      <c r="J66" s="264"/>
      <c r="K66" s="264"/>
      <c r="L66" s="264"/>
    </row>
    <row r="67" spans="1:12" x14ac:dyDescent="0.2">
      <c r="A67" s="2">
        <f>A66+1</f>
        <v>24</v>
      </c>
      <c r="B67" s="447" t="s">
        <v>1686</v>
      </c>
      <c r="C67" s="264"/>
      <c r="D67" s="264"/>
      <c r="E67" s="264"/>
      <c r="F67" s="264"/>
      <c r="G67" s="284" t="str">
        <f>"Line "&amp;A56&amp;""</f>
        <v>Line 19</v>
      </c>
      <c r="H67" s="266">
        <f>H56</f>
        <v>-4167223.5870674485</v>
      </c>
      <c r="I67" s="264"/>
      <c r="J67" s="264"/>
      <c r="K67" s="264"/>
      <c r="L67" s="264"/>
    </row>
    <row r="68" spans="1:12" x14ac:dyDescent="0.2">
      <c r="A68" s="2">
        <f>A67+1</f>
        <v>25</v>
      </c>
      <c r="B68" s="639" t="s">
        <v>1902</v>
      </c>
      <c r="C68" s="264"/>
      <c r="D68" s="264"/>
      <c r="E68" s="264"/>
      <c r="F68" s="264"/>
      <c r="G68" s="284" t="str">
        <f>"Line "&amp;A63&amp;""</f>
        <v>Line 22</v>
      </c>
      <c r="H68" s="266">
        <f>H63</f>
        <v>-71756.826449303655</v>
      </c>
      <c r="I68" s="264"/>
      <c r="J68" s="264"/>
      <c r="K68" s="264"/>
      <c r="L68" s="264"/>
    </row>
    <row r="69" spans="1:12" x14ac:dyDescent="0.2">
      <c r="A69" s="2">
        <f>A68+1</f>
        <v>26</v>
      </c>
      <c r="B69" s="447" t="s">
        <v>1687</v>
      </c>
      <c r="C69" s="264"/>
      <c r="D69" s="264"/>
      <c r="E69" s="264"/>
      <c r="F69" s="264"/>
      <c r="G69" s="284" t="str">
        <f>"- Line "&amp;A30&amp;", Col. 2"</f>
        <v>- Line 9, Col. 2</v>
      </c>
      <c r="H69" s="430">
        <f>-I30</f>
        <v>-511200</v>
      </c>
      <c r="I69" s="264"/>
      <c r="J69" s="264"/>
      <c r="K69" s="264"/>
      <c r="L69" s="264"/>
    </row>
    <row r="70" spans="1:12" x14ac:dyDescent="0.2">
      <c r="A70" s="2">
        <f>A69+1</f>
        <v>27</v>
      </c>
      <c r="B70" s="264"/>
      <c r="C70" s="264"/>
      <c r="D70" s="264"/>
      <c r="E70" s="264"/>
      <c r="F70" s="264"/>
      <c r="G70" s="265" t="s">
        <v>1697</v>
      </c>
      <c r="H70" s="266">
        <f>SUM(H66:H69)</f>
        <v>-2573880.4135167524</v>
      </c>
      <c r="I70" s="264"/>
      <c r="J70" s="264"/>
      <c r="K70" s="264"/>
      <c r="L70" s="264"/>
    </row>
    <row r="71" spans="1:12" x14ac:dyDescent="0.2">
      <c r="A71" s="264"/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</row>
    <row r="72" spans="1:12" x14ac:dyDescent="0.2">
      <c r="A72" s="264"/>
      <c r="B72" s="650" t="s">
        <v>1698</v>
      </c>
      <c r="C72" s="264"/>
      <c r="D72" s="264"/>
      <c r="E72" s="264"/>
      <c r="F72" s="264"/>
      <c r="G72" s="264"/>
      <c r="H72" s="264"/>
      <c r="I72" s="264"/>
      <c r="J72" s="264"/>
      <c r="K72" s="264"/>
      <c r="L72" s="264"/>
    </row>
    <row r="73" spans="1:12" x14ac:dyDescent="0.2">
      <c r="A73" s="264"/>
      <c r="C73" s="264"/>
      <c r="D73" s="264"/>
      <c r="E73" s="264"/>
      <c r="F73" s="264"/>
      <c r="G73" s="25" t="s">
        <v>207</v>
      </c>
      <c r="H73" s="3" t="s">
        <v>199</v>
      </c>
      <c r="I73" s="264"/>
      <c r="J73" s="264"/>
      <c r="K73" s="264"/>
      <c r="L73" s="264"/>
    </row>
    <row r="74" spans="1:12" x14ac:dyDescent="0.2">
      <c r="A74" s="2">
        <f>A70+1</f>
        <v>28</v>
      </c>
      <c r="B74" s="495" t="s">
        <v>1693</v>
      </c>
      <c r="C74" s="264"/>
      <c r="D74" s="264"/>
      <c r="E74" s="264"/>
      <c r="F74" s="264"/>
      <c r="G74" s="284" t="str">
        <f>"Line "&amp;A41&amp;""</f>
        <v>Line 14</v>
      </c>
      <c r="H74" s="647">
        <f>H41</f>
        <v>-1141076.5429207282</v>
      </c>
      <c r="I74" s="264"/>
      <c r="J74" s="264"/>
      <c r="K74" s="264"/>
      <c r="L74" s="264"/>
    </row>
    <row r="75" spans="1:12" x14ac:dyDescent="0.2">
      <c r="A75" s="2">
        <f>A74+1</f>
        <v>29</v>
      </c>
      <c r="B75" s="264" t="s">
        <v>1699</v>
      </c>
      <c r="C75" s="264"/>
      <c r="D75" s="264"/>
      <c r="E75" s="264"/>
      <c r="F75" s="264"/>
      <c r="G75" s="284" t="str">
        <f>"Line "&amp;A70&amp;""</f>
        <v>Line 27</v>
      </c>
      <c r="H75" s="266">
        <f>H70</f>
        <v>-2573880.4135167524</v>
      </c>
      <c r="I75" s="264"/>
      <c r="J75" s="264"/>
      <c r="K75" s="264"/>
      <c r="L75" s="264"/>
    </row>
    <row r="76" spans="1:12" x14ac:dyDescent="0.2">
      <c r="A76" s="2">
        <f>A75+1</f>
        <v>30</v>
      </c>
      <c r="B76" s="12" t="s">
        <v>1810</v>
      </c>
      <c r="C76" s="264"/>
      <c r="D76" s="264"/>
      <c r="E76" s="264"/>
      <c r="F76" s="264"/>
      <c r="G76" s="284" t="str">
        <f>"- Base TRR WS, L "&amp;BaseTRR!A138&amp;""</f>
        <v>- Base TRR WS, L 79</v>
      </c>
      <c r="H76" s="266">
        <f>-BaseTRR!K138</f>
        <v>-1496536.9400391653</v>
      </c>
      <c r="I76" s="264"/>
      <c r="J76" s="264"/>
      <c r="K76" s="264"/>
      <c r="L76" s="264"/>
    </row>
    <row r="77" spans="1:12" x14ac:dyDescent="0.2">
      <c r="A77" s="674">
        <f t="shared" ref="A77:A80" si="0">A76+1</f>
        <v>31</v>
      </c>
      <c r="B77" s="12" t="s">
        <v>1811</v>
      </c>
      <c r="C77" s="264"/>
      <c r="D77" s="264"/>
      <c r="E77" s="264"/>
      <c r="F77" s="264"/>
      <c r="G77" s="284" t="str">
        <f>"- IFPTRR WS, L "&amp;IFPTRR!A88&amp;""</f>
        <v>- IFPTRR WS, L 79</v>
      </c>
      <c r="H77" s="430">
        <f>-IFPTRR!D88</f>
        <v>-556984.95219210419</v>
      </c>
      <c r="I77" s="264"/>
      <c r="J77" s="264"/>
      <c r="K77" s="264"/>
      <c r="L77" s="264"/>
    </row>
    <row r="78" spans="1:12" x14ac:dyDescent="0.2">
      <c r="A78" s="674">
        <f t="shared" si="0"/>
        <v>32</v>
      </c>
      <c r="B78" s="12" t="s">
        <v>115</v>
      </c>
      <c r="C78" s="264"/>
      <c r="D78" s="264"/>
      <c r="E78" s="264"/>
      <c r="F78" s="264"/>
      <c r="G78" s="13" t="str">
        <f>"Sum Line "&amp;A74&amp;" to Line "&amp;A77&amp;""</f>
        <v>Sum Line 28 to Line 31</v>
      </c>
      <c r="H78" s="266">
        <f>SUM(H74:H77)</f>
        <v>-5768478.8486687504</v>
      </c>
      <c r="I78" s="264"/>
      <c r="J78" s="264"/>
      <c r="K78" s="264"/>
      <c r="L78" s="264"/>
    </row>
    <row r="79" spans="1:12" x14ac:dyDescent="0.2">
      <c r="A79" s="674">
        <f t="shared" si="0"/>
        <v>33</v>
      </c>
      <c r="B79" s="12" t="s">
        <v>1706</v>
      </c>
      <c r="C79" s="264"/>
      <c r="D79" s="264"/>
      <c r="E79" s="264"/>
      <c r="F79" s="264"/>
      <c r="H79" s="430">
        <f>FFU!D20*SUM(H74+H75)</f>
        <v>-33965.108461316595</v>
      </c>
      <c r="I79" s="284" t="s">
        <v>1435</v>
      </c>
      <c r="J79" s="264"/>
      <c r="K79" s="264"/>
      <c r="L79" s="264"/>
    </row>
    <row r="80" spans="1:12" x14ac:dyDescent="0.2">
      <c r="A80" s="674">
        <f t="shared" si="0"/>
        <v>34</v>
      </c>
      <c r="B80" t="s">
        <v>1700</v>
      </c>
      <c r="C80" s="264"/>
      <c r="D80" s="264"/>
      <c r="E80" s="264"/>
      <c r="F80" s="264"/>
      <c r="G80" s="13" t="str">
        <f>"Line "&amp;A78&amp;" + Line "&amp;A79&amp;""</f>
        <v>Line 32 + Line 33</v>
      </c>
      <c r="H80" s="266">
        <f>H78+H79</f>
        <v>-5802443.9571300671</v>
      </c>
      <c r="I80" s="264"/>
      <c r="J80" s="264"/>
      <c r="K80" s="264"/>
      <c r="L80" s="264"/>
    </row>
    <row r="81" spans="1:12" x14ac:dyDescent="0.2">
      <c r="A81" s="264"/>
      <c r="C81" s="264"/>
      <c r="D81" s="264"/>
      <c r="E81" s="264"/>
      <c r="F81" s="264"/>
      <c r="G81" s="264"/>
      <c r="H81" s="264"/>
      <c r="I81" s="264"/>
      <c r="J81" s="264"/>
      <c r="K81" s="264"/>
      <c r="L81" s="264"/>
    </row>
    <row r="82" spans="1:12" x14ac:dyDescent="0.2">
      <c r="A82" s="264"/>
      <c r="B82" s="488" t="s">
        <v>1701</v>
      </c>
      <c r="C82" s="264"/>
      <c r="D82" s="264"/>
      <c r="E82" s="264"/>
      <c r="F82" s="264"/>
      <c r="G82" s="264"/>
      <c r="H82" s="264"/>
      <c r="I82" s="264"/>
      <c r="J82" s="264"/>
      <c r="K82" s="264"/>
      <c r="L82" s="264"/>
    </row>
    <row r="83" spans="1:12" x14ac:dyDescent="0.2">
      <c r="A83" s="264"/>
      <c r="B83" s="264" t="s">
        <v>1702</v>
      </c>
      <c r="C83" s="264"/>
      <c r="D83" s="264"/>
      <c r="E83" s="264"/>
      <c r="F83" s="264"/>
      <c r="G83" s="264"/>
      <c r="H83" s="264"/>
      <c r="I83" s="264"/>
      <c r="J83" s="264"/>
      <c r="K83" s="264"/>
      <c r="L83" s="264"/>
    </row>
    <row r="84" spans="1:12" x14ac:dyDescent="0.2">
      <c r="A84" s="264"/>
      <c r="B84" s="264" t="s">
        <v>1703</v>
      </c>
      <c r="C84" s="264"/>
      <c r="D84" s="264"/>
      <c r="E84" s="264"/>
      <c r="F84" s="264"/>
      <c r="G84" s="264"/>
      <c r="H84" s="264"/>
      <c r="I84" s="264"/>
      <c r="J84" s="264"/>
      <c r="K84" s="264"/>
      <c r="L84" s="264"/>
    </row>
    <row r="85" spans="1:12" x14ac:dyDescent="0.2">
      <c r="A85" s="264"/>
      <c r="B85" s="264" t="str">
        <f>"2) Input Prior Year for this Informational Filing in Line "&amp;A39&amp;"."</f>
        <v>2) Input Prior Year for this Informational Filing in Line 12.</v>
      </c>
      <c r="I85" s="264"/>
      <c r="J85" s="264"/>
      <c r="K85" s="264"/>
      <c r="L85" s="264"/>
    </row>
    <row r="86" spans="1:12" x14ac:dyDescent="0.2">
      <c r="A86" s="264"/>
      <c r="B86" s="264" t="str">
        <f>"3) Calculation: (Line "&amp;A31&amp;", "&amp;H22&amp;") + ((Line "&amp;A31&amp;", "&amp;I22&amp;") * (Line "&amp;A39&amp;" - 2010))."</f>
        <v>3) Calculation: (Line 10, Col 1) + ((Line 10, Col 2) * (Line 12 - 2010)).</v>
      </c>
      <c r="I86" s="264"/>
      <c r="J86" s="264"/>
      <c r="K86" s="264"/>
      <c r="L86" s="264"/>
    </row>
    <row r="87" spans="1:12" x14ac:dyDescent="0.2">
      <c r="A87" s="264"/>
      <c r="B87" s="264" t="str">
        <f>"4) Franchise Fee Exclusion is equal to the Franchise Fee Factor on the FFU WS Line "&amp;FFU!A20&amp;""</f>
        <v>4) Franchise Fee Exclusion is equal to the Franchise Fee Factor on the FFU WS Line 5</v>
      </c>
      <c r="C87" s="264"/>
      <c r="D87" s="264"/>
      <c r="E87" s="264"/>
      <c r="F87" s="264"/>
      <c r="G87" s="264"/>
      <c r="H87" s="264"/>
      <c r="I87" s="264"/>
      <c r="J87" s="264"/>
      <c r="K87" s="264"/>
      <c r="L87" s="264"/>
    </row>
    <row r="88" spans="1:12" x14ac:dyDescent="0.2">
      <c r="A88" s="264"/>
      <c r="B88" s="264" t="str">
        <f>"times Line "&amp;A74&amp;" + "&amp;A75&amp;"."</f>
        <v>times Line 28 + 29.</v>
      </c>
      <c r="C88" s="264"/>
      <c r="D88" s="264"/>
      <c r="E88" s="264"/>
      <c r="F88" s="264"/>
      <c r="G88" s="264"/>
      <c r="H88" s="264"/>
      <c r="I88" s="264"/>
      <c r="J88" s="264"/>
      <c r="K88" s="264"/>
      <c r="L88" s="264"/>
    </row>
    <row r="89" spans="1:12" x14ac:dyDescent="0.2">
      <c r="A89" s="264"/>
      <c r="B89" s="264"/>
      <c r="C89" s="264"/>
      <c r="D89" s="264"/>
      <c r="E89" s="264"/>
      <c r="F89" s="264"/>
      <c r="G89" s="264"/>
      <c r="H89" s="264"/>
      <c r="I89" s="264"/>
      <c r="J89" s="264"/>
      <c r="K89" s="264"/>
      <c r="L89" s="264"/>
    </row>
    <row r="90" spans="1:12" x14ac:dyDescent="0.2">
      <c r="A90" s="264"/>
      <c r="B90" s="264"/>
      <c r="C90" s="264"/>
      <c r="D90" s="264"/>
      <c r="E90" s="264"/>
      <c r="F90" s="264"/>
      <c r="G90" s="264"/>
      <c r="H90" s="264"/>
      <c r="I90" s="264"/>
      <c r="J90" s="264"/>
      <c r="K90" s="264"/>
      <c r="L90" s="264"/>
    </row>
    <row r="91" spans="1:12" x14ac:dyDescent="0.2">
      <c r="A91" s="264"/>
      <c r="B91" s="264"/>
      <c r="C91" s="264"/>
      <c r="D91" s="264"/>
      <c r="E91" s="264"/>
      <c r="F91" s="264"/>
      <c r="G91" s="264"/>
      <c r="H91" s="264"/>
      <c r="I91" s="264"/>
      <c r="J91" s="264"/>
      <c r="K91" s="264"/>
      <c r="L91" s="264"/>
    </row>
    <row r="92" spans="1:12" x14ac:dyDescent="0.2">
      <c r="A92" s="264"/>
      <c r="B92" s="264"/>
      <c r="C92" s="264"/>
      <c r="D92" s="264"/>
      <c r="E92" s="264"/>
      <c r="F92" s="264"/>
      <c r="G92" s="264"/>
      <c r="H92" s="264"/>
      <c r="I92" s="264"/>
      <c r="J92" s="264"/>
      <c r="K92" s="264"/>
      <c r="L92" s="264"/>
    </row>
    <row r="93" spans="1:12" x14ac:dyDescent="0.2">
      <c r="A93" s="264"/>
      <c r="B93" s="264"/>
      <c r="C93" s="264"/>
      <c r="D93" s="264"/>
      <c r="E93" s="264"/>
      <c r="F93" s="264"/>
      <c r="G93" s="264"/>
      <c r="H93" s="264"/>
      <c r="I93" s="264"/>
      <c r="J93" s="264"/>
      <c r="K93" s="264"/>
      <c r="L93" s="264"/>
    </row>
    <row r="94" spans="1:12" x14ac:dyDescent="0.2">
      <c r="A94" s="264"/>
      <c r="B94" s="264"/>
      <c r="C94" s="264"/>
      <c r="D94" s="264"/>
      <c r="E94" s="264"/>
      <c r="F94" s="264"/>
      <c r="G94" s="264"/>
      <c r="H94" s="264"/>
      <c r="I94" s="264"/>
      <c r="J94" s="264"/>
      <c r="K94" s="264"/>
      <c r="L94" s="264"/>
    </row>
    <row r="95" spans="1:12" x14ac:dyDescent="0.2">
      <c r="A95" s="264"/>
      <c r="B95" s="264"/>
      <c r="C95" s="264"/>
      <c r="D95" s="264"/>
      <c r="E95" s="264"/>
      <c r="F95" s="264"/>
      <c r="G95" s="264"/>
      <c r="H95" s="264"/>
      <c r="I95" s="264"/>
      <c r="J95" s="264"/>
      <c r="K95" s="264"/>
      <c r="L95" s="264"/>
    </row>
    <row r="96" spans="1:12" x14ac:dyDescent="0.2">
      <c r="A96" s="264"/>
      <c r="B96" s="264"/>
      <c r="C96" s="264"/>
      <c r="D96" s="264"/>
      <c r="E96" s="264"/>
      <c r="F96" s="264"/>
      <c r="G96" s="264"/>
      <c r="H96" s="264"/>
      <c r="I96" s="264"/>
      <c r="J96" s="264"/>
      <c r="K96" s="264"/>
      <c r="L96" s="264"/>
    </row>
    <row r="97" spans="1:12" x14ac:dyDescent="0.2">
      <c r="A97" s="264"/>
      <c r="B97" s="264"/>
      <c r="C97" s="264"/>
      <c r="D97" s="264"/>
      <c r="E97" s="264"/>
      <c r="F97" s="264"/>
      <c r="G97" s="264"/>
      <c r="H97" s="264"/>
      <c r="I97" s="264"/>
      <c r="J97" s="264"/>
      <c r="K97" s="264"/>
      <c r="L97" s="264"/>
    </row>
    <row r="98" spans="1:12" x14ac:dyDescent="0.2">
      <c r="A98" s="264"/>
      <c r="B98" s="264"/>
      <c r="C98" s="264"/>
      <c r="D98" s="264"/>
      <c r="E98" s="264"/>
      <c r="F98" s="264"/>
      <c r="G98" s="264"/>
      <c r="H98" s="264"/>
      <c r="I98" s="264"/>
      <c r="J98" s="264"/>
      <c r="K98" s="264"/>
      <c r="L98" s="264"/>
    </row>
    <row r="99" spans="1:12" x14ac:dyDescent="0.2">
      <c r="A99" s="264"/>
      <c r="B99" s="264"/>
      <c r="C99" s="264"/>
      <c r="D99" s="264"/>
      <c r="E99" s="264"/>
      <c r="F99" s="264"/>
      <c r="G99" s="264"/>
      <c r="H99" s="264"/>
      <c r="I99" s="264"/>
      <c r="J99" s="264"/>
      <c r="K99" s="264"/>
      <c r="L99" s="264"/>
    </row>
    <row r="100" spans="1:12" x14ac:dyDescent="0.2">
      <c r="A100" s="264"/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  <c r="L100" s="264"/>
    </row>
    <row r="101" spans="1:12" x14ac:dyDescent="0.2">
      <c r="A101" s="264"/>
      <c r="B101" s="264"/>
      <c r="C101" s="264"/>
      <c r="D101" s="264"/>
      <c r="E101" s="264"/>
      <c r="F101" s="264"/>
      <c r="G101" s="264"/>
      <c r="H101" s="264"/>
      <c r="I101" s="264"/>
      <c r="J101" s="264"/>
      <c r="K101" s="264"/>
      <c r="L101" s="264"/>
    </row>
    <row r="102" spans="1:12" x14ac:dyDescent="0.2">
      <c r="A102" s="264"/>
      <c r="B102" s="264"/>
      <c r="C102" s="264"/>
      <c r="D102" s="264"/>
      <c r="E102" s="264"/>
      <c r="F102" s="264"/>
      <c r="G102" s="264"/>
      <c r="H102" s="264"/>
      <c r="I102" s="264"/>
      <c r="J102" s="264"/>
      <c r="K102" s="264"/>
      <c r="L102" s="264"/>
    </row>
    <row r="103" spans="1:12" x14ac:dyDescent="0.2">
      <c r="A103" s="264"/>
      <c r="B103" s="264"/>
      <c r="C103" s="264"/>
      <c r="D103" s="264"/>
      <c r="E103" s="264"/>
      <c r="F103" s="264"/>
      <c r="G103" s="264"/>
      <c r="H103" s="264"/>
      <c r="I103" s="264"/>
      <c r="J103" s="264"/>
      <c r="K103" s="264"/>
      <c r="L103" s="264"/>
    </row>
    <row r="104" spans="1:12" x14ac:dyDescent="0.2">
      <c r="A104" s="264"/>
      <c r="B104" s="264"/>
      <c r="C104" s="264"/>
      <c r="D104" s="264"/>
      <c r="E104" s="264"/>
      <c r="F104" s="264"/>
      <c r="G104" s="264"/>
      <c r="H104" s="264"/>
      <c r="I104" s="264"/>
      <c r="J104" s="264"/>
      <c r="K104" s="264"/>
      <c r="L104" s="264"/>
    </row>
    <row r="105" spans="1:12" x14ac:dyDescent="0.2">
      <c r="A105" s="264"/>
      <c r="B105" s="264"/>
      <c r="C105" s="264"/>
      <c r="D105" s="264"/>
      <c r="E105" s="264"/>
      <c r="F105" s="264"/>
      <c r="G105" s="264"/>
      <c r="H105" s="264"/>
      <c r="I105" s="264"/>
      <c r="J105" s="264"/>
      <c r="K105" s="264"/>
      <c r="L105" s="264"/>
    </row>
    <row r="106" spans="1:12" x14ac:dyDescent="0.2">
      <c r="A106" s="264"/>
      <c r="B106" s="264"/>
      <c r="C106" s="264"/>
      <c r="D106" s="264"/>
      <c r="E106" s="264"/>
      <c r="F106" s="264"/>
      <c r="G106" s="264"/>
      <c r="H106" s="264"/>
      <c r="I106" s="264"/>
      <c r="J106" s="264"/>
      <c r="K106" s="264"/>
      <c r="L106" s="264"/>
    </row>
    <row r="107" spans="1:12" x14ac:dyDescent="0.2">
      <c r="A107" s="264"/>
      <c r="B107" s="264"/>
      <c r="C107" s="264"/>
      <c r="D107" s="264"/>
      <c r="E107" s="264"/>
      <c r="F107" s="264"/>
      <c r="G107" s="264"/>
      <c r="H107" s="264"/>
      <c r="I107" s="264"/>
      <c r="J107" s="264"/>
      <c r="K107" s="264"/>
      <c r="L107" s="264"/>
    </row>
    <row r="108" spans="1:12" x14ac:dyDescent="0.2">
      <c r="A108" s="264"/>
      <c r="B108" s="264"/>
      <c r="C108" s="264"/>
      <c r="D108" s="264"/>
      <c r="E108" s="264"/>
      <c r="F108" s="264"/>
      <c r="G108" s="264"/>
      <c r="H108" s="264"/>
      <c r="I108" s="264"/>
      <c r="J108" s="264"/>
      <c r="K108" s="264"/>
      <c r="L108" s="264"/>
    </row>
    <row r="109" spans="1:12" x14ac:dyDescent="0.2">
      <c r="A109" s="264"/>
      <c r="B109" s="264"/>
      <c r="C109" s="264"/>
      <c r="D109" s="264"/>
      <c r="E109" s="264"/>
      <c r="F109" s="264"/>
      <c r="G109" s="264"/>
      <c r="H109" s="264"/>
      <c r="I109" s="264"/>
      <c r="J109" s="264"/>
      <c r="K109" s="264"/>
      <c r="L109" s="264"/>
    </row>
    <row r="110" spans="1:12" x14ac:dyDescent="0.2">
      <c r="A110" s="264"/>
      <c r="B110" s="264"/>
      <c r="C110" s="264"/>
      <c r="D110" s="264"/>
      <c r="E110" s="264"/>
      <c r="F110" s="264"/>
      <c r="G110" s="264"/>
      <c r="H110" s="264"/>
      <c r="I110" s="264"/>
      <c r="J110" s="264"/>
      <c r="K110" s="264"/>
      <c r="L110" s="264"/>
    </row>
    <row r="111" spans="1:12" x14ac:dyDescent="0.2">
      <c r="A111" s="264"/>
      <c r="B111" s="264"/>
      <c r="C111" s="264"/>
      <c r="D111" s="264"/>
      <c r="E111" s="264"/>
      <c r="F111" s="264"/>
      <c r="G111" s="264"/>
      <c r="H111" s="264"/>
      <c r="I111" s="264"/>
      <c r="J111" s="264"/>
      <c r="K111" s="264"/>
      <c r="L111" s="264"/>
    </row>
    <row r="112" spans="1:12" x14ac:dyDescent="0.2">
      <c r="A112" s="264"/>
      <c r="B112" s="264"/>
      <c r="C112" s="264"/>
      <c r="D112" s="264"/>
      <c r="E112" s="264"/>
      <c r="F112" s="264"/>
      <c r="G112" s="264"/>
      <c r="H112" s="264"/>
      <c r="I112" s="264"/>
      <c r="J112" s="264"/>
      <c r="K112" s="264"/>
      <c r="L112" s="264"/>
    </row>
    <row r="113" spans="1:12" x14ac:dyDescent="0.2">
      <c r="A113" s="264"/>
      <c r="B113" s="264"/>
      <c r="C113" s="264"/>
      <c r="D113" s="264"/>
      <c r="E113" s="264"/>
      <c r="F113" s="264"/>
      <c r="G113" s="264"/>
      <c r="H113" s="264"/>
      <c r="I113" s="264"/>
      <c r="J113" s="264"/>
      <c r="K113" s="264"/>
      <c r="L113" s="264"/>
    </row>
    <row r="114" spans="1:12" x14ac:dyDescent="0.2">
      <c r="A114" s="264"/>
      <c r="B114" s="264"/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</row>
    <row r="115" spans="1:12" x14ac:dyDescent="0.2">
      <c r="A115" s="264"/>
      <c r="B115" s="264"/>
      <c r="C115" s="264"/>
      <c r="D115" s="264"/>
      <c r="E115" s="264"/>
      <c r="F115" s="264"/>
      <c r="G115" s="264"/>
      <c r="H115" s="264"/>
      <c r="I115" s="264"/>
      <c r="J115" s="264"/>
      <c r="K115" s="264"/>
      <c r="L115" s="264"/>
    </row>
    <row r="116" spans="1:12" x14ac:dyDescent="0.2">
      <c r="A116" s="264"/>
      <c r="B116" s="264"/>
      <c r="C116" s="264"/>
      <c r="D116" s="264"/>
      <c r="E116" s="264"/>
      <c r="F116" s="264"/>
      <c r="G116" s="264"/>
      <c r="H116" s="264"/>
      <c r="I116" s="264"/>
      <c r="J116" s="264"/>
      <c r="K116" s="264"/>
      <c r="L116" s="264"/>
    </row>
    <row r="117" spans="1:12" x14ac:dyDescent="0.2">
      <c r="A117" s="264"/>
      <c r="B117" s="264"/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</row>
    <row r="118" spans="1:12" x14ac:dyDescent="0.2">
      <c r="A118" s="264"/>
      <c r="B118" s="264"/>
      <c r="C118" s="264"/>
      <c r="D118" s="264"/>
      <c r="E118" s="264"/>
      <c r="F118" s="264"/>
      <c r="G118" s="264"/>
      <c r="H118" s="264"/>
      <c r="I118" s="264"/>
      <c r="J118" s="264"/>
      <c r="K118" s="264"/>
      <c r="L118" s="264"/>
    </row>
    <row r="119" spans="1:12" x14ac:dyDescent="0.2">
      <c r="A119" s="264"/>
      <c r="B119" s="264"/>
      <c r="C119" s="264"/>
      <c r="D119" s="264"/>
      <c r="E119" s="264"/>
      <c r="F119" s="264"/>
      <c r="G119" s="264"/>
      <c r="H119" s="264"/>
      <c r="I119" s="264"/>
      <c r="J119" s="264"/>
      <c r="K119" s="264"/>
      <c r="L119" s="264"/>
    </row>
    <row r="120" spans="1:12" x14ac:dyDescent="0.2">
      <c r="A120" s="264"/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  <c r="L120" s="264"/>
    </row>
    <row r="121" spans="1:12" x14ac:dyDescent="0.2">
      <c r="A121" s="264"/>
      <c r="B121" s="264"/>
      <c r="C121" s="264"/>
      <c r="D121" s="264"/>
      <c r="E121" s="264"/>
      <c r="F121" s="264"/>
      <c r="G121" s="264"/>
      <c r="H121" s="264"/>
      <c r="I121" s="264"/>
      <c r="J121" s="264"/>
      <c r="K121" s="264"/>
      <c r="L121" s="264"/>
    </row>
    <row r="122" spans="1:12" x14ac:dyDescent="0.2">
      <c r="A122" s="264"/>
      <c r="B122" s="264"/>
      <c r="C122" s="264"/>
      <c r="D122" s="264"/>
      <c r="E122" s="264"/>
      <c r="F122" s="264"/>
      <c r="G122" s="264"/>
      <c r="H122" s="264"/>
      <c r="I122" s="264"/>
      <c r="J122" s="264"/>
      <c r="K122" s="264"/>
      <c r="L122" s="264"/>
    </row>
    <row r="123" spans="1:12" x14ac:dyDescent="0.2">
      <c r="A123" s="264"/>
      <c r="B123" s="264"/>
      <c r="C123" s="264"/>
      <c r="D123" s="264"/>
      <c r="E123" s="264"/>
      <c r="F123" s="264"/>
      <c r="G123" s="264"/>
      <c r="H123" s="264"/>
      <c r="I123" s="264"/>
      <c r="J123" s="264"/>
      <c r="K123" s="264"/>
      <c r="L123" s="264"/>
    </row>
    <row r="124" spans="1:12" x14ac:dyDescent="0.2">
      <c r="A124" s="264"/>
      <c r="B124" s="264"/>
      <c r="C124" s="264"/>
      <c r="D124" s="264"/>
      <c r="E124" s="264"/>
      <c r="F124" s="264"/>
      <c r="G124" s="264"/>
      <c r="H124" s="264"/>
      <c r="I124" s="264"/>
      <c r="J124" s="264"/>
      <c r="K124" s="264"/>
      <c r="L124" s="264"/>
    </row>
    <row r="125" spans="1:12" x14ac:dyDescent="0.2">
      <c r="A125" s="264"/>
      <c r="B125" s="264"/>
      <c r="C125" s="264"/>
      <c r="D125" s="264"/>
      <c r="E125" s="264"/>
      <c r="F125" s="264"/>
      <c r="G125" s="264"/>
      <c r="H125" s="264"/>
      <c r="I125" s="264"/>
      <c r="J125" s="264"/>
      <c r="K125" s="264"/>
      <c r="L125" s="264"/>
    </row>
    <row r="126" spans="1:12" x14ac:dyDescent="0.2">
      <c r="A126" s="264"/>
      <c r="B126" s="264"/>
      <c r="C126" s="264"/>
      <c r="D126" s="264"/>
      <c r="E126" s="264"/>
      <c r="F126" s="264"/>
      <c r="G126" s="264"/>
      <c r="H126" s="264"/>
      <c r="I126" s="264"/>
      <c r="J126" s="264"/>
      <c r="K126" s="264"/>
      <c r="L126" s="264"/>
    </row>
    <row r="127" spans="1:12" x14ac:dyDescent="0.2">
      <c r="A127" s="264"/>
      <c r="B127" s="264"/>
      <c r="C127" s="264"/>
      <c r="D127" s="264"/>
      <c r="E127" s="264"/>
      <c r="F127" s="264"/>
      <c r="G127" s="264"/>
      <c r="H127" s="264"/>
      <c r="I127" s="264"/>
      <c r="J127" s="264"/>
      <c r="K127" s="264"/>
      <c r="L127" s="264"/>
    </row>
    <row r="128" spans="1:12" x14ac:dyDescent="0.2">
      <c r="A128" s="264"/>
      <c r="B128" s="264"/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</row>
    <row r="129" spans="1:12" x14ac:dyDescent="0.2">
      <c r="A129" s="264"/>
      <c r="B129" s="264"/>
      <c r="C129" s="264"/>
      <c r="D129" s="264"/>
      <c r="E129" s="264"/>
      <c r="F129" s="264"/>
      <c r="G129" s="264"/>
      <c r="H129" s="264"/>
      <c r="I129" s="264"/>
      <c r="J129" s="264"/>
      <c r="K129" s="264"/>
      <c r="L129" s="264"/>
    </row>
    <row r="130" spans="1:12" x14ac:dyDescent="0.2">
      <c r="A130" s="264"/>
      <c r="B130" s="264"/>
      <c r="C130" s="264"/>
      <c r="D130" s="264"/>
      <c r="E130" s="264"/>
      <c r="F130" s="264"/>
      <c r="G130" s="264"/>
      <c r="H130" s="264"/>
      <c r="I130" s="264"/>
      <c r="J130" s="264"/>
      <c r="K130" s="264"/>
      <c r="L130" s="264"/>
    </row>
    <row r="131" spans="1:12" x14ac:dyDescent="0.2">
      <c r="A131" s="264"/>
      <c r="B131" s="264"/>
      <c r="C131" s="264"/>
      <c r="D131" s="264"/>
      <c r="E131" s="264"/>
      <c r="F131" s="264"/>
      <c r="G131" s="264"/>
      <c r="H131" s="264"/>
      <c r="I131" s="264"/>
      <c r="J131" s="264"/>
      <c r="K131" s="264"/>
      <c r="L131" s="264"/>
    </row>
    <row r="132" spans="1:12" x14ac:dyDescent="0.2">
      <c r="A132" s="264"/>
      <c r="B132" s="264"/>
      <c r="C132" s="264"/>
      <c r="D132" s="264"/>
      <c r="E132" s="264"/>
      <c r="F132" s="264"/>
      <c r="G132" s="264"/>
      <c r="H132" s="264"/>
      <c r="I132" s="264"/>
      <c r="J132" s="264"/>
      <c r="K132" s="264"/>
      <c r="L132" s="264"/>
    </row>
    <row r="133" spans="1:12" x14ac:dyDescent="0.2">
      <c r="A133" s="264"/>
      <c r="B133" s="264"/>
      <c r="C133" s="264"/>
      <c r="D133" s="264"/>
      <c r="E133" s="264"/>
      <c r="F133" s="264"/>
      <c r="G133" s="264"/>
      <c r="H133" s="264"/>
      <c r="I133" s="264"/>
      <c r="J133" s="264"/>
      <c r="K133" s="264"/>
      <c r="L133" s="264"/>
    </row>
    <row r="134" spans="1:12" x14ac:dyDescent="0.2">
      <c r="A134" s="264"/>
      <c r="B134" s="264"/>
      <c r="C134" s="264"/>
      <c r="D134" s="264"/>
      <c r="E134" s="264"/>
      <c r="F134" s="264"/>
      <c r="G134" s="264"/>
      <c r="H134" s="264"/>
      <c r="I134" s="264"/>
      <c r="J134" s="264"/>
      <c r="K134" s="264"/>
      <c r="L134" s="264"/>
    </row>
    <row r="135" spans="1:12" x14ac:dyDescent="0.2">
      <c r="A135" s="264"/>
      <c r="B135" s="264"/>
      <c r="C135" s="264"/>
      <c r="D135" s="264"/>
      <c r="E135" s="264"/>
      <c r="F135" s="264"/>
      <c r="G135" s="264"/>
      <c r="H135" s="264"/>
      <c r="I135" s="264"/>
      <c r="J135" s="264"/>
      <c r="K135" s="264"/>
      <c r="L135" s="264"/>
    </row>
    <row r="136" spans="1:12" x14ac:dyDescent="0.2">
      <c r="A136" s="264"/>
      <c r="B136" s="264"/>
      <c r="C136" s="264"/>
      <c r="D136" s="264"/>
      <c r="E136" s="264"/>
      <c r="F136" s="264"/>
      <c r="G136" s="264"/>
      <c r="H136" s="264"/>
      <c r="I136" s="264"/>
      <c r="J136" s="264"/>
      <c r="K136" s="264"/>
      <c r="L136" s="264"/>
    </row>
    <row r="137" spans="1:12" x14ac:dyDescent="0.2">
      <c r="A137" s="264"/>
      <c r="B137" s="264"/>
      <c r="C137" s="264"/>
      <c r="D137" s="264"/>
      <c r="E137" s="264"/>
      <c r="F137" s="264"/>
      <c r="G137" s="264"/>
      <c r="H137" s="264"/>
      <c r="I137" s="264"/>
      <c r="J137" s="264"/>
      <c r="K137" s="264"/>
      <c r="L137" s="264"/>
    </row>
    <row r="138" spans="1:12" x14ac:dyDescent="0.2">
      <c r="A138" s="264"/>
      <c r="B138" s="264"/>
      <c r="C138" s="264"/>
      <c r="D138" s="264"/>
      <c r="E138" s="264"/>
      <c r="F138" s="264"/>
      <c r="G138" s="264"/>
      <c r="H138" s="264"/>
      <c r="I138" s="264"/>
      <c r="J138" s="264"/>
      <c r="K138" s="264"/>
      <c r="L138" s="264"/>
    </row>
    <row r="139" spans="1:12" x14ac:dyDescent="0.2">
      <c r="A139" s="264"/>
      <c r="B139" s="264"/>
      <c r="C139" s="264"/>
      <c r="D139" s="264"/>
      <c r="E139" s="264"/>
      <c r="F139" s="264"/>
      <c r="G139" s="264"/>
      <c r="H139" s="264"/>
      <c r="I139" s="264"/>
      <c r="J139" s="264"/>
      <c r="K139" s="264"/>
      <c r="L139" s="264"/>
    </row>
    <row r="140" spans="1:12" x14ac:dyDescent="0.2">
      <c r="A140" s="264"/>
      <c r="B140" s="264"/>
      <c r="C140" s="264"/>
      <c r="D140" s="264"/>
      <c r="E140" s="264"/>
      <c r="F140" s="264"/>
      <c r="G140" s="264"/>
      <c r="H140" s="264"/>
      <c r="I140" s="264"/>
      <c r="J140" s="264"/>
      <c r="K140" s="264"/>
      <c r="L140" s="264"/>
    </row>
  </sheetData>
  <pageMargins left="0.7" right="0.7" top="0.75" bottom="0.75" header="0.3" footer="0.3"/>
  <pageSetup scale="80" orientation="portrait" r:id="rId1"/>
  <headerFooter>
    <oddHeader>&amp;CSchedule 25
Wholesale Differences to Base TRR&amp;RDkt. No. ER11-3697
2014 Draft Informational Filing</oddHeader>
    <oddFooter>&amp;R&amp;A</oddFooter>
  </headerFooter>
  <rowBreaks count="1" manualBreakCount="1">
    <brk id="64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34" zoomScaleNormal="100" workbookViewId="0">
      <selection activeCell="F56" sqref="F56"/>
    </sheetView>
  </sheetViews>
  <sheetFormatPr defaultRowHeight="12.75" x14ac:dyDescent="0.2"/>
  <cols>
    <col min="1" max="1" width="4.7109375" customWidth="1"/>
    <col min="2" max="2" width="3.7109375" customWidth="1"/>
    <col min="3" max="3" width="18.7109375" customWidth="1"/>
    <col min="4" max="4" width="14.7109375" customWidth="1"/>
    <col min="5" max="5" width="45.7109375" customWidth="1"/>
    <col min="6" max="6" width="12.140625" bestFit="1" customWidth="1"/>
  </cols>
  <sheetData>
    <row r="1" spans="1:5" x14ac:dyDescent="0.2">
      <c r="A1" s="1" t="s">
        <v>478</v>
      </c>
    </row>
    <row r="3" spans="1:5" x14ac:dyDescent="0.2">
      <c r="B3" s="1" t="s">
        <v>45</v>
      </c>
      <c r="E3" s="113" t="s">
        <v>19</v>
      </c>
    </row>
    <row r="4" spans="1:5" x14ac:dyDescent="0.2">
      <c r="D4" s="2" t="s">
        <v>46</v>
      </c>
    </row>
    <row r="5" spans="1:5" x14ac:dyDescent="0.2">
      <c r="C5" s="2" t="s">
        <v>473</v>
      </c>
      <c r="D5" s="2" t="s">
        <v>475</v>
      </c>
    </row>
    <row r="6" spans="1:5" x14ac:dyDescent="0.2">
      <c r="A6" s="3" t="s">
        <v>380</v>
      </c>
      <c r="C6" s="3" t="s">
        <v>221</v>
      </c>
      <c r="D6" s="3" t="s">
        <v>479</v>
      </c>
      <c r="E6" s="3" t="s">
        <v>207</v>
      </c>
    </row>
    <row r="7" spans="1:5" x14ac:dyDescent="0.2">
      <c r="A7" s="2">
        <v>1</v>
      </c>
      <c r="C7" s="175">
        <v>2012</v>
      </c>
      <c r="D7" s="74">
        <v>0.35</v>
      </c>
      <c r="E7" s="122" t="s">
        <v>1800</v>
      </c>
    </row>
    <row r="8" spans="1:5" x14ac:dyDescent="0.2">
      <c r="A8" s="2">
        <f>A7+1</f>
        <v>2</v>
      </c>
      <c r="E8" s="13" t="s">
        <v>1801</v>
      </c>
    </row>
    <row r="9" spans="1:5" x14ac:dyDescent="0.2">
      <c r="A9" s="2">
        <f t="shared" ref="A9:A58" si="0">A8+1</f>
        <v>3</v>
      </c>
      <c r="B9" s="1" t="s">
        <v>47</v>
      </c>
    </row>
    <row r="10" spans="1:5" x14ac:dyDescent="0.2">
      <c r="A10" s="2">
        <f t="shared" si="0"/>
        <v>4</v>
      </c>
      <c r="B10" s="1"/>
      <c r="D10" s="2"/>
    </row>
    <row r="11" spans="1:5" x14ac:dyDescent="0.2">
      <c r="A11" s="2">
        <f t="shared" si="0"/>
        <v>5</v>
      </c>
      <c r="D11" s="2" t="s">
        <v>327</v>
      </c>
    </row>
    <row r="12" spans="1:5" x14ac:dyDescent="0.2">
      <c r="A12" s="2">
        <f t="shared" si="0"/>
        <v>6</v>
      </c>
      <c r="C12" s="2" t="s">
        <v>473</v>
      </c>
      <c r="D12" s="2" t="s">
        <v>475</v>
      </c>
    </row>
    <row r="13" spans="1:5" x14ac:dyDescent="0.2">
      <c r="A13" s="2">
        <f t="shared" si="0"/>
        <v>7</v>
      </c>
      <c r="C13" s="3" t="s">
        <v>221</v>
      </c>
      <c r="D13" s="3" t="s">
        <v>476</v>
      </c>
      <c r="E13" s="3" t="s">
        <v>207</v>
      </c>
    </row>
    <row r="14" spans="1:5" x14ac:dyDescent="0.2">
      <c r="A14" s="2">
        <f t="shared" si="0"/>
        <v>8</v>
      </c>
      <c r="C14" s="175">
        <v>2012</v>
      </c>
      <c r="D14" s="75">
        <f>D51</f>
        <v>7.5938895450750804E-2</v>
      </c>
      <c r="E14" s="13" t="str">
        <f>"1) See calculation below on Line "&amp;A51&amp;" based on inputs"</f>
        <v>1) See calculation below on Line 45 based on inputs</v>
      </c>
    </row>
    <row r="15" spans="1:5" x14ac:dyDescent="0.2">
      <c r="A15" s="2">
        <f t="shared" si="0"/>
        <v>9</v>
      </c>
      <c r="C15" s="56"/>
      <c r="D15" s="14"/>
      <c r="E15" s="13" t="s">
        <v>337</v>
      </c>
    </row>
    <row r="16" spans="1:5" x14ac:dyDescent="0.2">
      <c r="A16" s="2">
        <f t="shared" si="0"/>
        <v>10</v>
      </c>
      <c r="C16" s="56"/>
      <c r="D16" s="14"/>
      <c r="E16" s="16" t="s">
        <v>477</v>
      </c>
    </row>
    <row r="17" spans="1:5" x14ac:dyDescent="0.2">
      <c r="A17" s="2">
        <f t="shared" si="0"/>
        <v>11</v>
      </c>
      <c r="C17" s="64"/>
      <c r="E17" s="16"/>
    </row>
    <row r="18" spans="1:5" x14ac:dyDescent="0.2">
      <c r="A18" s="2">
        <f t="shared" si="0"/>
        <v>12</v>
      </c>
      <c r="C18" s="1" t="s">
        <v>432</v>
      </c>
      <c r="E18" s="16"/>
    </row>
    <row r="19" spans="1:5" x14ac:dyDescent="0.2">
      <c r="A19" s="2">
        <f t="shared" si="0"/>
        <v>13</v>
      </c>
      <c r="E19" s="16"/>
    </row>
    <row r="20" spans="1:5" x14ac:dyDescent="0.2">
      <c r="A20" s="2">
        <f t="shared" si="0"/>
        <v>14</v>
      </c>
      <c r="C20" s="2"/>
      <c r="D20" s="2" t="s">
        <v>37</v>
      </c>
    </row>
    <row r="21" spans="1:5" x14ac:dyDescent="0.2">
      <c r="A21" s="2">
        <f t="shared" si="0"/>
        <v>15</v>
      </c>
      <c r="C21" s="3" t="s">
        <v>43</v>
      </c>
      <c r="D21" s="3" t="s">
        <v>480</v>
      </c>
      <c r="E21" s="3" t="s">
        <v>207</v>
      </c>
    </row>
    <row r="22" spans="1:5" x14ac:dyDescent="0.2">
      <c r="A22" s="2">
        <f t="shared" si="0"/>
        <v>16</v>
      </c>
      <c r="C22" t="s">
        <v>39</v>
      </c>
      <c r="D22" s="51">
        <v>1</v>
      </c>
      <c r="E22" s="76" t="s">
        <v>472</v>
      </c>
    </row>
    <row r="23" spans="1:5" x14ac:dyDescent="0.2">
      <c r="A23" s="2">
        <f t="shared" si="0"/>
        <v>17</v>
      </c>
      <c r="C23" t="s">
        <v>40</v>
      </c>
      <c r="D23" s="51">
        <v>7.7710000000000001E-3</v>
      </c>
      <c r="E23" s="173"/>
    </row>
    <row r="24" spans="1:5" x14ac:dyDescent="0.2">
      <c r="A24" s="2">
        <f t="shared" si="0"/>
        <v>18</v>
      </c>
      <c r="C24" t="s">
        <v>41</v>
      </c>
      <c r="D24" s="51">
        <v>2.2179999999999998E-2</v>
      </c>
      <c r="E24" s="72"/>
    </row>
    <row r="25" spans="1:5" x14ac:dyDescent="0.2">
      <c r="A25" s="2">
        <f t="shared" si="0"/>
        <v>19</v>
      </c>
      <c r="C25" t="s">
        <v>42</v>
      </c>
      <c r="D25" s="51">
        <v>2.9E-5</v>
      </c>
      <c r="E25" s="73"/>
    </row>
    <row r="26" spans="1:5" x14ac:dyDescent="0.2">
      <c r="A26" s="2">
        <f t="shared" si="0"/>
        <v>20</v>
      </c>
      <c r="D26" s="75"/>
      <c r="E26" s="73"/>
    </row>
    <row r="27" spans="1:5" x14ac:dyDescent="0.2">
      <c r="A27" s="2">
        <f t="shared" si="0"/>
        <v>21</v>
      </c>
      <c r="D27" s="2" t="s">
        <v>44</v>
      </c>
    </row>
    <row r="28" spans="1:5" x14ac:dyDescent="0.2">
      <c r="A28" s="2">
        <f t="shared" si="0"/>
        <v>22</v>
      </c>
      <c r="C28" s="3" t="s">
        <v>43</v>
      </c>
      <c r="D28" s="3" t="s">
        <v>474</v>
      </c>
    </row>
    <row r="29" spans="1:5" x14ac:dyDescent="0.2">
      <c r="A29" s="2">
        <f t="shared" si="0"/>
        <v>23</v>
      </c>
      <c r="C29" t="s">
        <v>39</v>
      </c>
      <c r="D29" s="51">
        <v>8.8400000000000006E-2</v>
      </c>
      <c r="E29" s="173" t="s">
        <v>603</v>
      </c>
    </row>
    <row r="30" spans="1:5" x14ac:dyDescent="0.2">
      <c r="A30" s="2">
        <f t="shared" si="0"/>
        <v>24</v>
      </c>
      <c r="C30" t="s">
        <v>40</v>
      </c>
      <c r="D30" s="51">
        <v>7.5999999999999998E-2</v>
      </c>
      <c r="E30" s="173" t="s">
        <v>1802</v>
      </c>
    </row>
    <row r="31" spans="1:5" x14ac:dyDescent="0.2">
      <c r="A31" s="2">
        <f t="shared" si="0"/>
        <v>25</v>
      </c>
      <c r="C31" t="s">
        <v>41</v>
      </c>
      <c r="D31" s="51">
        <v>6.9680000000000006E-2</v>
      </c>
    </row>
    <row r="32" spans="1:5" x14ac:dyDescent="0.2">
      <c r="A32" s="2">
        <f t="shared" si="0"/>
        <v>26</v>
      </c>
      <c r="C32" t="s">
        <v>42</v>
      </c>
      <c r="D32" s="499">
        <v>9.9750000000000005E-2</v>
      </c>
    </row>
    <row r="33" spans="1:5" x14ac:dyDescent="0.2">
      <c r="A33" s="2">
        <f t="shared" si="0"/>
        <v>27</v>
      </c>
    </row>
    <row r="34" spans="1:5" x14ac:dyDescent="0.2">
      <c r="A34" s="677">
        <f t="shared" si="0"/>
        <v>28</v>
      </c>
      <c r="D34" s="2" t="s">
        <v>1500</v>
      </c>
    </row>
    <row r="35" spans="1:5" x14ac:dyDescent="0.2">
      <c r="A35" s="677">
        <f t="shared" si="0"/>
        <v>29</v>
      </c>
      <c r="D35" s="677" t="s">
        <v>1817</v>
      </c>
    </row>
    <row r="36" spans="1:5" x14ac:dyDescent="0.2">
      <c r="A36" s="677">
        <f t="shared" si="0"/>
        <v>30</v>
      </c>
      <c r="D36" s="501" t="s">
        <v>1818</v>
      </c>
    </row>
    <row r="37" spans="1:5" x14ac:dyDescent="0.2">
      <c r="A37" s="677">
        <f t="shared" si="0"/>
        <v>31</v>
      </c>
      <c r="D37" s="677" t="s">
        <v>39</v>
      </c>
    </row>
    <row r="38" spans="1:5" x14ac:dyDescent="0.2">
      <c r="A38" s="677">
        <f t="shared" si="0"/>
        <v>32</v>
      </c>
      <c r="C38" s="3" t="s">
        <v>43</v>
      </c>
      <c r="D38" s="3" t="s">
        <v>1819</v>
      </c>
    </row>
    <row r="39" spans="1:5" x14ac:dyDescent="0.2">
      <c r="A39" s="677">
        <f t="shared" si="0"/>
        <v>33</v>
      </c>
      <c r="C39" t="s">
        <v>39</v>
      </c>
      <c r="D39" s="51">
        <v>1</v>
      </c>
      <c r="E39" s="634" t="s">
        <v>1646</v>
      </c>
    </row>
    <row r="40" spans="1:5" x14ac:dyDescent="0.2">
      <c r="A40" s="677">
        <f t="shared" si="0"/>
        <v>34</v>
      </c>
      <c r="C40" t="s">
        <v>40</v>
      </c>
      <c r="D40" s="51">
        <v>-9.8809000000000005</v>
      </c>
      <c r="E40" s="14" t="s">
        <v>1647</v>
      </c>
    </row>
    <row r="41" spans="1:5" x14ac:dyDescent="0.2">
      <c r="A41" s="677">
        <f t="shared" si="0"/>
        <v>35</v>
      </c>
      <c r="C41" t="s">
        <v>41</v>
      </c>
      <c r="D41" s="51">
        <v>-4.2823029999999997</v>
      </c>
    </row>
    <row r="42" spans="1:5" x14ac:dyDescent="0.2">
      <c r="A42" s="677">
        <f t="shared" si="0"/>
        <v>36</v>
      </c>
      <c r="C42" t="s">
        <v>42</v>
      </c>
      <c r="D42" s="499">
        <v>-2.4803280000000001</v>
      </c>
    </row>
    <row r="43" spans="1:5" x14ac:dyDescent="0.2">
      <c r="A43" s="677">
        <f t="shared" si="0"/>
        <v>37</v>
      </c>
      <c r="D43" s="500"/>
    </row>
    <row r="44" spans="1:5" x14ac:dyDescent="0.2">
      <c r="A44" s="677">
        <f t="shared" si="0"/>
        <v>38</v>
      </c>
      <c r="D44" s="2" t="s">
        <v>1498</v>
      </c>
    </row>
    <row r="45" spans="1:5" x14ac:dyDescent="0.2">
      <c r="A45" s="677">
        <f t="shared" si="0"/>
        <v>39</v>
      </c>
      <c r="C45" s="3" t="s">
        <v>43</v>
      </c>
      <c r="D45" s="3" t="s">
        <v>1499</v>
      </c>
    </row>
    <row r="46" spans="1:5" x14ac:dyDescent="0.2">
      <c r="A46" s="677">
        <f t="shared" si="0"/>
        <v>40</v>
      </c>
      <c r="C46" t="s">
        <v>39</v>
      </c>
      <c r="D46" s="75">
        <f>D22*D29*D39</f>
        <v>8.8400000000000006E-2</v>
      </c>
      <c r="E46" s="13" t="str">
        <f>"Line "&amp;A22&amp;" * Line "&amp;A29&amp;" * Line "&amp;A39&amp;""</f>
        <v>Line 16 * Line 23 * Line 33</v>
      </c>
    </row>
    <row r="47" spans="1:5" x14ac:dyDescent="0.2">
      <c r="A47" s="677">
        <f t="shared" si="0"/>
        <v>41</v>
      </c>
      <c r="C47" t="s">
        <v>40</v>
      </c>
      <c r="D47" s="75">
        <f>D23*D30*D40</f>
        <v>-5.8356200164E-3</v>
      </c>
      <c r="E47" s="13" t="str">
        <f>"Line "&amp;A23&amp;" * Line "&amp;A30&amp;" * Line "&amp;A40&amp;""</f>
        <v>Line 17 * Line 24 * Line 34</v>
      </c>
    </row>
    <row r="48" spans="1:5" x14ac:dyDescent="0.2">
      <c r="A48" s="677">
        <f t="shared" si="0"/>
        <v>42</v>
      </c>
      <c r="C48" t="s">
        <v>41</v>
      </c>
      <c r="D48" s="75">
        <f>D24*D31*D41</f>
        <v>-6.6183095640271992E-3</v>
      </c>
      <c r="E48" s="13" t="str">
        <f>"Line "&amp;A24&amp;" * Line "&amp;A31&amp;" * Line "&amp;A41&amp;""</f>
        <v>Line 18 * Line 25 * Line 35</v>
      </c>
    </row>
    <row r="49" spans="1:9" x14ac:dyDescent="0.2">
      <c r="A49" s="677">
        <f t="shared" si="0"/>
        <v>43</v>
      </c>
      <c r="C49" t="s">
        <v>42</v>
      </c>
      <c r="D49" s="75">
        <f>D25*D32*D42</f>
        <v>-7.1749688220000014E-6</v>
      </c>
      <c r="E49" s="13" t="str">
        <f>"Line "&amp;A25&amp;" * Line "&amp;A32&amp;" * Line "&amp;A42&amp;""</f>
        <v>Line 19 * Line 26 * Line 36</v>
      </c>
    </row>
    <row r="50" spans="1:9" x14ac:dyDescent="0.2">
      <c r="A50" s="677">
        <f t="shared" si="0"/>
        <v>44</v>
      </c>
      <c r="C50" s="77" t="s">
        <v>327</v>
      </c>
    </row>
    <row r="51" spans="1:9" x14ac:dyDescent="0.2">
      <c r="A51" s="677">
        <f t="shared" si="0"/>
        <v>45</v>
      </c>
      <c r="C51" s="77" t="s">
        <v>326</v>
      </c>
      <c r="D51" s="500">
        <f>SUM(D46:D49)</f>
        <v>7.5938895450750804E-2</v>
      </c>
      <c r="E51" s="13" t="str">
        <f>"Sum of Lines "&amp;A46&amp;" to "&amp;A49&amp;""</f>
        <v>Sum of Lines 40 to 43</v>
      </c>
    </row>
    <row r="52" spans="1:9" x14ac:dyDescent="0.2">
      <c r="A52" s="834">
        <f t="shared" si="0"/>
        <v>46</v>
      </c>
      <c r="E52" s="13"/>
    </row>
    <row r="53" spans="1:9" ht="12.75" customHeight="1" x14ac:dyDescent="0.2">
      <c r="A53" s="834">
        <f t="shared" si="0"/>
        <v>47</v>
      </c>
      <c r="B53" s="1" t="s">
        <v>2113</v>
      </c>
      <c r="E53" s="16"/>
    </row>
    <row r="54" spans="1:9" ht="12.75" customHeight="1" x14ac:dyDescent="0.2">
      <c r="A54" s="834">
        <f t="shared" si="0"/>
        <v>48</v>
      </c>
      <c r="E54" s="136"/>
      <c r="F54" s="3" t="s">
        <v>203</v>
      </c>
    </row>
    <row r="55" spans="1:9" ht="12.75" customHeight="1" x14ac:dyDescent="0.2">
      <c r="A55" s="834">
        <f t="shared" si="0"/>
        <v>49</v>
      </c>
      <c r="C55" t="str">
        <f>"Total Electric Payroll Tax Expense (From BaseTRR WS, Line "&amp;BaseTRR!A52&amp;""</f>
        <v>Total Electric Payroll Tax Expense (From BaseTRR WS, Line 30</v>
      </c>
      <c r="F55" s="7">
        <f>BaseTRR!K52</f>
        <v>143480346</v>
      </c>
      <c r="G55" s="12"/>
    </row>
    <row r="56" spans="1:9" ht="12.75" customHeight="1" x14ac:dyDescent="0.2">
      <c r="A56" s="834">
        <f t="shared" si="0"/>
        <v>50</v>
      </c>
      <c r="C56" s="685" t="s">
        <v>2114</v>
      </c>
      <c r="D56" s="14"/>
      <c r="E56" s="14"/>
      <c r="F56" s="493">
        <v>55875583.5</v>
      </c>
      <c r="G56" s="685"/>
      <c r="H56" s="14"/>
      <c r="I56" s="685"/>
    </row>
    <row r="57" spans="1:9" x14ac:dyDescent="0.2">
      <c r="A57" s="834">
        <f t="shared" si="0"/>
        <v>51</v>
      </c>
      <c r="C57" s="685" t="str">
        <f>"Non-Capitalized Overhead portion of Electric Payroll Tax Expense (Line "&amp;A55&amp;" - Line "&amp;A56&amp;")"</f>
        <v>Non-Capitalized Overhead portion of Electric Payroll Tax Expense (Line 49 - Line 50)</v>
      </c>
      <c r="D57" s="14"/>
      <c r="E57" s="14"/>
      <c r="F57" s="7">
        <f>F55-F56</f>
        <v>87604762.5</v>
      </c>
      <c r="G57" s="12"/>
      <c r="H57" s="14"/>
    </row>
    <row r="58" spans="1:9" x14ac:dyDescent="0.2">
      <c r="A58" s="834">
        <f t="shared" si="0"/>
        <v>52</v>
      </c>
    </row>
    <row r="60" spans="1:9" x14ac:dyDescent="0.2">
      <c r="B60" s="53" t="s">
        <v>269</v>
      </c>
    </row>
    <row r="61" spans="1:9" x14ac:dyDescent="0.2">
      <c r="B61" s="671" t="s">
        <v>1803</v>
      </c>
    </row>
    <row r="62" spans="1:9" x14ac:dyDescent="0.2">
      <c r="B62" s="671" t="s">
        <v>1797</v>
      </c>
    </row>
    <row r="63" spans="1:9" x14ac:dyDescent="0.2">
      <c r="B63" s="12" t="s">
        <v>1799</v>
      </c>
    </row>
    <row r="64" spans="1:9" x14ac:dyDescent="0.2">
      <c r="B64" s="672" t="s">
        <v>1798</v>
      </c>
    </row>
    <row r="65" spans="2:2" x14ac:dyDescent="0.2">
      <c r="B65" s="683" t="s">
        <v>2115</v>
      </c>
    </row>
  </sheetData>
  <phoneticPr fontId="8" type="noConversion"/>
  <pageMargins left="0.75" right="0.75" top="1" bottom="1" header="0.5" footer="0.5"/>
  <pageSetup scale="80" orientation="portrait" r:id="rId1"/>
  <headerFooter alignWithMargins="0">
    <oddHeader>&amp;CSchedule 26
Tax Rates&amp;RDkt. No. ER11-3697
2014 Draft Informational Filing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4"/>
  <sheetViews>
    <sheetView topLeftCell="C1" zoomScaleNormal="100" zoomScalePageLayoutView="85" workbookViewId="0">
      <selection activeCell="K184" sqref="K184"/>
    </sheetView>
  </sheetViews>
  <sheetFormatPr defaultRowHeight="12.75" x14ac:dyDescent="0.2"/>
  <cols>
    <col min="1" max="1" width="4.7109375" customWidth="1"/>
    <col min="8" max="9" width="25.7109375" customWidth="1"/>
    <col min="10" max="10" width="2.7109375" customWidth="1"/>
    <col min="11" max="11" width="16.7109375" customWidth="1"/>
  </cols>
  <sheetData>
    <row r="1" spans="1:12" x14ac:dyDescent="0.2">
      <c r="A1" s="1" t="s">
        <v>194</v>
      </c>
    </row>
    <row r="2" spans="1:12" x14ac:dyDescent="0.2">
      <c r="I2" s="113" t="s">
        <v>351</v>
      </c>
      <c r="J2" s="113"/>
      <c r="K2" s="14"/>
      <c r="L2" s="14"/>
    </row>
    <row r="3" spans="1:12" x14ac:dyDescent="0.2">
      <c r="A3" s="1" t="s">
        <v>195</v>
      </c>
      <c r="L3" s="14"/>
    </row>
    <row r="4" spans="1:12" x14ac:dyDescent="0.2">
      <c r="H4" s="2"/>
      <c r="I4" s="2" t="s">
        <v>197</v>
      </c>
      <c r="K4" s="290">
        <v>2012</v>
      </c>
    </row>
    <row r="5" spans="1:12" x14ac:dyDescent="0.2">
      <c r="A5" s="55" t="s">
        <v>369</v>
      </c>
      <c r="H5" s="3" t="s">
        <v>196</v>
      </c>
      <c r="I5" s="3" t="s">
        <v>198</v>
      </c>
      <c r="K5" s="3" t="s">
        <v>199</v>
      </c>
    </row>
    <row r="7" spans="1:12" x14ac:dyDescent="0.2">
      <c r="A7" s="10" t="s">
        <v>204</v>
      </c>
      <c r="B7" s="11"/>
      <c r="C7" s="11"/>
      <c r="D7" s="11"/>
      <c r="E7" s="11"/>
      <c r="F7" s="11"/>
      <c r="G7" s="11"/>
      <c r="H7" s="9"/>
      <c r="I7" s="9"/>
      <c r="J7" s="9"/>
      <c r="K7" s="9"/>
    </row>
    <row r="9" spans="1:12" x14ac:dyDescent="0.2">
      <c r="A9" s="2">
        <v>1</v>
      </c>
      <c r="B9" s="52" t="s">
        <v>1240</v>
      </c>
      <c r="I9" s="12" t="str">
        <f>"PlantInService WS, Line "&amp;PlantInService!A44&amp;""</f>
        <v>PlantInService WS, Line 19</v>
      </c>
      <c r="K9" s="7">
        <f>PlantInService!D44</f>
        <v>3935416379.0085616</v>
      </c>
    </row>
    <row r="10" spans="1:12" x14ac:dyDescent="0.2">
      <c r="A10" s="2">
        <f>A9+1</f>
        <v>2</v>
      </c>
      <c r="B10" s="52" t="s">
        <v>367</v>
      </c>
      <c r="I10" s="12" t="str">
        <f>"PlantInService WS, Line "&amp;PlantInService!A64&amp;""</f>
        <v>PlantInService WS, Line 27</v>
      </c>
      <c r="K10" s="7">
        <f>PlantInService!F64</f>
        <v>160970490.6651071</v>
      </c>
    </row>
    <row r="11" spans="1:12" x14ac:dyDescent="0.2">
      <c r="A11" s="2">
        <f>A10+1</f>
        <v>3</v>
      </c>
      <c r="B11" s="52" t="s">
        <v>181</v>
      </c>
      <c r="I11" s="12" t="str">
        <f>"PHFU WS, Line "&amp;PHFU!A38&amp;""</f>
        <v>PHFU WS, Line 8</v>
      </c>
      <c r="K11" s="7">
        <f>PHFU!E38</f>
        <v>9942155</v>
      </c>
    </row>
    <row r="12" spans="1:12" x14ac:dyDescent="0.2">
      <c r="A12" s="2">
        <f>A11+1</f>
        <v>4</v>
      </c>
      <c r="B12" s="130" t="s">
        <v>362</v>
      </c>
      <c r="C12" s="14"/>
      <c r="D12" s="14"/>
      <c r="E12" s="14"/>
      <c r="F12" s="14"/>
      <c r="G12" s="14"/>
      <c r="H12" s="14"/>
      <c r="I12" s="12" t="str">
        <f>"AbandonedPlant WS, Line "&amp;AbandonedPlant!A16&amp;""</f>
        <v>AbandonedPlant WS, Line 3</v>
      </c>
      <c r="K12" s="7">
        <f>AbandonedPlant!G16</f>
        <v>0</v>
      </c>
    </row>
    <row r="13" spans="1:12" x14ac:dyDescent="0.2">
      <c r="A13" s="2"/>
      <c r="B13" s="130"/>
      <c r="C13" s="14"/>
      <c r="D13" s="14"/>
      <c r="E13" s="14"/>
      <c r="F13" s="14"/>
      <c r="G13" s="14"/>
      <c r="H13" s="14"/>
      <c r="K13" s="7"/>
    </row>
    <row r="14" spans="1:12" x14ac:dyDescent="0.2">
      <c r="A14" s="2"/>
      <c r="B14" s="46" t="s">
        <v>283</v>
      </c>
      <c r="C14" s="14"/>
      <c r="D14" s="14"/>
      <c r="E14" s="14"/>
      <c r="F14" s="14"/>
      <c r="G14" s="14"/>
      <c r="H14" s="14"/>
      <c r="K14" s="7"/>
    </row>
    <row r="15" spans="1:12" x14ac:dyDescent="0.2">
      <c r="A15" s="2">
        <f>A12+1</f>
        <v>5</v>
      </c>
      <c r="B15" s="13" t="s">
        <v>109</v>
      </c>
      <c r="I15" s="12" t="str">
        <f>"WorkCap WS, Line "&amp;WorkCap!A15&amp;""</f>
        <v>WorkCap WS, Line 5</v>
      </c>
      <c r="K15" s="7">
        <f>WorkCap!F15</f>
        <v>12555748.896628486</v>
      </c>
    </row>
    <row r="16" spans="1:12" x14ac:dyDescent="0.2">
      <c r="A16" s="2">
        <f>A15+1</f>
        <v>6</v>
      </c>
      <c r="B16" s="16" t="s">
        <v>110</v>
      </c>
      <c r="I16" s="12" t="str">
        <f>"WorkCap WS, Line "&amp;WorkCap!A33&amp;""</f>
        <v>WorkCap WS, Line 14</v>
      </c>
      <c r="K16" s="7">
        <f>WorkCap!F33</f>
        <v>5678295.9111841703</v>
      </c>
    </row>
    <row r="17" spans="1:11" x14ac:dyDescent="0.2">
      <c r="A17" s="2">
        <f>A16+1</f>
        <v>7</v>
      </c>
      <c r="B17" s="13" t="s">
        <v>200</v>
      </c>
      <c r="I17" s="12" t="str">
        <f>"(Line "&amp;A123&amp;" + Line "&amp;A124&amp;") / 8"</f>
        <v>(Line 65 + Line 66) / 8</v>
      </c>
      <c r="K17" s="59">
        <f>(K123+K124)/8</f>
        <v>15666472.767297152</v>
      </c>
    </row>
    <row r="18" spans="1:11" x14ac:dyDescent="0.2">
      <c r="A18" s="2">
        <f>A17+1</f>
        <v>8</v>
      </c>
      <c r="B18" s="13" t="s">
        <v>108</v>
      </c>
      <c r="I18" s="12" t="str">
        <f>"Line "&amp;A15&amp;" + Line "&amp;A16&amp;" + Line "&amp;A17&amp;""</f>
        <v>Line 5 + Line 6 + Line 7</v>
      </c>
      <c r="K18" s="7">
        <f>SUM(K15:K17)</f>
        <v>33900517.57510981</v>
      </c>
    </row>
    <row r="19" spans="1:11" x14ac:dyDescent="0.2">
      <c r="A19" s="2"/>
      <c r="B19" s="13"/>
      <c r="K19" s="7"/>
    </row>
    <row r="20" spans="1:11" x14ac:dyDescent="0.2">
      <c r="A20" s="2"/>
      <c r="B20" s="86" t="s">
        <v>193</v>
      </c>
      <c r="K20" s="7"/>
    </row>
    <row r="21" spans="1:11" x14ac:dyDescent="0.2">
      <c r="A21" s="2">
        <f>A18+1</f>
        <v>9</v>
      </c>
      <c r="B21" s="13" t="s">
        <v>1243</v>
      </c>
      <c r="H21" t="s">
        <v>175</v>
      </c>
      <c r="I21" s="12" t="str">
        <f>"AccDep WS, Line "&amp;AccDep!A24&amp;", Col. 12"</f>
        <v>AccDep WS, Line 13, Col. 12</v>
      </c>
      <c r="K21" s="7">
        <f>-AccDep!N24</f>
        <v>-1008698662.9903265</v>
      </c>
    </row>
    <row r="22" spans="1:11" x14ac:dyDescent="0.2">
      <c r="A22" s="2">
        <f>A21+1</f>
        <v>10</v>
      </c>
      <c r="B22" s="13" t="s">
        <v>1244</v>
      </c>
      <c r="H22" t="s">
        <v>175</v>
      </c>
      <c r="I22" s="12" t="str">
        <f>"AccDep WS, Line "&amp;AccDep!A35&amp;", Col. 5"</f>
        <v>AccDep WS, Line 16, Col. 5</v>
      </c>
      <c r="K22" s="7">
        <f>-AccDep!G35</f>
        <v>-1163016.7461887416</v>
      </c>
    </row>
    <row r="23" spans="1:11" x14ac:dyDescent="0.2">
      <c r="A23" s="2">
        <f>A22+1</f>
        <v>11</v>
      </c>
      <c r="B23" s="13" t="s">
        <v>358</v>
      </c>
      <c r="C23" s="22"/>
      <c r="H23" t="s">
        <v>175</v>
      </c>
      <c r="I23" s="12" t="str">
        <f>"AccDep WS, Line "&amp;AccDep!A60&amp;""</f>
        <v>AccDep WS, Line 26</v>
      </c>
      <c r="K23" s="59">
        <f>-AccDep!F60</f>
        <v>-58629576.626637973</v>
      </c>
    </row>
    <row r="24" spans="1:11" x14ac:dyDescent="0.2">
      <c r="A24" s="2">
        <f>A23+1</f>
        <v>12</v>
      </c>
      <c r="B24" s="87" t="s">
        <v>190</v>
      </c>
      <c r="C24" s="22"/>
      <c r="I24" s="12" t="str">
        <f>"Line "&amp;A21&amp;" + Line "&amp;A22&amp;" + Line "&amp;A23&amp;""</f>
        <v>Line 9 + Line 10 + Line 11</v>
      </c>
      <c r="K24" s="7">
        <f>SUM(K21:K23)</f>
        <v>-1068491256.3631532</v>
      </c>
    </row>
    <row r="25" spans="1:11" x14ac:dyDescent="0.2">
      <c r="B25" s="12"/>
      <c r="K25" s="7"/>
    </row>
    <row r="26" spans="1:11" x14ac:dyDescent="0.2">
      <c r="A26" s="2">
        <f>A24+1</f>
        <v>13</v>
      </c>
      <c r="B26" s="69" t="s">
        <v>191</v>
      </c>
      <c r="H26" t="s">
        <v>175</v>
      </c>
      <c r="I26" s="12" t="str">
        <f>"ADIT WS, Line "&amp;ADIT!A14&amp;", Col. 2"</f>
        <v>ADIT WS, Line 5, Col. 2</v>
      </c>
      <c r="K26" s="7">
        <f>ADIT!D14</f>
        <v>-662085932.73182452</v>
      </c>
    </row>
    <row r="27" spans="1:11" x14ac:dyDescent="0.2">
      <c r="A27" s="2"/>
      <c r="B27" s="69"/>
    </row>
    <row r="28" spans="1:11" x14ac:dyDescent="0.2">
      <c r="A28" s="2">
        <f>A26+1</f>
        <v>14</v>
      </c>
      <c r="B28" s="52" t="s">
        <v>279</v>
      </c>
      <c r="I28" s="12" t="str">
        <f>"IncentivePlant WS, Line "&amp;IncentivePlant!A37&amp;", Col 1"</f>
        <v>IncentivePlant WS, Line 12, Col 1</v>
      </c>
      <c r="K28" s="7">
        <f>IncentivePlant!E37</f>
        <v>1704248357.1100001</v>
      </c>
    </row>
    <row r="29" spans="1:11" x14ac:dyDescent="0.2">
      <c r="A29" s="2"/>
      <c r="B29" s="52"/>
      <c r="K29" s="7"/>
    </row>
    <row r="30" spans="1:11" x14ac:dyDescent="0.2">
      <c r="A30" s="2">
        <f>A28+1</f>
        <v>15</v>
      </c>
      <c r="B30" s="52" t="s">
        <v>421</v>
      </c>
      <c r="I30" s="12" t="str">
        <f>"RegAssets WS, Line "&amp;RegAssets!A17&amp;""</f>
        <v>RegAssets WS, Line 14</v>
      </c>
      <c r="K30" s="67">
        <f>RegAssets!E17</f>
        <v>0</v>
      </c>
    </row>
    <row r="31" spans="1:11" x14ac:dyDescent="0.2">
      <c r="A31" s="2"/>
      <c r="B31" s="69"/>
    </row>
    <row r="32" spans="1:11" x14ac:dyDescent="0.2">
      <c r="A32" s="2">
        <f>A30+1</f>
        <v>16</v>
      </c>
      <c r="B32" s="69" t="s">
        <v>70</v>
      </c>
      <c r="H32" t="s">
        <v>175</v>
      </c>
      <c r="I32" s="12" t="str">
        <f>"NUCs WS, Line "&amp;NUCs!A12&amp;""</f>
        <v>NUCs WS, Line 5</v>
      </c>
      <c r="K32" s="7">
        <f>-NUCs!E12</f>
        <v>-12374574</v>
      </c>
    </row>
    <row r="33" spans="1:11" x14ac:dyDescent="0.2">
      <c r="A33" s="2"/>
      <c r="B33" s="69"/>
    </row>
    <row r="34" spans="1:11" x14ac:dyDescent="0.2">
      <c r="A34" s="2">
        <f>A32+1</f>
        <v>17</v>
      </c>
      <c r="B34" t="s">
        <v>201</v>
      </c>
      <c r="I34" s="12" t="str">
        <f>"L"&amp;A9&amp;" + L"&amp;A10&amp;" + L"&amp;A11&amp;" + L"&amp;A12&amp;" + L"&amp;A18&amp;" +"</f>
        <v>L1 + L2 + L3 + L4 + L8 +</v>
      </c>
      <c r="K34" s="7">
        <f>K9+K10+K11+K12+K18+K24+K26+K28+K30+K32</f>
        <v>4101526136.2638016</v>
      </c>
    </row>
    <row r="35" spans="1:11" x14ac:dyDescent="0.2">
      <c r="A35" s="2"/>
      <c r="I35" s="52" t="str">
        <f>"L"&amp;A24&amp;" + L"&amp;A26&amp;" + L"&amp;A28&amp;"+ L"&amp;A30&amp;"+ L"&amp;A32&amp;""</f>
        <v>L12 + L13 + L14+ L15+ L16</v>
      </c>
      <c r="K35" s="7"/>
    </row>
    <row r="37" spans="1:11" x14ac:dyDescent="0.2">
      <c r="A37" s="10" t="s">
        <v>291</v>
      </c>
      <c r="B37" s="11"/>
      <c r="C37" s="11"/>
      <c r="D37" s="11"/>
      <c r="E37" s="11"/>
      <c r="F37" s="11"/>
      <c r="G37" s="11"/>
      <c r="H37" s="9"/>
      <c r="I37" s="9"/>
      <c r="J37" s="9"/>
      <c r="K37" s="9"/>
    </row>
    <row r="39" spans="1:11" x14ac:dyDescent="0.2">
      <c r="A39" s="2">
        <f>A34+1</f>
        <v>18</v>
      </c>
      <c r="B39" t="s">
        <v>16</v>
      </c>
      <c r="H39" s="694" t="s">
        <v>2398</v>
      </c>
      <c r="I39" s="12" t="s">
        <v>608</v>
      </c>
      <c r="K39" s="6">
        <v>200011425</v>
      </c>
    </row>
    <row r="40" spans="1:11" x14ac:dyDescent="0.2">
      <c r="A40" s="2">
        <f>A39+1</f>
        <v>19</v>
      </c>
      <c r="B40" s="16" t="s">
        <v>72</v>
      </c>
      <c r="I40" s="12" t="str">
        <f>"Allocators WS, Line "&amp;Allocators!A28&amp;""</f>
        <v>Allocators WS, Line 22</v>
      </c>
      <c r="K40" s="8">
        <f>Allocators!G28</f>
        <v>0.10702566542980063</v>
      </c>
    </row>
    <row r="41" spans="1:11" x14ac:dyDescent="0.2">
      <c r="A41" s="2">
        <f>A40+1</f>
        <v>20</v>
      </c>
      <c r="B41" t="s">
        <v>76</v>
      </c>
      <c r="I41" s="12" t="str">
        <f>"Line "&amp;A39&amp;" * Line "&amp;A40&amp;""</f>
        <v>Line 18 * Line 19</v>
      </c>
      <c r="K41" s="7">
        <f>K39*K40</f>
        <v>21406355.854187664</v>
      </c>
    </row>
    <row r="42" spans="1:11" x14ac:dyDescent="0.2">
      <c r="A42" s="2" t="s">
        <v>379</v>
      </c>
      <c r="H42" s="12"/>
      <c r="K42" s="8"/>
    </row>
    <row r="43" spans="1:11" x14ac:dyDescent="0.2">
      <c r="A43" s="2">
        <f>A41+1</f>
        <v>21</v>
      </c>
      <c r="B43" s="12" t="s">
        <v>292</v>
      </c>
      <c r="K43" s="8"/>
    </row>
    <row r="44" spans="1:11" x14ac:dyDescent="0.2">
      <c r="A44" s="2">
        <f t="shared" ref="A44:A56" si="0">A43+1</f>
        <v>22</v>
      </c>
      <c r="B44" s="16" t="s">
        <v>17</v>
      </c>
      <c r="E44" s="1"/>
      <c r="F44" s="1"/>
      <c r="G44" s="1"/>
      <c r="I44" s="12" t="str">
        <f>"Line "&amp;A45&amp;" + Line "&amp;A46&amp;"+ Line "&amp;A47&amp;""</f>
        <v>Line 23 + Line 24+ Line 25</v>
      </c>
      <c r="K44" s="67">
        <f>SUM(K45:K47)</f>
        <v>134320065</v>
      </c>
    </row>
    <row r="45" spans="1:11" x14ac:dyDescent="0.2">
      <c r="A45" s="2">
        <f t="shared" si="0"/>
        <v>23</v>
      </c>
      <c r="B45" s="62" t="s">
        <v>49</v>
      </c>
      <c r="E45" s="1"/>
      <c r="F45" s="1"/>
      <c r="G45" s="1"/>
      <c r="H45" s="694" t="s">
        <v>2394</v>
      </c>
      <c r="I45" s="12" t="s">
        <v>609</v>
      </c>
      <c r="K45" s="6">
        <v>131455854</v>
      </c>
    </row>
    <row r="46" spans="1:11" x14ac:dyDescent="0.2">
      <c r="A46" s="2">
        <f t="shared" si="0"/>
        <v>24</v>
      </c>
      <c r="B46" s="62" t="s">
        <v>50</v>
      </c>
      <c r="E46" s="1"/>
      <c r="F46" s="1"/>
      <c r="G46" s="1"/>
      <c r="H46" s="694" t="s">
        <v>1779</v>
      </c>
      <c r="I46" s="12" t="s">
        <v>609</v>
      </c>
      <c r="K46" s="6">
        <v>2279537</v>
      </c>
    </row>
    <row r="47" spans="1:11" x14ac:dyDescent="0.2">
      <c r="A47" s="2">
        <f t="shared" si="0"/>
        <v>25</v>
      </c>
      <c r="B47" s="62" t="s">
        <v>51</v>
      </c>
      <c r="E47" s="1"/>
      <c r="F47" s="1"/>
      <c r="G47" s="1"/>
      <c r="H47" s="694" t="s">
        <v>1780</v>
      </c>
      <c r="I47" s="12" t="s">
        <v>609</v>
      </c>
      <c r="K47" s="6">
        <v>584674</v>
      </c>
    </row>
    <row r="48" spans="1:11" x14ac:dyDescent="0.2">
      <c r="A48" s="2">
        <f t="shared" si="0"/>
        <v>26</v>
      </c>
      <c r="B48" s="16" t="s">
        <v>18</v>
      </c>
      <c r="H48" s="694" t="s">
        <v>2395</v>
      </c>
      <c r="I48" s="12" t="s">
        <v>609</v>
      </c>
      <c r="K48" s="6">
        <v>5427096</v>
      </c>
    </row>
    <row r="49" spans="1:11" x14ac:dyDescent="0.2">
      <c r="A49" s="2">
        <f t="shared" si="0"/>
        <v>27</v>
      </c>
      <c r="B49" s="16" t="s">
        <v>48</v>
      </c>
      <c r="H49" s="694" t="s">
        <v>2396</v>
      </c>
      <c r="I49" s="12" t="s">
        <v>609</v>
      </c>
      <c r="K49" s="6">
        <v>1592593</v>
      </c>
    </row>
    <row r="50" spans="1:11" x14ac:dyDescent="0.2">
      <c r="A50" s="824">
        <f t="shared" si="0"/>
        <v>28</v>
      </c>
      <c r="B50" s="16" t="s">
        <v>2077</v>
      </c>
      <c r="H50" s="694" t="s">
        <v>2397</v>
      </c>
      <c r="I50" s="683" t="s">
        <v>2079</v>
      </c>
      <c r="K50" s="6">
        <v>2121319</v>
      </c>
    </row>
    <row r="51" spans="1:11" x14ac:dyDescent="0.2">
      <c r="A51" s="824">
        <f t="shared" si="0"/>
        <v>29</v>
      </c>
      <c r="B51" s="16" t="s">
        <v>2078</v>
      </c>
      <c r="H51" s="694" t="s">
        <v>2398</v>
      </c>
      <c r="I51" s="683" t="s">
        <v>2079</v>
      </c>
      <c r="K51" s="6">
        <v>19273</v>
      </c>
    </row>
    <row r="52" spans="1:11" x14ac:dyDescent="0.2">
      <c r="A52" s="824">
        <f t="shared" si="0"/>
        <v>30</v>
      </c>
      <c r="B52" t="s">
        <v>77</v>
      </c>
      <c r="I52" s="12" t="str">
        <f>"Line "&amp;A44&amp;" + (Line "&amp;A48&amp;" to Line "&amp;A51&amp;")"</f>
        <v>Line 22 + (Line 26 to Line 29)</v>
      </c>
      <c r="K52" s="7">
        <f>K44+K48+K49+K50+K51</f>
        <v>143480346</v>
      </c>
    </row>
    <row r="53" spans="1:11" x14ac:dyDescent="0.2">
      <c r="A53" s="824">
        <f t="shared" si="0"/>
        <v>31</v>
      </c>
      <c r="B53" s="685" t="s">
        <v>2080</v>
      </c>
      <c r="C53" s="14"/>
      <c r="D53" s="14"/>
      <c r="E53" s="14"/>
      <c r="F53" s="14"/>
      <c r="G53" s="14"/>
      <c r="H53" s="685"/>
      <c r="I53" s="685" t="str">
        <f>"TaxRates WS, Line "&amp;TaxRates!A56&amp;""</f>
        <v>TaxRates WS, Line 50</v>
      </c>
      <c r="K53" s="268">
        <f>TaxRates!F56</f>
        <v>55875583.5</v>
      </c>
    </row>
    <row r="54" spans="1:11" x14ac:dyDescent="0.2">
      <c r="A54" s="824">
        <f t="shared" si="0"/>
        <v>32</v>
      </c>
      <c r="B54" s="14" t="s">
        <v>1648</v>
      </c>
      <c r="C54" s="14"/>
      <c r="D54" s="14"/>
      <c r="E54" s="14"/>
      <c r="F54" s="14"/>
      <c r="G54" s="14"/>
      <c r="I54" s="12" t="str">
        <f>"Line "&amp;A52&amp;" - Line "&amp;A53&amp;""</f>
        <v>Line 30 - Line 31</v>
      </c>
      <c r="K54" s="7">
        <f>K52-K53</f>
        <v>87604762.5</v>
      </c>
    </row>
    <row r="55" spans="1:11" x14ac:dyDescent="0.2">
      <c r="A55" s="824">
        <f t="shared" si="0"/>
        <v>33</v>
      </c>
      <c r="B55" s="13" t="s">
        <v>111</v>
      </c>
      <c r="I55" s="12" t="str">
        <f>"Allocators WS, Line "&amp;Allocators!A15&amp;""</f>
        <v>Allocators WS, Line 9</v>
      </c>
      <c r="K55" s="8">
        <f>Allocators!G15</f>
        <v>3.9310790220978262E-2</v>
      </c>
    </row>
    <row r="56" spans="1:11" x14ac:dyDescent="0.2">
      <c r="A56" s="824">
        <f t="shared" si="0"/>
        <v>34</v>
      </c>
      <c r="B56" s="52" t="s">
        <v>292</v>
      </c>
      <c r="I56" s="12" t="str">
        <f>"Line "&amp;A54&amp;" * Line "&amp;A55&amp;""</f>
        <v>Line 32 * Line 33</v>
      </c>
      <c r="K56" s="7">
        <f>K54*K55</f>
        <v>3443812.440996123</v>
      </c>
    </row>
    <row r="57" spans="1:11" x14ac:dyDescent="0.2">
      <c r="A57" s="2"/>
      <c r="K57" s="7"/>
    </row>
    <row r="58" spans="1:11" x14ac:dyDescent="0.2">
      <c r="A58" s="2">
        <f>A56+1</f>
        <v>35</v>
      </c>
      <c r="B58" s="12" t="s">
        <v>95</v>
      </c>
      <c r="I58" s="12" t="str">
        <f>"Line "&amp;A41&amp;" + Line "&amp;A56&amp;""</f>
        <v>Line 20 + Line 34</v>
      </c>
      <c r="K58" s="7">
        <f>K41+K56</f>
        <v>24850168.295183785</v>
      </c>
    </row>
    <row r="60" spans="1:11" x14ac:dyDescent="0.2">
      <c r="A60" s="10" t="s">
        <v>205</v>
      </c>
      <c r="B60" s="11"/>
      <c r="C60" s="11"/>
      <c r="D60" s="11"/>
      <c r="E60" s="11"/>
      <c r="F60" s="11"/>
      <c r="G60" s="11"/>
      <c r="H60" s="9"/>
      <c r="I60" s="9"/>
      <c r="J60" s="9"/>
      <c r="K60" s="9"/>
    </row>
    <row r="61" spans="1:11" x14ac:dyDescent="0.2">
      <c r="A61" s="4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x14ac:dyDescent="0.2">
      <c r="A62" s="126"/>
      <c r="B62" s="46" t="s">
        <v>28</v>
      </c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">
      <c r="A63" s="131">
        <f>A58+1</f>
        <v>36</v>
      </c>
      <c r="B63" s="15" t="s">
        <v>239</v>
      </c>
      <c r="C63" s="15"/>
      <c r="D63" s="15"/>
      <c r="E63" s="15"/>
      <c r="F63" s="15"/>
      <c r="G63" s="15"/>
      <c r="H63" s="15"/>
      <c r="I63" s="12" t="str">
        <f>"ROR-1 WS, Line "&amp;'ROR-1'!A20&amp;""</f>
        <v>ROR-1 WS, Line 12</v>
      </c>
      <c r="J63" s="15"/>
      <c r="K63" s="48">
        <f>'ROR-1'!L20</f>
        <v>8128383387.9498539</v>
      </c>
    </row>
    <row r="64" spans="1:11" x14ac:dyDescent="0.2">
      <c r="A64" s="2">
        <f>A63+1</f>
        <v>37</v>
      </c>
      <c r="B64" s="15" t="s">
        <v>293</v>
      </c>
      <c r="C64" s="15"/>
      <c r="D64" s="15"/>
      <c r="E64" s="15"/>
      <c r="F64" s="15"/>
      <c r="G64" s="15"/>
      <c r="H64" s="15"/>
      <c r="I64" s="12" t="str">
        <f>"ROR-1 WS, Line "&amp;'ROR-1'!A30&amp;""</f>
        <v>ROR-1 WS, Line 20</v>
      </c>
      <c r="J64" s="15"/>
      <c r="K64" s="48">
        <f>'ROR-1'!L30</f>
        <v>458369481</v>
      </c>
    </row>
    <row r="65" spans="1:11" x14ac:dyDescent="0.2">
      <c r="A65" s="2">
        <f>A64+1</f>
        <v>38</v>
      </c>
      <c r="B65" s="15" t="s">
        <v>294</v>
      </c>
      <c r="C65" s="15"/>
      <c r="D65" s="15"/>
      <c r="E65" s="15"/>
      <c r="F65" s="15"/>
      <c r="G65" s="15"/>
      <c r="I65" s="12" t="str">
        <f>"ROR-1 WS, Line "&amp;'ROR-1'!A32&amp;""</f>
        <v>ROR-1 WS, Line 21</v>
      </c>
      <c r="J65" s="15"/>
      <c r="K65" s="49">
        <f>'ROR-1'!L32</f>
        <v>5.6391223091115814E-2</v>
      </c>
    </row>
    <row r="66" spans="1:11" x14ac:dyDescent="0.2">
      <c r="A66" s="131"/>
      <c r="B66" s="15"/>
      <c r="C66" s="15"/>
      <c r="D66" s="15"/>
      <c r="E66" s="15"/>
      <c r="F66" s="15"/>
      <c r="G66" s="15"/>
      <c r="I66" s="15"/>
      <c r="J66" s="15"/>
      <c r="K66" s="49"/>
    </row>
    <row r="67" spans="1:11" x14ac:dyDescent="0.2">
      <c r="A67" s="131"/>
      <c r="B67" s="46" t="s">
        <v>29</v>
      </c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">
      <c r="A68" s="131">
        <f>A65+1</f>
        <v>39</v>
      </c>
      <c r="B68" s="685" t="s">
        <v>60</v>
      </c>
      <c r="C68" s="15"/>
      <c r="D68" s="15"/>
      <c r="E68" s="15"/>
      <c r="F68" s="15"/>
      <c r="G68" s="15"/>
      <c r="H68" s="15"/>
      <c r="I68" s="12" t="str">
        <f>"ROR-1 WS, Line "&amp;'ROR-1'!A38&amp;""</f>
        <v>ROR-1 WS, Line 25</v>
      </c>
      <c r="J68" s="15"/>
      <c r="K68" s="48">
        <f>'ROR-1'!L38</f>
        <v>1588108873.5384614</v>
      </c>
    </row>
    <row r="69" spans="1:11" x14ac:dyDescent="0.2">
      <c r="A69" s="2">
        <f>A68+1</f>
        <v>40</v>
      </c>
      <c r="B69" s="685" t="s">
        <v>27</v>
      </c>
      <c r="C69" s="15"/>
      <c r="D69" s="15"/>
      <c r="E69" s="15"/>
      <c r="F69" s="15"/>
      <c r="G69" s="15"/>
      <c r="H69" s="15"/>
      <c r="I69" s="12" t="str">
        <f>"ROR-1 WS, Line "&amp;'ROR-1'!A44&amp;""</f>
        <v>ROR-1 WS, Line 29</v>
      </c>
      <c r="J69" s="15"/>
      <c r="K69" s="48">
        <f>'ROR-1'!L44</f>
        <v>92597869</v>
      </c>
    </row>
    <row r="70" spans="1:11" x14ac:dyDescent="0.2">
      <c r="A70" s="2">
        <f>A69+1</f>
        <v>41</v>
      </c>
      <c r="B70" s="685" t="s">
        <v>56</v>
      </c>
      <c r="C70" s="15"/>
      <c r="D70" s="15"/>
      <c r="E70" s="15"/>
      <c r="F70" s="15"/>
      <c r="G70" s="15"/>
      <c r="I70" s="12" t="str">
        <f>"ROR-1 WS, Line "&amp;'ROR-1'!A46&amp;""</f>
        <v>ROR-1 WS, Line 30</v>
      </c>
      <c r="J70" s="15"/>
      <c r="K70" s="49">
        <f>'ROR-1'!L46</f>
        <v>5.8307003092100934E-2</v>
      </c>
    </row>
    <row r="71" spans="1:11" x14ac:dyDescent="0.2">
      <c r="A71" s="131"/>
      <c r="B71" s="15"/>
      <c r="C71" s="15"/>
      <c r="D71" s="15"/>
      <c r="E71" s="15"/>
      <c r="F71" s="15"/>
      <c r="G71" s="15"/>
      <c r="I71" s="15"/>
      <c r="J71" s="15"/>
      <c r="K71" s="49"/>
    </row>
    <row r="72" spans="1:11" x14ac:dyDescent="0.2">
      <c r="A72" s="131"/>
      <c r="B72" s="46" t="s">
        <v>30</v>
      </c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">
      <c r="A73" s="131">
        <f>A70+1</f>
        <v>42</v>
      </c>
      <c r="B73" s="15" t="s">
        <v>57</v>
      </c>
      <c r="C73" s="15"/>
      <c r="D73" s="15"/>
      <c r="E73" s="15"/>
      <c r="F73" s="15"/>
      <c r="G73" s="15"/>
      <c r="H73" s="15"/>
      <c r="I73" s="12" t="str">
        <f>"ROR-1 WS, Line "&amp;'ROR-1'!A54&amp;""</f>
        <v>ROR-1 WS, Line 36</v>
      </c>
      <c r="J73" s="15"/>
      <c r="K73" s="48">
        <f>'ROR-1'!L54</f>
        <v>9223779654.5384617</v>
      </c>
    </row>
    <row r="74" spans="1:11" x14ac:dyDescent="0.2">
      <c r="A74" s="131"/>
      <c r="B74" s="15"/>
      <c r="C74" s="15"/>
      <c r="D74" s="15"/>
      <c r="E74" s="15"/>
      <c r="F74" s="15"/>
      <c r="G74" s="15"/>
      <c r="H74" s="15"/>
      <c r="I74" s="68"/>
      <c r="J74" s="15"/>
      <c r="K74" s="15"/>
    </row>
    <row r="75" spans="1:11" x14ac:dyDescent="0.2">
      <c r="A75" s="2">
        <f>A73+1</f>
        <v>43</v>
      </c>
      <c r="B75" s="15" t="s">
        <v>59</v>
      </c>
      <c r="C75" s="15"/>
      <c r="D75" s="15"/>
      <c r="E75" s="15"/>
      <c r="F75" s="15"/>
      <c r="G75" s="15"/>
      <c r="H75" s="15"/>
      <c r="I75" s="12" t="str">
        <f>"Line "&amp;A63&amp;" + Line "&amp;A68&amp;" + Line "&amp;A73&amp;""</f>
        <v>Line 36 + Line 39 + Line 42</v>
      </c>
      <c r="J75" s="15"/>
      <c r="K75" s="48">
        <f>K63+K68+K73</f>
        <v>18940271916.026779</v>
      </c>
    </row>
    <row r="76" spans="1:11" x14ac:dyDescent="0.2">
      <c r="A76" s="131"/>
      <c r="B76" s="47"/>
      <c r="C76" s="15"/>
      <c r="D76" s="15"/>
      <c r="E76" s="15"/>
      <c r="F76" s="15"/>
      <c r="G76" s="15"/>
      <c r="I76" s="15"/>
      <c r="J76" s="15"/>
      <c r="K76" s="48"/>
    </row>
    <row r="77" spans="1:11" x14ac:dyDescent="0.2">
      <c r="A77" s="131"/>
      <c r="B77" s="46" t="s">
        <v>61</v>
      </c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">
      <c r="A78" s="131">
        <f>A75+1</f>
        <v>44</v>
      </c>
      <c r="B78" s="15" t="s">
        <v>295</v>
      </c>
      <c r="C78" s="15"/>
      <c r="D78" s="15"/>
      <c r="E78" s="15"/>
      <c r="F78" s="15"/>
      <c r="G78" s="15"/>
      <c r="H78" s="15"/>
      <c r="I78" s="12" t="str">
        <f>"Line "&amp;A63&amp;" / Line "&amp;A75&amp;""</f>
        <v>Line 36 / Line 43</v>
      </c>
      <c r="J78" s="15"/>
      <c r="K78" s="49">
        <f>K63/K75</f>
        <v>0.42915874830032519</v>
      </c>
    </row>
    <row r="79" spans="1:11" x14ac:dyDescent="0.2">
      <c r="A79" s="2">
        <f>A78+1</f>
        <v>45</v>
      </c>
      <c r="B79" s="685" t="s">
        <v>296</v>
      </c>
      <c r="C79" s="15"/>
      <c r="D79" s="15"/>
      <c r="E79" s="15"/>
      <c r="F79" s="15"/>
      <c r="G79" s="15"/>
      <c r="H79" s="15"/>
      <c r="I79" s="12" t="str">
        <f>"Line "&amp;A68&amp;" / Line "&amp;A75&amp;""</f>
        <v>Line 39 / Line 43</v>
      </c>
      <c r="J79" s="15"/>
      <c r="K79" s="49">
        <f>K68/K75</f>
        <v>8.384826155503311E-2</v>
      </c>
    </row>
    <row r="80" spans="1:11" x14ac:dyDescent="0.2">
      <c r="A80" s="2">
        <f>A79+1</f>
        <v>46</v>
      </c>
      <c r="B80" s="15" t="s">
        <v>62</v>
      </c>
      <c r="C80" s="15"/>
      <c r="D80" s="15"/>
      <c r="E80" s="15"/>
      <c r="F80" s="15"/>
      <c r="G80" s="15"/>
      <c r="H80" s="15"/>
      <c r="I80" s="12" t="str">
        <f>"Line "&amp;A73&amp;" / Line "&amp;A75&amp;""</f>
        <v>Line 42 / Line 43</v>
      </c>
      <c r="J80" s="15"/>
      <c r="K80" s="50">
        <f>K73/K75</f>
        <v>0.48699299014464159</v>
      </c>
    </row>
    <row r="81" spans="1:11" x14ac:dyDescent="0.2">
      <c r="A81" s="131"/>
      <c r="B81" s="15"/>
      <c r="C81" s="15"/>
      <c r="D81" s="15"/>
      <c r="E81" s="15"/>
      <c r="F81" s="15"/>
      <c r="G81" s="15"/>
      <c r="H81" s="15"/>
      <c r="I81" s="12" t="str">
        <f>"Line "&amp;A78&amp;" + Line "&amp;A79&amp;"+ Line "&amp;A80&amp;""</f>
        <v>Line 44 + Line 45+ Line 46</v>
      </c>
      <c r="J81" s="15"/>
      <c r="K81" s="49">
        <f>SUM(K78:K80)</f>
        <v>0.99999999999999989</v>
      </c>
    </row>
    <row r="82" spans="1:11" x14ac:dyDescent="0.2">
      <c r="A82" s="131"/>
      <c r="B82" s="46" t="s">
        <v>257</v>
      </c>
      <c r="C82" s="15"/>
      <c r="D82" s="15"/>
      <c r="E82" s="15"/>
      <c r="F82" s="15"/>
      <c r="G82" s="15"/>
      <c r="H82" s="15"/>
      <c r="I82" s="15"/>
      <c r="J82" s="15"/>
      <c r="K82" s="49"/>
    </row>
    <row r="83" spans="1:11" x14ac:dyDescent="0.2">
      <c r="A83" s="131">
        <f>A80+1</f>
        <v>47</v>
      </c>
      <c r="B83" s="15" t="s">
        <v>294</v>
      </c>
      <c r="C83" s="15"/>
      <c r="D83" s="15"/>
      <c r="E83" s="15"/>
      <c r="F83" s="15"/>
      <c r="G83" s="15"/>
      <c r="I83" s="12" t="str">
        <f>"Line "&amp;A65&amp;""</f>
        <v>Line 38</v>
      </c>
      <c r="J83" s="15"/>
      <c r="K83" s="49">
        <f>K65</f>
        <v>5.6391223091115814E-2</v>
      </c>
    </row>
    <row r="84" spans="1:11" x14ac:dyDescent="0.2">
      <c r="A84" s="2">
        <f>A83+1</f>
        <v>48</v>
      </c>
      <c r="B84" s="685" t="s">
        <v>56</v>
      </c>
      <c r="C84" s="15"/>
      <c r="D84" s="15"/>
      <c r="E84" s="15"/>
      <c r="F84" s="15"/>
      <c r="G84" s="15"/>
      <c r="I84" s="12" t="str">
        <f>"Line "&amp;A70&amp;""</f>
        <v>Line 41</v>
      </c>
      <c r="J84" s="15"/>
      <c r="K84" s="49">
        <f>K70</f>
        <v>5.8307003092100934E-2</v>
      </c>
    </row>
    <row r="85" spans="1:11" x14ac:dyDescent="0.2">
      <c r="A85" s="2">
        <f>A84+1</f>
        <v>49</v>
      </c>
      <c r="B85" s="15" t="s">
        <v>63</v>
      </c>
      <c r="C85" s="15"/>
      <c r="D85" s="15"/>
      <c r="E85" s="15"/>
      <c r="F85" s="15"/>
      <c r="G85" s="15"/>
      <c r="H85" s="12" t="s">
        <v>418</v>
      </c>
      <c r="I85" s="15" t="s">
        <v>248</v>
      </c>
      <c r="J85" s="15"/>
      <c r="K85" s="451">
        <v>0.1043</v>
      </c>
    </row>
    <row r="86" spans="1:11" x14ac:dyDescent="0.2">
      <c r="A86" s="131"/>
      <c r="B86" s="15"/>
      <c r="C86" s="15"/>
      <c r="D86" s="15"/>
      <c r="E86" s="15"/>
      <c r="F86" s="15"/>
      <c r="G86" s="15"/>
      <c r="I86" s="78"/>
      <c r="J86" s="15"/>
      <c r="K86" s="49"/>
    </row>
    <row r="87" spans="1:11" x14ac:dyDescent="0.2">
      <c r="A87" s="131"/>
      <c r="B87" s="46" t="s">
        <v>299</v>
      </c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">
      <c r="A88" s="131">
        <f>A85+1</f>
        <v>50</v>
      </c>
      <c r="B88" s="15" t="s">
        <v>64</v>
      </c>
      <c r="C88" s="15"/>
      <c r="D88" s="15"/>
      <c r="E88" s="15"/>
      <c r="F88" s="15"/>
      <c r="G88" s="15"/>
      <c r="I88" s="12" t="str">
        <f>"Line "&amp;A65&amp;" * Line "&amp;A78&amp;""</f>
        <v>Line 38 * Line 44</v>
      </c>
      <c r="J88" s="15"/>
      <c r="K88" s="49">
        <f>K65*K78</f>
        <v>2.4200786716907657E-2</v>
      </c>
    </row>
    <row r="89" spans="1:11" x14ac:dyDescent="0.2">
      <c r="A89" s="2">
        <f>A88+1</f>
        <v>51</v>
      </c>
      <c r="B89" s="685" t="s">
        <v>65</v>
      </c>
      <c r="C89" s="15"/>
      <c r="D89" s="15"/>
      <c r="E89" s="15"/>
      <c r="F89" s="15"/>
      <c r="G89" s="15"/>
      <c r="I89" s="12" t="str">
        <f>"Line "&amp;A70&amp;" * Line "&amp;A79&amp;""</f>
        <v>Line 41 * Line 45</v>
      </c>
      <c r="J89" s="15"/>
      <c r="K89" s="49">
        <f>K70*K79</f>
        <v>4.8889408457566032E-3</v>
      </c>
    </row>
    <row r="90" spans="1:11" x14ac:dyDescent="0.2">
      <c r="A90" s="2">
        <f>A89+1</f>
        <v>52</v>
      </c>
      <c r="B90" s="15" t="s">
        <v>66</v>
      </c>
      <c r="C90" s="15"/>
      <c r="D90" s="15"/>
      <c r="E90" s="15"/>
      <c r="F90" s="15"/>
      <c r="G90" s="15"/>
      <c r="I90" s="12" t="str">
        <f>"Line "&amp;A80&amp;" * Line "&amp;A85&amp;""</f>
        <v>Line 46 * Line 49</v>
      </c>
      <c r="J90" s="15"/>
      <c r="K90" s="50">
        <f>K80*K85</f>
        <v>5.0793368872086117E-2</v>
      </c>
    </row>
    <row r="91" spans="1:11" x14ac:dyDescent="0.2">
      <c r="A91" s="2">
        <f>A90+1</f>
        <v>53</v>
      </c>
      <c r="B91" s="47" t="s">
        <v>67</v>
      </c>
      <c r="C91" s="15"/>
      <c r="D91" s="15"/>
      <c r="E91" s="15"/>
      <c r="F91" s="15"/>
      <c r="G91" s="15"/>
      <c r="I91" s="12" t="str">
        <f>"Line "&amp;A88&amp;" + Line "&amp;A89&amp;" + Line "&amp;A90&amp;""</f>
        <v>Line 50 + Line 51 + Line 52</v>
      </c>
      <c r="J91" s="15"/>
      <c r="K91" s="49">
        <f>SUM(K88:K90)</f>
        <v>7.9883096434750375E-2</v>
      </c>
    </row>
    <row r="92" spans="1:11" x14ac:dyDescent="0.2">
      <c r="A92" s="131"/>
      <c r="B92" s="47"/>
      <c r="C92" s="15"/>
      <c r="D92" s="15"/>
      <c r="E92" s="15"/>
      <c r="F92" s="15"/>
      <c r="G92" s="15"/>
      <c r="I92" s="15"/>
      <c r="J92" s="15"/>
      <c r="K92" s="49"/>
    </row>
    <row r="93" spans="1:11" x14ac:dyDescent="0.2">
      <c r="A93" s="2">
        <f>A91+1</f>
        <v>54</v>
      </c>
      <c r="B93" s="47" t="s">
        <v>68</v>
      </c>
      <c r="C93" s="15"/>
      <c r="D93" s="15"/>
      <c r="E93" s="15"/>
      <c r="F93" s="15"/>
      <c r="G93" s="15"/>
      <c r="H93" s="15" t="s">
        <v>250</v>
      </c>
      <c r="I93" s="12" t="str">
        <f>"Line "&amp;A89&amp;" + Line "&amp;A90&amp;""</f>
        <v>Line 51 + Line 52</v>
      </c>
      <c r="J93" s="15"/>
      <c r="K93" s="49">
        <f>K89+K90</f>
        <v>5.5682309717842722E-2</v>
      </c>
    </row>
    <row r="94" spans="1:11" x14ac:dyDescent="0.2">
      <c r="A94" s="131"/>
      <c r="B94" s="15"/>
      <c r="C94" s="15"/>
      <c r="D94" s="15"/>
      <c r="E94" s="15"/>
      <c r="F94" s="15"/>
      <c r="G94" s="15"/>
      <c r="I94" s="15"/>
      <c r="J94" s="15"/>
      <c r="K94" s="49"/>
    </row>
    <row r="95" spans="1:11" x14ac:dyDescent="0.2">
      <c r="A95" s="2">
        <f>A93+1</f>
        <v>55</v>
      </c>
      <c r="B95" s="15" t="s">
        <v>69</v>
      </c>
      <c r="C95" s="15"/>
      <c r="D95" s="15"/>
      <c r="E95" s="15"/>
      <c r="F95" s="15"/>
      <c r="G95" s="15"/>
      <c r="I95" s="12" t="str">
        <f>"Line "&amp;A34&amp;" * Line "&amp;A91&amp;""</f>
        <v>Line 17 * Line 53</v>
      </c>
      <c r="J95" s="15"/>
      <c r="K95" s="48">
        <f>K34*K91</f>
        <v>327642607.87281036</v>
      </c>
    </row>
    <row r="96" spans="1:11" x14ac:dyDescent="0.2">
      <c r="A96" s="10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">
      <c r="A98" s="10" t="s">
        <v>206</v>
      </c>
      <c r="B98" s="11"/>
      <c r="C98" s="11"/>
      <c r="D98" s="11"/>
      <c r="E98" s="11"/>
      <c r="F98" s="11"/>
      <c r="G98" s="11"/>
      <c r="H98" s="9"/>
      <c r="I98" s="9"/>
      <c r="J98" s="9"/>
      <c r="K98" s="9"/>
    </row>
    <row r="100" spans="1:11" x14ac:dyDescent="0.2">
      <c r="A100" s="131">
        <f>A95+1</f>
        <v>56</v>
      </c>
      <c r="B100" t="s">
        <v>249</v>
      </c>
      <c r="I100" s="14" t="str">
        <f>"Tax Rates WS, Line "&amp;TaxRates!A7&amp;""</f>
        <v>Tax Rates WS, Line 1</v>
      </c>
      <c r="K100" s="75">
        <f>TaxRates!D7</f>
        <v>0.35</v>
      </c>
    </row>
    <row r="101" spans="1:11" x14ac:dyDescent="0.2">
      <c r="A101" s="2">
        <f>A100+1</f>
        <v>57</v>
      </c>
      <c r="B101" s="12" t="s">
        <v>298</v>
      </c>
      <c r="I101" s="14" t="str">
        <f>"Tax Rates WS, Line "&amp;TaxRates!A14&amp;""</f>
        <v>Tax Rates WS, Line 8</v>
      </c>
      <c r="K101" s="75">
        <f>TaxRates!D14</f>
        <v>7.5938895450750804E-2</v>
      </c>
    </row>
    <row r="102" spans="1:11" x14ac:dyDescent="0.2">
      <c r="A102" s="2">
        <f>A101+1</f>
        <v>58</v>
      </c>
      <c r="B102" s="12" t="s">
        <v>297</v>
      </c>
      <c r="H102" s="54" t="s">
        <v>2117</v>
      </c>
      <c r="I102" s="12" t="str">
        <f>"(L"&amp;A100&amp;" + L"&amp;A101&amp;") - (L"&amp;A100&amp;" * L"&amp;A101&amp;")"</f>
        <v>(L56 + L57) - (L56 * L57)</v>
      </c>
      <c r="K102" s="8">
        <f>(K100+K101)-(K100*K101)</f>
        <v>0.39936028204298801</v>
      </c>
    </row>
    <row r="103" spans="1:11" x14ac:dyDescent="0.2">
      <c r="A103" s="2"/>
      <c r="K103" s="8"/>
    </row>
    <row r="104" spans="1:11" x14ac:dyDescent="0.2">
      <c r="A104" s="2"/>
      <c r="B104" s="85" t="s">
        <v>300</v>
      </c>
      <c r="K104" s="8"/>
    </row>
    <row r="105" spans="1:11" x14ac:dyDescent="0.2">
      <c r="A105" s="131">
        <f>A102+1</f>
        <v>59</v>
      </c>
      <c r="B105" s="52" t="s">
        <v>255</v>
      </c>
      <c r="H105" s="12" t="s">
        <v>419</v>
      </c>
      <c r="I105" s="14"/>
      <c r="K105" s="67">
        <v>200</v>
      </c>
    </row>
    <row r="106" spans="1:11" x14ac:dyDescent="0.2">
      <c r="A106" s="2">
        <f>A105+1</f>
        <v>60</v>
      </c>
      <c r="B106" s="52" t="s">
        <v>256</v>
      </c>
      <c r="H106" s="12" t="s">
        <v>419</v>
      </c>
      <c r="I106" s="14"/>
      <c r="K106" s="67">
        <v>-520000</v>
      </c>
    </row>
    <row r="107" spans="1:11" x14ac:dyDescent="0.2">
      <c r="A107" s="2">
        <f>A106+1</f>
        <v>61</v>
      </c>
      <c r="B107" s="52" t="s">
        <v>302</v>
      </c>
      <c r="H107" s="12" t="s">
        <v>419</v>
      </c>
      <c r="I107" s="14"/>
      <c r="K107" s="121">
        <v>2606000</v>
      </c>
    </row>
    <row r="108" spans="1:11" x14ac:dyDescent="0.2">
      <c r="A108" s="2">
        <f>A107+1</f>
        <v>62</v>
      </c>
      <c r="B108" s="13" t="s">
        <v>301</v>
      </c>
      <c r="I108" s="12" t="str">
        <f>"Line "&amp;A105&amp;" + Line "&amp;A106&amp;"+ Line "&amp;A107&amp;""</f>
        <v>Line 59 + Line 60+ Line 61</v>
      </c>
      <c r="K108" s="7">
        <f>SUM(K105:K107)</f>
        <v>2086200</v>
      </c>
    </row>
    <row r="109" spans="1:11" x14ac:dyDescent="0.2">
      <c r="A109" s="2"/>
    </row>
    <row r="110" spans="1:11" x14ac:dyDescent="0.2">
      <c r="A110" s="2">
        <f>A108+1</f>
        <v>63</v>
      </c>
      <c r="B110" s="12" t="s">
        <v>304</v>
      </c>
      <c r="I110" t="str">
        <f>"Formula on Line "&amp;A112&amp;""</f>
        <v>Formula on Line 64</v>
      </c>
      <c r="K110" s="7">
        <f>((K34*K93)*(K102/(1-K102)))+(K108/(1-K102))</f>
        <v>155322860.46279377</v>
      </c>
    </row>
    <row r="111" spans="1:11" x14ac:dyDescent="0.2">
      <c r="A111" s="2"/>
    </row>
    <row r="112" spans="1:11" x14ac:dyDescent="0.2">
      <c r="A112" s="2">
        <f>A110+1</f>
        <v>64</v>
      </c>
      <c r="B112" s="683" t="s">
        <v>2116</v>
      </c>
    </row>
    <row r="113" spans="1:11" x14ac:dyDescent="0.2">
      <c r="A113" s="64"/>
      <c r="I113" s="12"/>
    </row>
    <row r="114" spans="1:11" x14ac:dyDescent="0.2">
      <c r="A114" s="64"/>
      <c r="C114" t="s">
        <v>251</v>
      </c>
    </row>
    <row r="115" spans="1:11" x14ac:dyDescent="0.2">
      <c r="A115" s="64"/>
      <c r="C115" s="16" t="s">
        <v>252</v>
      </c>
    </row>
    <row r="116" spans="1:11" x14ac:dyDescent="0.2">
      <c r="A116" s="64"/>
      <c r="C116" s="13" t="s">
        <v>303</v>
      </c>
    </row>
    <row r="117" spans="1:11" x14ac:dyDescent="0.2">
      <c r="A117" s="64"/>
      <c r="C117" s="16" t="s">
        <v>253</v>
      </c>
    </row>
    <row r="118" spans="1:11" x14ac:dyDescent="0.2">
      <c r="A118" s="64"/>
      <c r="C118" s="16" t="s">
        <v>254</v>
      </c>
    </row>
    <row r="120" spans="1:11" x14ac:dyDescent="0.2">
      <c r="A120" s="10" t="s">
        <v>78</v>
      </c>
      <c r="B120" s="11"/>
      <c r="C120" s="11"/>
      <c r="D120" s="11"/>
      <c r="E120" s="11"/>
      <c r="F120" s="11"/>
      <c r="G120" s="11"/>
      <c r="H120" s="9"/>
      <c r="I120" s="9"/>
      <c r="J120" s="9"/>
      <c r="K120" s="9"/>
    </row>
    <row r="122" spans="1:11" x14ac:dyDescent="0.2">
      <c r="B122" s="85" t="s">
        <v>305</v>
      </c>
    </row>
    <row r="123" spans="1:11" x14ac:dyDescent="0.2">
      <c r="A123" s="2">
        <f>A112+1</f>
        <v>65</v>
      </c>
      <c r="B123" t="s">
        <v>119</v>
      </c>
      <c r="H123" s="16"/>
      <c r="I123" s="14" t="str">
        <f>"OandM WS, Line "&amp;OandM!A168&amp;", Col. 6"</f>
        <v>OandM WS, Line 135, Col. 6</v>
      </c>
      <c r="K123" s="67">
        <f>OandM!G168</f>
        <v>90226737.837657154</v>
      </c>
    </row>
    <row r="124" spans="1:11" x14ac:dyDescent="0.2">
      <c r="A124" s="2">
        <f t="shared" ref="A124:A138" si="1">A123+1</f>
        <v>66</v>
      </c>
      <c r="B124" s="12" t="s">
        <v>306</v>
      </c>
      <c r="H124" s="16"/>
      <c r="I124" s="14" t="str">
        <f>"AandG WS, Line "&amp;AandG!A30&amp;""</f>
        <v>AandG WS, Line 23</v>
      </c>
      <c r="K124" s="67">
        <f>AandG!F30</f>
        <v>35105044.300720058</v>
      </c>
    </row>
    <row r="125" spans="1:11" x14ac:dyDescent="0.2">
      <c r="A125" s="2">
        <f t="shared" si="1"/>
        <v>67</v>
      </c>
      <c r="B125" t="s">
        <v>71</v>
      </c>
      <c r="H125" s="16"/>
      <c r="I125" s="12" t="str">
        <f>"NUCs WS, Line "&amp;NUCs!A19&amp;""</f>
        <v>NUCs WS, Line 10</v>
      </c>
      <c r="K125" s="7">
        <f>NUCs!E19</f>
        <v>617891</v>
      </c>
    </row>
    <row r="126" spans="1:11" x14ac:dyDescent="0.2">
      <c r="A126" s="2">
        <f t="shared" si="1"/>
        <v>68</v>
      </c>
      <c r="B126" s="12" t="s">
        <v>290</v>
      </c>
      <c r="H126" s="16"/>
      <c r="I126" s="14" t="str">
        <f>"Depreciation WS, Line "&amp;Depreciation!A81&amp;""</f>
        <v>Depreciation WS, Line 70</v>
      </c>
      <c r="K126" s="7">
        <f>Depreciation!F81</f>
        <v>109572089.44492379</v>
      </c>
    </row>
    <row r="127" spans="1:11" x14ac:dyDescent="0.2">
      <c r="A127" s="2">
        <f t="shared" si="1"/>
        <v>69</v>
      </c>
      <c r="B127" s="12" t="s">
        <v>339</v>
      </c>
      <c r="H127" s="16"/>
      <c r="I127" s="14" t="str">
        <f>"AbandonedPlant WS, Line "&amp;AbandonedPlant!A14&amp;""</f>
        <v>AbandonedPlant WS, Line 1</v>
      </c>
      <c r="K127" s="7">
        <f>AbandonedPlant!G14</f>
        <v>11028000</v>
      </c>
    </row>
    <row r="128" spans="1:11" x14ac:dyDescent="0.2">
      <c r="A128" s="2">
        <f t="shared" si="1"/>
        <v>70</v>
      </c>
      <c r="B128" s="12" t="s">
        <v>95</v>
      </c>
      <c r="H128" s="16"/>
      <c r="I128" t="str">
        <f>"Line "&amp;A58&amp;""</f>
        <v>Line 35</v>
      </c>
      <c r="K128" s="7">
        <f>K58</f>
        <v>24850168.295183785</v>
      </c>
    </row>
    <row r="129" spans="1:11" x14ac:dyDescent="0.2">
      <c r="A129" s="2">
        <f t="shared" si="1"/>
        <v>71</v>
      </c>
      <c r="B129" t="s">
        <v>11</v>
      </c>
      <c r="H129" s="47" t="s">
        <v>175</v>
      </c>
      <c r="I129" s="14" t="str">
        <f>"Revenue Credits WS, Line "&amp;RevenueCredits!A215&amp;""</f>
        <v>Revenue Credits WS, Line 45</v>
      </c>
      <c r="J129" s="14"/>
      <c r="K129" s="67">
        <f>-RevenueCredits!E215</f>
        <v>-49609866.430026509</v>
      </c>
    </row>
    <row r="130" spans="1:11" x14ac:dyDescent="0.2">
      <c r="A130" s="2">
        <f t="shared" si="1"/>
        <v>72</v>
      </c>
      <c r="B130" t="s">
        <v>104</v>
      </c>
      <c r="H130" s="16"/>
      <c r="I130" t="str">
        <f>"Line "&amp;A95&amp;""</f>
        <v>Line 55</v>
      </c>
      <c r="K130" s="7">
        <f>K95</f>
        <v>327642607.87281036</v>
      </c>
    </row>
    <row r="131" spans="1:11" x14ac:dyDescent="0.2">
      <c r="A131" s="2">
        <f t="shared" si="1"/>
        <v>73</v>
      </c>
      <c r="B131" t="s">
        <v>5</v>
      </c>
      <c r="H131" s="16"/>
      <c r="I131" t="str">
        <f>"Line "&amp;A110&amp;""</f>
        <v>Line 63</v>
      </c>
      <c r="K131" s="120">
        <f>K110</f>
        <v>155322860.46279377</v>
      </c>
    </row>
    <row r="132" spans="1:11" x14ac:dyDescent="0.2">
      <c r="A132" s="2">
        <f t="shared" si="1"/>
        <v>74</v>
      </c>
      <c r="B132" t="s">
        <v>1124</v>
      </c>
      <c r="H132" s="13" t="s">
        <v>1406</v>
      </c>
      <c r="I132" s="12" t="str">
        <f>"PHFU WS, Line "&amp;PHFU!A46&amp;""</f>
        <v>PHFU WS, Line 10</v>
      </c>
      <c r="K132" s="48">
        <f>-PHFU!E46</f>
        <v>0</v>
      </c>
    </row>
    <row r="133" spans="1:11" x14ac:dyDescent="0.2">
      <c r="A133" s="2">
        <f t="shared" si="1"/>
        <v>75</v>
      </c>
      <c r="B133" t="s">
        <v>416</v>
      </c>
      <c r="H133" s="16"/>
      <c r="I133" s="12" t="str">
        <f>"RegAssets WS, Line "&amp;RegAssets!A19&amp;""</f>
        <v>RegAssets WS, Line 16</v>
      </c>
      <c r="K133" s="48">
        <f>RegAssets!E19</f>
        <v>0</v>
      </c>
    </row>
    <row r="134" spans="1:11" x14ac:dyDescent="0.2">
      <c r="A134" s="673">
        <f t="shared" si="1"/>
        <v>76</v>
      </c>
      <c r="B134" s="12" t="s">
        <v>307</v>
      </c>
      <c r="H134" s="16"/>
      <c r="I134" s="14" t="str">
        <f>"IncentiveAdder WS, Line "&amp;IncentiveAdder!A44&amp;""</f>
        <v>IncentiveAdder WS, Line 14</v>
      </c>
      <c r="K134" s="107">
        <f>IncentiveAdder!G44</f>
        <v>23769898.059655547</v>
      </c>
    </row>
    <row r="135" spans="1:11" x14ac:dyDescent="0.2">
      <c r="A135" s="673">
        <f t="shared" si="1"/>
        <v>77</v>
      </c>
      <c r="B135" s="12" t="s">
        <v>1805</v>
      </c>
      <c r="H135" s="16"/>
      <c r="I135" s="14" t="str">
        <f>"Sum of Lines "&amp;A123&amp;" to "&amp;A134&amp;""</f>
        <v>Sum of Lines 65 to 76</v>
      </c>
      <c r="K135" s="7">
        <f>SUM(K123:K134)</f>
        <v>728525430.84371793</v>
      </c>
    </row>
    <row r="136" spans="1:11" x14ac:dyDescent="0.2">
      <c r="A136" s="673"/>
      <c r="B136" s="12"/>
      <c r="H136" s="16"/>
      <c r="I136" s="14"/>
      <c r="K136" s="7"/>
    </row>
    <row r="137" spans="1:11" x14ac:dyDescent="0.2">
      <c r="A137" s="673">
        <f>A135+1</f>
        <v>78</v>
      </c>
      <c r="B137" s="12" t="s">
        <v>333</v>
      </c>
      <c r="I137" t="str">
        <f>"Line "&amp;A135&amp;" * FF (from FFU WS)"</f>
        <v>Line 77 * FF (from FFU WS)</v>
      </c>
      <c r="K137" s="7">
        <f>FFU!D20*K135</f>
        <v>6660762.309117944</v>
      </c>
    </row>
    <row r="138" spans="1:11" x14ac:dyDescent="0.2">
      <c r="A138" s="673">
        <f t="shared" si="1"/>
        <v>79</v>
      </c>
      <c r="B138" s="12" t="s">
        <v>332</v>
      </c>
      <c r="I138" t="str">
        <f>"Line "&amp;A135&amp;" * U (from FFU WS)"</f>
        <v>Line 77 * U (from FFU WS)</v>
      </c>
      <c r="K138" s="7">
        <f>FFU!E20*K135</f>
        <v>1496536.9400391653</v>
      </c>
    </row>
    <row r="139" spans="1:11" x14ac:dyDescent="0.2">
      <c r="A139" s="673"/>
      <c r="B139" s="12"/>
      <c r="K139" s="7"/>
    </row>
    <row r="140" spans="1:11" x14ac:dyDescent="0.2">
      <c r="A140" s="673">
        <f>A138+1</f>
        <v>80</v>
      </c>
      <c r="B140" s="12" t="s">
        <v>113</v>
      </c>
      <c r="I140" t="str">
        <f>"Line "&amp;A135&amp;" + Line "&amp;A137&amp;"+ Line "&amp;A138&amp;""</f>
        <v>Line 77 + Line 78+ Line 79</v>
      </c>
      <c r="K140" s="7">
        <f>K135+K137+K138</f>
        <v>736682730.092875</v>
      </c>
    </row>
    <row r="142" spans="1:11" x14ac:dyDescent="0.2">
      <c r="A142" s="10" t="s">
        <v>308</v>
      </c>
      <c r="B142" s="11"/>
      <c r="C142" s="11"/>
      <c r="D142" s="11"/>
      <c r="E142" s="11"/>
      <c r="F142" s="11"/>
      <c r="G142" s="11"/>
      <c r="H142" s="9"/>
      <c r="I142" s="9"/>
      <c r="J142" s="9"/>
      <c r="K142" s="9"/>
    </row>
    <row r="144" spans="1:11" x14ac:dyDescent="0.2">
      <c r="B144" s="85" t="s">
        <v>2083</v>
      </c>
    </row>
    <row r="145" spans="1:11" x14ac:dyDescent="0.2">
      <c r="A145" s="2">
        <f>A140+1</f>
        <v>81</v>
      </c>
      <c r="B145" t="s">
        <v>113</v>
      </c>
      <c r="I145" t="str">
        <f>"Line "&amp;A140&amp;""</f>
        <v>Line 80</v>
      </c>
      <c r="K145" s="7">
        <f>K140</f>
        <v>736682730.092875</v>
      </c>
    </row>
    <row r="146" spans="1:11" x14ac:dyDescent="0.2">
      <c r="A146" s="2">
        <f>A145+1</f>
        <v>82</v>
      </c>
      <c r="B146" t="s">
        <v>368</v>
      </c>
      <c r="I146" s="12" t="str">
        <f>"IFPTRR WS, Line "&amp;IFPTRR!A90&amp;""</f>
        <v>IFPTRR WS, Line 81</v>
      </c>
      <c r="K146" s="7">
        <f>IFPTRR!D90</f>
        <v>274180465.72962672</v>
      </c>
    </row>
    <row r="147" spans="1:11" x14ac:dyDescent="0.2">
      <c r="A147" s="2">
        <f>A146+1</f>
        <v>83</v>
      </c>
      <c r="B147" s="12" t="s">
        <v>31</v>
      </c>
      <c r="H147" s="12" t="s">
        <v>1420</v>
      </c>
      <c r="I147" s="12" t="str">
        <f>"TrueUpAdjust WS, Line "&amp;TrueUpAdjust!A73&amp;""</f>
        <v>TrueUpAdjust WS, Line 60</v>
      </c>
      <c r="K147" s="120">
        <f>IF(E148="Yes",0,TrueUpAdjust!E73)</f>
        <v>-103092737.50408728</v>
      </c>
    </row>
    <row r="148" spans="1:11" x14ac:dyDescent="0.2">
      <c r="A148" s="2">
        <f t="shared" ref="A148:A149" si="2">A147+1</f>
        <v>84</v>
      </c>
      <c r="B148" s="12"/>
      <c r="D148" s="110" t="s">
        <v>1473</v>
      </c>
      <c r="E148" s="694" t="s">
        <v>261</v>
      </c>
      <c r="F148" s="12" t="s">
        <v>1474</v>
      </c>
      <c r="I148" s="12"/>
      <c r="K148" s="120"/>
    </row>
    <row r="149" spans="1:11" x14ac:dyDescent="0.2">
      <c r="A149" s="2">
        <f t="shared" si="2"/>
        <v>85</v>
      </c>
      <c r="B149" s="683" t="s">
        <v>1865</v>
      </c>
      <c r="H149" s="12" t="s">
        <v>1435</v>
      </c>
      <c r="K149" s="141">
        <v>0</v>
      </c>
    </row>
    <row r="150" spans="1:11" x14ac:dyDescent="0.2">
      <c r="A150" s="2"/>
      <c r="K150" s="7"/>
    </row>
    <row r="151" spans="1:11" x14ac:dyDescent="0.2">
      <c r="A151" s="2">
        <f>A149+1</f>
        <v>86</v>
      </c>
      <c r="B151" s="683" t="s">
        <v>2081</v>
      </c>
      <c r="H151" s="12" t="s">
        <v>309</v>
      </c>
      <c r="I151" t="str">
        <f>"L "&amp;A145&amp;" + L "&amp;A146&amp;" + L "&amp;A147&amp;" + L "&amp;A149&amp;""</f>
        <v>L 81 + L 82 + L 83 + L 85</v>
      </c>
      <c r="K151" s="7">
        <f>K145+K146+K147+K149</f>
        <v>907770458.31841433</v>
      </c>
    </row>
    <row r="152" spans="1:11" x14ac:dyDescent="0.2">
      <c r="A152" s="2"/>
      <c r="K152" s="7"/>
    </row>
    <row r="153" spans="1:11" x14ac:dyDescent="0.2">
      <c r="A153" s="2"/>
      <c r="B153" s="85" t="s">
        <v>2082</v>
      </c>
      <c r="K153" s="7"/>
    </row>
    <row r="154" spans="1:11" x14ac:dyDescent="0.2">
      <c r="A154" s="2">
        <f>A151+1</f>
        <v>87</v>
      </c>
      <c r="B154" t="s">
        <v>1708</v>
      </c>
      <c r="I154" t="str">
        <f>"Line "&amp;A151&amp;""</f>
        <v>Line 86</v>
      </c>
      <c r="K154" s="7">
        <f>K151</f>
        <v>907770458.31841433</v>
      </c>
    </row>
    <row r="155" spans="1:11" x14ac:dyDescent="0.2">
      <c r="A155" s="2">
        <f>A154+1</f>
        <v>88</v>
      </c>
      <c r="B155" t="s">
        <v>1707</v>
      </c>
      <c r="I155" s="12" t="str">
        <f>"WholesaleDifference WS, Line "&amp;WholesaleDifference!A80&amp;""</f>
        <v>WholesaleDifference WS, Line 34</v>
      </c>
      <c r="K155" s="107">
        <f>WholesaleDifference!H80</f>
        <v>-5802443.9571300671</v>
      </c>
    </row>
    <row r="156" spans="1:11" x14ac:dyDescent="0.2">
      <c r="A156" s="2">
        <f>A155+1</f>
        <v>89</v>
      </c>
      <c r="B156" t="s">
        <v>2082</v>
      </c>
      <c r="I156" t="str">
        <f>"Line "&amp;A154&amp;" + Line "&amp;A155&amp;""</f>
        <v>Line 87 + Line 88</v>
      </c>
      <c r="K156" s="7">
        <f>K154+K155</f>
        <v>901968014.36128426</v>
      </c>
    </row>
    <row r="157" spans="1:11" x14ac:dyDescent="0.2">
      <c r="H157" s="12"/>
    </row>
    <row r="159" spans="1:11" x14ac:dyDescent="0.2">
      <c r="B159" s="53" t="s">
        <v>269</v>
      </c>
    </row>
    <row r="160" spans="1:11" x14ac:dyDescent="0.2">
      <c r="B160" s="683" t="s">
        <v>2124</v>
      </c>
    </row>
    <row r="161" spans="2:2" x14ac:dyDescent="0.2">
      <c r="B161" s="683" t="s">
        <v>2125</v>
      </c>
    </row>
    <row r="162" spans="2:2" x14ac:dyDescent="0.2">
      <c r="B162" s="12" t="s">
        <v>1806</v>
      </c>
    </row>
    <row r="163" spans="2:2" x14ac:dyDescent="0.2">
      <c r="B163" s="12" t="s">
        <v>1781</v>
      </c>
    </row>
    <row r="164" spans="2:2" x14ac:dyDescent="0.2">
      <c r="B164" s="683" t="s">
        <v>2126</v>
      </c>
    </row>
  </sheetData>
  <phoneticPr fontId="8" type="noConversion"/>
  <pageMargins left="0.75" right="0.75" top="1" bottom="1" header="0.5" footer="0.5"/>
  <pageSetup scale="68" orientation="portrait" r:id="rId1"/>
  <headerFooter alignWithMargins="0">
    <oddHeader xml:space="preserve">&amp;CSchedule 1
Base TRR&amp;RDkt. No. ER11-3697
2014 Draft Informational Filing
</oddHeader>
    <oddFooter>&amp;R&amp;A</oddFooter>
  </headerFooter>
  <rowBreaks count="2" manualBreakCount="2">
    <brk id="59" max="16383" man="1"/>
    <brk id="119" max="16383" man="1"/>
  </rowBreaks>
  <colBreaks count="1" manualBreakCount="1">
    <brk id="11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B1" zoomScaleNormal="100" workbookViewId="0">
      <selection activeCell="C12" sqref="C12"/>
    </sheetView>
  </sheetViews>
  <sheetFormatPr defaultRowHeight="12.75" x14ac:dyDescent="0.2"/>
  <cols>
    <col min="1" max="2" width="4.7109375" customWidth="1"/>
    <col min="3" max="3" width="40.7109375" customWidth="1"/>
    <col min="4" max="4" width="20.7109375" customWidth="1"/>
    <col min="5" max="5" width="28.7109375" customWidth="1"/>
    <col min="6" max="6" width="2.7109375" customWidth="1"/>
    <col min="7" max="7" width="16.7109375" customWidth="1"/>
  </cols>
  <sheetData>
    <row r="1" spans="1:9" x14ac:dyDescent="0.2">
      <c r="A1" s="1" t="s">
        <v>232</v>
      </c>
      <c r="B1" s="1"/>
    </row>
    <row r="2" spans="1:9" x14ac:dyDescent="0.2">
      <c r="A2" s="1"/>
      <c r="B2" s="1"/>
      <c r="E2" s="113" t="s">
        <v>19</v>
      </c>
    </row>
    <row r="3" spans="1:9" x14ac:dyDescent="0.2">
      <c r="G3" s="117"/>
    </row>
    <row r="4" spans="1:9" x14ac:dyDescent="0.2">
      <c r="A4" s="2"/>
      <c r="B4" s="1" t="s">
        <v>1368</v>
      </c>
      <c r="G4" s="117"/>
    </row>
    <row r="5" spans="1:9" x14ac:dyDescent="0.2">
      <c r="A5" s="2"/>
      <c r="C5" s="1"/>
      <c r="D5" s="2"/>
      <c r="E5" s="2" t="s">
        <v>197</v>
      </c>
      <c r="G5" s="4" t="s">
        <v>79</v>
      </c>
    </row>
    <row r="6" spans="1:9" x14ac:dyDescent="0.2">
      <c r="A6" s="53" t="s">
        <v>380</v>
      </c>
      <c r="C6" s="1"/>
      <c r="D6" s="3" t="s">
        <v>196</v>
      </c>
      <c r="E6" s="3" t="s">
        <v>198</v>
      </c>
      <c r="G6" s="3" t="s">
        <v>199</v>
      </c>
    </row>
    <row r="7" spans="1:9" x14ac:dyDescent="0.2">
      <c r="A7" s="2">
        <v>1</v>
      </c>
      <c r="C7" s="71" t="s">
        <v>383</v>
      </c>
      <c r="E7" s="12" t="str">
        <f>"OandM WS Line "&amp;OandM!A168&amp;", Col. 7"</f>
        <v>OandM WS Line 135, Col. 7</v>
      </c>
      <c r="G7" s="7">
        <f>OandM!H168</f>
        <v>36071973.310523689</v>
      </c>
      <c r="I7" s="12"/>
    </row>
    <row r="8" spans="1:9" x14ac:dyDescent="0.2">
      <c r="A8" s="2">
        <f>A7+1</f>
        <v>2</v>
      </c>
      <c r="C8" s="71" t="s">
        <v>276</v>
      </c>
      <c r="E8" s="12" t="s">
        <v>330</v>
      </c>
      <c r="G8" s="6">
        <v>1105580075</v>
      </c>
    </row>
    <row r="9" spans="1:9" x14ac:dyDescent="0.2">
      <c r="A9" s="2">
        <f t="shared" ref="A9:A28" si="0">A8+1</f>
        <v>3</v>
      </c>
      <c r="C9" s="5" t="s">
        <v>277</v>
      </c>
      <c r="E9" s="12" t="s">
        <v>331</v>
      </c>
      <c r="G9" s="6">
        <v>272353922</v>
      </c>
    </row>
    <row r="10" spans="1:9" x14ac:dyDescent="0.2">
      <c r="A10" s="2">
        <f t="shared" si="0"/>
        <v>4</v>
      </c>
      <c r="C10" s="71" t="s">
        <v>1374</v>
      </c>
      <c r="E10" s="12" t="str">
        <f>"Line "&amp;A8&amp;" - Line "&amp;A9&amp;""</f>
        <v>Line 2 - Line 3</v>
      </c>
      <c r="G10" s="7">
        <f>G8-G9</f>
        <v>833226153</v>
      </c>
    </row>
    <row r="11" spans="1:9" x14ac:dyDescent="0.2">
      <c r="A11" s="2">
        <f t="shared" si="0"/>
        <v>5</v>
      </c>
      <c r="C11" s="71" t="s">
        <v>1375</v>
      </c>
      <c r="E11" s="12" t="str">
        <f>"AandG WS, Note 2"</f>
        <v>AandG WS, Note 2</v>
      </c>
      <c r="G11" s="67">
        <f>AandG!E64</f>
        <v>137082002</v>
      </c>
      <c r="I11" s="12"/>
    </row>
    <row r="12" spans="1:9" x14ac:dyDescent="0.2">
      <c r="A12" s="2">
        <f t="shared" si="0"/>
        <v>6</v>
      </c>
      <c r="C12" s="5" t="s">
        <v>1376</v>
      </c>
      <c r="E12" s="12" t="str">
        <f>"AandG WS, Note 2"</f>
        <v>AandG WS, Note 2</v>
      </c>
      <c r="G12" s="120">
        <f>AandG!E60</f>
        <v>52698178</v>
      </c>
    </row>
    <row r="13" spans="1:9" x14ac:dyDescent="0.2">
      <c r="A13" s="2">
        <f t="shared" si="0"/>
        <v>7</v>
      </c>
      <c r="C13" s="71" t="s">
        <v>1377</v>
      </c>
      <c r="E13" s="12" t="str">
        <f>"Line "&amp;A11&amp;" - Line "&amp;A12&amp;""</f>
        <v>Line 5 - Line 6</v>
      </c>
      <c r="G13" s="7">
        <f>G11-G12</f>
        <v>84383824</v>
      </c>
    </row>
    <row r="14" spans="1:9" x14ac:dyDescent="0.2">
      <c r="A14" s="2">
        <f t="shared" si="0"/>
        <v>8</v>
      </c>
      <c r="C14" s="71" t="s">
        <v>1378</v>
      </c>
      <c r="E14" s="12" t="str">
        <f>"Line "&amp;A10&amp;" + Line "&amp;A13&amp;""</f>
        <v>Line 4 + Line 7</v>
      </c>
      <c r="G14" s="7">
        <f>G10+G13</f>
        <v>917609977</v>
      </c>
    </row>
    <row r="15" spans="1:9" x14ac:dyDescent="0.2">
      <c r="A15" s="2">
        <f t="shared" si="0"/>
        <v>9</v>
      </c>
      <c r="C15" t="s">
        <v>230</v>
      </c>
      <c r="E15" s="12" t="str">
        <f>"Line "&amp;A7&amp;" / Line "&amp;A14&amp;""</f>
        <v>Line 1 / Line 8</v>
      </c>
      <c r="G15" s="8">
        <f>G7/G14</f>
        <v>3.9310790220978262E-2</v>
      </c>
    </row>
    <row r="16" spans="1:9" x14ac:dyDescent="0.2">
      <c r="A16" s="2">
        <f t="shared" si="0"/>
        <v>10</v>
      </c>
    </row>
    <row r="17" spans="1:8" x14ac:dyDescent="0.2">
      <c r="A17" s="2">
        <f t="shared" si="0"/>
        <v>11</v>
      </c>
      <c r="B17" s="1" t="s">
        <v>1369</v>
      </c>
      <c r="G17" s="117"/>
    </row>
    <row r="18" spans="1:8" x14ac:dyDescent="0.2">
      <c r="A18" s="2">
        <f t="shared" si="0"/>
        <v>12</v>
      </c>
      <c r="D18" s="2"/>
      <c r="E18" s="2" t="s">
        <v>197</v>
      </c>
      <c r="G18" s="4" t="s">
        <v>79</v>
      </c>
    </row>
    <row r="19" spans="1:8" x14ac:dyDescent="0.2">
      <c r="A19" s="2">
        <f t="shared" si="0"/>
        <v>13</v>
      </c>
      <c r="D19" s="3" t="s">
        <v>196</v>
      </c>
      <c r="E19" s="3" t="s">
        <v>198</v>
      </c>
      <c r="G19" s="3" t="s">
        <v>199</v>
      </c>
    </row>
    <row r="20" spans="1:8" x14ac:dyDescent="0.2">
      <c r="A20" s="2">
        <f t="shared" si="0"/>
        <v>14</v>
      </c>
      <c r="C20" t="s">
        <v>384</v>
      </c>
      <c r="E20" s="12" t="str">
        <f>"PlantStudy WS, Line "&amp;PlantStudy!A28&amp;""</f>
        <v>PlantStudy WS, Line 21</v>
      </c>
      <c r="G20" s="67">
        <f>PlantStudy!E28</f>
        <v>3928567629.4980063</v>
      </c>
    </row>
    <row r="21" spans="1:8" x14ac:dyDescent="0.2">
      <c r="A21" s="2">
        <f t="shared" si="0"/>
        <v>15</v>
      </c>
      <c r="C21" t="s">
        <v>385</v>
      </c>
      <c r="E21" s="12" t="str">
        <f>"PlantStudy WS, Line "&amp;PlantStudy!A42&amp;""</f>
        <v>PlantStudy WS, Line 30</v>
      </c>
      <c r="G21" s="67">
        <f>PlantStudy!E42</f>
        <v>6848749.5105547179</v>
      </c>
    </row>
    <row r="22" spans="1:8" x14ac:dyDescent="0.2">
      <c r="A22" s="2">
        <f t="shared" si="0"/>
        <v>16</v>
      </c>
      <c r="C22" t="s">
        <v>74</v>
      </c>
      <c r="E22" s="12" t="str">
        <f>"PlantInService WS, Line "&amp;PlantInService!A54&amp;", C2"</f>
        <v>PlantInService WS, Line 21, C2</v>
      </c>
      <c r="G22" s="67">
        <f>PlantInService!G54</f>
        <v>1688953361</v>
      </c>
      <c r="H22" s="117"/>
    </row>
    <row r="23" spans="1:8" x14ac:dyDescent="0.2">
      <c r="A23" s="2">
        <f t="shared" si="0"/>
        <v>17</v>
      </c>
      <c r="C23" t="s">
        <v>75</v>
      </c>
      <c r="E23" t="str">
        <f>"Line "&amp;A22&amp;" * Line "&amp;A15&amp;""</f>
        <v>Line 16 * Line 9</v>
      </c>
      <c r="G23" s="67">
        <f>G22*G15</f>
        <v>66394091.267287165</v>
      </c>
    </row>
    <row r="24" spans="1:8" x14ac:dyDescent="0.2">
      <c r="A24" s="2">
        <f t="shared" si="0"/>
        <v>18</v>
      </c>
      <c r="C24" t="s">
        <v>73</v>
      </c>
      <c r="E24" s="12" t="str">
        <f>"PlantInService WS, Line "&amp;PlantInService!A54&amp;", C1"</f>
        <v>PlantInService WS, Line 21, C1</v>
      </c>
      <c r="G24" s="67">
        <f>PlantInService!F54</f>
        <v>2405863603</v>
      </c>
    </row>
    <row r="25" spans="1:8" x14ac:dyDescent="0.2">
      <c r="A25" s="2">
        <f t="shared" si="0"/>
        <v>19</v>
      </c>
      <c r="C25" t="s">
        <v>192</v>
      </c>
      <c r="E25" t="str">
        <f>"Line "&amp;A24&amp;" * Line "&amp;A15&amp;""</f>
        <v>Line 18 * Line 9</v>
      </c>
      <c r="G25" s="67">
        <f>G24*G15</f>
        <v>94576399.397819921</v>
      </c>
    </row>
    <row r="26" spans="1:8" x14ac:dyDescent="0.2">
      <c r="A26" s="2">
        <f t="shared" si="0"/>
        <v>20</v>
      </c>
      <c r="C26" s="12" t="s">
        <v>1372</v>
      </c>
      <c r="E26" t="s">
        <v>36</v>
      </c>
      <c r="G26" s="6">
        <v>38274808694</v>
      </c>
    </row>
    <row r="27" spans="1:8" x14ac:dyDescent="0.2">
      <c r="A27" s="2">
        <f t="shared" si="0"/>
        <v>21</v>
      </c>
      <c r="G27" s="117"/>
    </row>
    <row r="28" spans="1:8" x14ac:dyDescent="0.2">
      <c r="A28" s="2">
        <f t="shared" si="0"/>
        <v>22</v>
      </c>
      <c r="C28" t="s">
        <v>72</v>
      </c>
      <c r="E28" s="12" t="str">
        <f>"(L"&amp;A20&amp;" + L"&amp;A21&amp;" + L"&amp;A23&amp;" + L"&amp;A25&amp;") / L"&amp;A26&amp;""</f>
        <v>(L14 + L15 + L17 + L19) / L20</v>
      </c>
      <c r="G28" s="8">
        <f>(G20+G21+G23+G25)/G26</f>
        <v>0.10702566542980063</v>
      </c>
    </row>
    <row r="29" spans="1:8" x14ac:dyDescent="0.2">
      <c r="A29" s="2"/>
      <c r="E29" s="12"/>
      <c r="G29" s="8"/>
    </row>
    <row r="30" spans="1:8" x14ac:dyDescent="0.2">
      <c r="A30" s="2"/>
    </row>
    <row r="31" spans="1:8" x14ac:dyDescent="0.2">
      <c r="A31" s="2"/>
      <c r="B31" s="1"/>
    </row>
    <row r="32" spans="1:8" x14ac:dyDescent="0.2">
      <c r="A32" s="2"/>
      <c r="D32" s="2"/>
      <c r="E32" s="2"/>
      <c r="G32" s="4"/>
    </row>
    <row r="33" spans="1:7" x14ac:dyDescent="0.2">
      <c r="A33" s="2"/>
      <c r="D33" s="3"/>
      <c r="E33" s="3"/>
      <c r="G33" s="3"/>
    </row>
    <row r="34" spans="1:7" x14ac:dyDescent="0.2">
      <c r="A34" s="2"/>
      <c r="G34" s="3"/>
    </row>
    <row r="35" spans="1:7" x14ac:dyDescent="0.2">
      <c r="A35" s="2"/>
      <c r="G35" s="3"/>
    </row>
    <row r="51" spans="1:7" x14ac:dyDescent="0.2">
      <c r="A51" s="1"/>
      <c r="B51" s="1"/>
    </row>
    <row r="54" spans="1:7" x14ac:dyDescent="0.2">
      <c r="D54" s="2"/>
      <c r="E54" s="4"/>
      <c r="G54" s="2"/>
    </row>
    <row r="55" spans="1:7" x14ac:dyDescent="0.2">
      <c r="A55" s="3"/>
      <c r="B55" s="3"/>
      <c r="C55" s="3"/>
      <c r="D55" s="3"/>
      <c r="E55" s="3"/>
      <c r="G55" s="3"/>
    </row>
    <row r="56" spans="1:7" x14ac:dyDescent="0.2">
      <c r="A56" s="64"/>
      <c r="B56" s="64"/>
      <c r="C56" s="16"/>
      <c r="D56" s="91"/>
      <c r="E56" s="3"/>
      <c r="G56" s="7"/>
    </row>
    <row r="57" spans="1:7" x14ac:dyDescent="0.2">
      <c r="A57" s="64"/>
      <c r="B57" s="64"/>
      <c r="C57" s="16"/>
      <c r="D57" s="91"/>
      <c r="E57" s="3"/>
      <c r="G57" s="7"/>
    </row>
    <row r="58" spans="1:7" x14ac:dyDescent="0.2">
      <c r="A58" s="64"/>
      <c r="B58" s="64"/>
      <c r="C58" s="16"/>
      <c r="D58" s="91"/>
      <c r="E58" s="3"/>
      <c r="G58" s="7"/>
    </row>
    <row r="59" spans="1:7" x14ac:dyDescent="0.2">
      <c r="A59" s="64"/>
      <c r="B59" s="64"/>
      <c r="C59" s="16"/>
      <c r="D59" s="91"/>
      <c r="E59" s="3"/>
      <c r="G59" s="7"/>
    </row>
    <row r="60" spans="1:7" x14ac:dyDescent="0.2">
      <c r="A60" s="64"/>
      <c r="B60" s="64"/>
      <c r="C60" s="16"/>
      <c r="D60" s="91"/>
      <c r="E60" s="3"/>
      <c r="G60" s="7"/>
    </row>
    <row r="61" spans="1:7" x14ac:dyDescent="0.2">
      <c r="A61" s="64"/>
      <c r="B61" s="64"/>
      <c r="C61" s="16"/>
      <c r="D61" s="91"/>
      <c r="E61" s="3"/>
      <c r="G61" s="7"/>
    </row>
    <row r="62" spans="1:7" x14ac:dyDescent="0.2">
      <c r="A62" s="64"/>
      <c r="B62" s="64"/>
      <c r="C62" s="16"/>
      <c r="D62" s="91"/>
      <c r="E62" s="3"/>
      <c r="G62" s="7"/>
    </row>
    <row r="63" spans="1:7" x14ac:dyDescent="0.2">
      <c r="A63" s="64"/>
      <c r="B63" s="64"/>
      <c r="C63" s="16"/>
      <c r="D63" s="91"/>
      <c r="E63" s="3"/>
      <c r="G63" s="7"/>
    </row>
    <row r="64" spans="1:7" x14ac:dyDescent="0.2">
      <c r="A64" s="64"/>
      <c r="B64" s="64"/>
      <c r="C64" s="16"/>
      <c r="D64" s="91"/>
      <c r="E64" s="3"/>
      <c r="G64" s="7"/>
    </row>
    <row r="65" spans="1:7" x14ac:dyDescent="0.2">
      <c r="A65" s="64"/>
      <c r="B65" s="64"/>
      <c r="C65" s="16"/>
      <c r="D65" s="91"/>
      <c r="E65" s="3"/>
      <c r="G65" s="59"/>
    </row>
    <row r="66" spans="1:7" x14ac:dyDescent="0.2">
      <c r="E66" s="7"/>
      <c r="G66" s="7"/>
    </row>
    <row r="68" spans="1:7" x14ac:dyDescent="0.2">
      <c r="F68" s="37"/>
      <c r="G68" s="89"/>
    </row>
    <row r="70" spans="1:7" x14ac:dyDescent="0.2">
      <c r="A70" s="1"/>
      <c r="B70" s="1"/>
    </row>
    <row r="71" spans="1:7" x14ac:dyDescent="0.2">
      <c r="A71" s="1"/>
      <c r="B71" s="1"/>
    </row>
    <row r="73" spans="1:7" x14ac:dyDescent="0.2">
      <c r="A73" s="1"/>
      <c r="B73" s="1"/>
      <c r="C73" s="2"/>
      <c r="D73" s="2"/>
    </row>
    <row r="74" spans="1:7" x14ac:dyDescent="0.2">
      <c r="A74" s="3"/>
      <c r="B74" s="3"/>
      <c r="C74" s="3"/>
      <c r="D74" s="3"/>
      <c r="E74" s="3"/>
    </row>
    <row r="75" spans="1:7" x14ac:dyDescent="0.2">
      <c r="A75" s="92"/>
      <c r="B75" s="92"/>
      <c r="C75" s="3"/>
      <c r="D75" s="3"/>
      <c r="E75" s="89"/>
    </row>
    <row r="76" spans="1:7" x14ac:dyDescent="0.2">
      <c r="A76" s="92"/>
      <c r="B76" s="92"/>
      <c r="C76" s="3"/>
      <c r="D76" s="3"/>
      <c r="E76" s="89"/>
    </row>
    <row r="77" spans="1:7" x14ac:dyDescent="0.2">
      <c r="A77" s="92"/>
      <c r="B77" s="92"/>
      <c r="C77" s="3"/>
      <c r="D77" s="3"/>
      <c r="E77" s="89"/>
    </row>
    <row r="78" spans="1:7" x14ac:dyDescent="0.2">
      <c r="A78" s="92"/>
      <c r="B78" s="92"/>
      <c r="C78" s="3"/>
      <c r="D78" s="3"/>
      <c r="E78" s="89"/>
    </row>
    <row r="79" spans="1:7" x14ac:dyDescent="0.2">
      <c r="A79" s="92"/>
      <c r="B79" s="92"/>
      <c r="C79" s="3"/>
      <c r="D79" s="3"/>
      <c r="E79" s="89"/>
    </row>
    <row r="80" spans="1:7" x14ac:dyDescent="0.2">
      <c r="A80" s="92"/>
      <c r="B80" s="92"/>
      <c r="C80" s="3"/>
      <c r="D80" s="3"/>
      <c r="E80" s="93"/>
    </row>
    <row r="81" spans="1:4" x14ac:dyDescent="0.2">
      <c r="A81" s="37"/>
      <c r="B81" s="37"/>
      <c r="C81" s="7"/>
      <c r="D81" s="7"/>
    </row>
    <row r="83" spans="1:4" x14ac:dyDescent="0.2">
      <c r="C83" s="37"/>
      <c r="D83" s="89"/>
    </row>
    <row r="85" spans="1:4" x14ac:dyDescent="0.2">
      <c r="A85" s="1"/>
      <c r="B85" s="1"/>
    </row>
    <row r="89" spans="1:4" x14ac:dyDescent="0.2">
      <c r="D89" s="43"/>
    </row>
    <row r="93" spans="1:4" x14ac:dyDescent="0.2">
      <c r="A93" s="1"/>
      <c r="B93" s="1"/>
    </row>
    <row r="97" spans="3:4" x14ac:dyDescent="0.2">
      <c r="C97" s="90"/>
      <c r="D97" s="43"/>
    </row>
  </sheetData>
  <phoneticPr fontId="8" type="noConversion"/>
  <pageMargins left="0.75" right="0.75" top="1" bottom="1" header="0.5" footer="0.5"/>
  <pageSetup scale="70" orientation="portrait" r:id="rId1"/>
  <headerFooter alignWithMargins="0">
    <oddHeader>&amp;CSchedule 27
Allocation Factors&amp;RDkt. No. ER11-3697
2014 Draft Informational Filing</oddHeader>
    <oddFooter>&amp;R&amp;A</oddFooter>
  </headerFooter>
  <rowBreaks count="1" manualBreakCount="1">
    <brk id="50" max="16383" man="1"/>
  </rowBreaks>
  <colBreaks count="1" manualBreakCount="1">
    <brk id="7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90" zoomScaleNormal="90" workbookViewId="0">
      <selection activeCell="F15" sqref="F15"/>
    </sheetView>
  </sheetViews>
  <sheetFormatPr defaultRowHeight="12.75" x14ac:dyDescent="0.2"/>
  <cols>
    <col min="1" max="1" width="4.7109375" customWidth="1"/>
    <col min="2" max="2" width="3.7109375" customWidth="1"/>
    <col min="3" max="6" width="10.7109375" customWidth="1"/>
    <col min="7" max="7" width="10.42578125" bestFit="1" customWidth="1"/>
    <col min="8" max="8" width="4.7109375" customWidth="1"/>
    <col min="9" max="9" width="35.7109375" customWidth="1"/>
  </cols>
  <sheetData>
    <row r="1" spans="1:9" x14ac:dyDescent="0.2">
      <c r="A1" s="1" t="s">
        <v>2118</v>
      </c>
    </row>
    <row r="3" spans="1:9" x14ac:dyDescent="0.2">
      <c r="B3" s="1" t="s">
        <v>605</v>
      </c>
      <c r="I3" s="113" t="s">
        <v>19</v>
      </c>
    </row>
    <row r="5" spans="1:9" x14ac:dyDescent="0.2">
      <c r="A5" s="53" t="s">
        <v>380</v>
      </c>
      <c r="C5" s="3" t="s">
        <v>271</v>
      </c>
      <c r="D5" s="3" t="s">
        <v>272</v>
      </c>
      <c r="E5" s="3"/>
      <c r="G5" s="3" t="s">
        <v>273</v>
      </c>
      <c r="I5" s="53" t="s">
        <v>235</v>
      </c>
    </row>
    <row r="6" spans="1:9" x14ac:dyDescent="0.2">
      <c r="A6" s="2">
        <v>1</v>
      </c>
      <c r="C6" s="175">
        <v>2012</v>
      </c>
      <c r="D6" s="862" t="s">
        <v>2218</v>
      </c>
      <c r="G6" s="104">
        <v>9.1427999999999995E-3</v>
      </c>
      <c r="I6" s="861" t="s">
        <v>2500</v>
      </c>
    </row>
    <row r="7" spans="1:9" x14ac:dyDescent="0.2">
      <c r="A7" s="2">
        <v>2</v>
      </c>
      <c r="C7" s="113"/>
      <c r="D7" s="113"/>
      <c r="G7" s="113"/>
      <c r="I7" s="137"/>
    </row>
    <row r="9" spans="1:9" x14ac:dyDescent="0.2">
      <c r="B9" s="1" t="s">
        <v>2119</v>
      </c>
    </row>
    <row r="11" spans="1:9" x14ac:dyDescent="0.2">
      <c r="C11" s="3" t="s">
        <v>271</v>
      </c>
      <c r="D11" s="3" t="s">
        <v>272</v>
      </c>
      <c r="E11" s="3"/>
      <c r="G11" s="3" t="s">
        <v>274</v>
      </c>
      <c r="I11" s="53" t="s">
        <v>235</v>
      </c>
    </row>
    <row r="12" spans="1:9" x14ac:dyDescent="0.2">
      <c r="A12" s="2">
        <v>3</v>
      </c>
      <c r="C12" s="175">
        <v>2012</v>
      </c>
      <c r="D12" s="862" t="s">
        <v>2218</v>
      </c>
      <c r="G12" s="104">
        <v>2.0541999999999999E-3</v>
      </c>
      <c r="I12" s="861" t="s">
        <v>2501</v>
      </c>
    </row>
    <row r="13" spans="1:9" x14ac:dyDescent="0.2">
      <c r="A13" s="2">
        <v>4</v>
      </c>
      <c r="C13" s="175"/>
      <c r="D13" s="113"/>
      <c r="G13" s="104"/>
      <c r="I13" s="137"/>
    </row>
    <row r="16" spans="1:9" x14ac:dyDescent="0.2">
      <c r="B16" s="1" t="s">
        <v>604</v>
      </c>
    </row>
    <row r="17" spans="1:9" x14ac:dyDescent="0.2">
      <c r="B17" s="1"/>
    </row>
    <row r="18" spans="1:9" x14ac:dyDescent="0.2">
      <c r="C18" s="2" t="s">
        <v>473</v>
      </c>
      <c r="D18" s="2"/>
      <c r="E18" s="2"/>
    </row>
    <row r="19" spans="1:9" x14ac:dyDescent="0.2">
      <c r="C19" s="3" t="s">
        <v>221</v>
      </c>
      <c r="D19" s="3" t="s">
        <v>273</v>
      </c>
      <c r="E19" s="3" t="s">
        <v>274</v>
      </c>
      <c r="I19" s="53" t="s">
        <v>196</v>
      </c>
    </row>
    <row r="20" spans="1:9" x14ac:dyDescent="0.2">
      <c r="A20" s="2">
        <v>5</v>
      </c>
      <c r="C20" s="176">
        <v>2012</v>
      </c>
      <c r="D20" s="103">
        <f>G6</f>
        <v>9.1427999999999995E-3</v>
      </c>
      <c r="E20" s="103">
        <f>G12</f>
        <v>2.0541999999999999E-3</v>
      </c>
      <c r="I20" s="12"/>
    </row>
    <row r="22" spans="1:9" x14ac:dyDescent="0.2">
      <c r="B22" s="1" t="s">
        <v>269</v>
      </c>
    </row>
    <row r="23" spans="1:9" x14ac:dyDescent="0.2">
      <c r="B23" s="12" t="s">
        <v>669</v>
      </c>
    </row>
    <row r="24" spans="1:9" x14ac:dyDescent="0.2">
      <c r="B24" s="12" t="s">
        <v>668</v>
      </c>
    </row>
    <row r="26" spans="1:9" x14ac:dyDescent="0.2">
      <c r="B26" s="1" t="s">
        <v>445</v>
      </c>
    </row>
    <row r="27" spans="1:9" x14ac:dyDescent="0.2">
      <c r="B27" s="12" t="s">
        <v>454</v>
      </c>
    </row>
    <row r="28" spans="1:9" x14ac:dyDescent="0.2">
      <c r="B28" s="12" t="s">
        <v>606</v>
      </c>
    </row>
    <row r="29" spans="1:9" x14ac:dyDescent="0.2">
      <c r="B29" s="12" t="s">
        <v>607</v>
      </c>
    </row>
    <row r="30" spans="1:9" x14ac:dyDescent="0.2">
      <c r="B30" s="12" t="s">
        <v>592</v>
      </c>
    </row>
    <row r="31" spans="1:9" x14ac:dyDescent="0.2">
      <c r="B31" s="12" t="s">
        <v>455</v>
      </c>
    </row>
  </sheetData>
  <phoneticPr fontId="8" type="noConversion"/>
  <pageMargins left="0.75" right="0.75" top="1" bottom="1" header="0.5" footer="0.5"/>
  <pageSetup scale="89" orientation="portrait" r:id="rId1"/>
  <headerFooter alignWithMargins="0">
    <oddHeader>&amp;CSchedule 28
FF and U&amp;RDkt. No. ER11-3697
2014 Draft Informational Filing</oddHeader>
    <oddFooter>&amp;R&amp;A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activeCell="B26" sqref="B26"/>
    </sheetView>
  </sheetViews>
  <sheetFormatPr defaultRowHeight="12.75" x14ac:dyDescent="0.2"/>
  <cols>
    <col min="1" max="1" width="4.7109375" customWidth="1"/>
    <col min="2" max="2" width="17.140625" customWidth="1"/>
    <col min="3" max="3" width="25.7109375" customWidth="1"/>
    <col min="4" max="6" width="13.7109375" customWidth="1"/>
    <col min="7" max="7" width="3.7109375" customWidth="1"/>
    <col min="8" max="8" width="14.7109375" customWidth="1"/>
    <col min="9" max="10" width="13.7109375" customWidth="1"/>
  </cols>
  <sheetData>
    <row r="1" spans="1:10" x14ac:dyDescent="0.2">
      <c r="A1" s="1" t="s">
        <v>1729</v>
      </c>
    </row>
    <row r="2" spans="1:10" x14ac:dyDescent="0.2">
      <c r="G2" s="44" t="s">
        <v>19</v>
      </c>
      <c r="H2" s="44"/>
      <c r="I2" s="113"/>
    </row>
    <row r="3" spans="1:10" x14ac:dyDescent="0.2">
      <c r="A3" s="3" t="s">
        <v>380</v>
      </c>
      <c r="B3" s="3" t="s">
        <v>99</v>
      </c>
      <c r="F3" s="53" t="s">
        <v>196</v>
      </c>
      <c r="G3" s="53" t="s">
        <v>207</v>
      </c>
      <c r="J3" s="53"/>
    </row>
    <row r="4" spans="1:10" x14ac:dyDescent="0.2">
      <c r="A4" s="2">
        <v>1</v>
      </c>
      <c r="B4" s="48">
        <f>BaseTRR!K156</f>
        <v>901968014.36128426</v>
      </c>
      <c r="C4" s="54" t="s">
        <v>151</v>
      </c>
      <c r="G4" s="12" t="str">
        <f>"BaseTRR WS, Line "&amp;BaseTRR!A156&amp;""</f>
        <v>BaseTRR WS, Line 89</v>
      </c>
    </row>
    <row r="5" spans="1:10" x14ac:dyDescent="0.2">
      <c r="A5" s="2">
        <f t="shared" ref="A5:A10" si="0">A4+1</f>
        <v>2</v>
      </c>
      <c r="B5" s="6">
        <v>-46698411</v>
      </c>
      <c r="C5" s="54" t="s">
        <v>152</v>
      </c>
      <c r="F5" s="12" t="s">
        <v>418</v>
      </c>
      <c r="G5" s="694" t="s">
        <v>2491</v>
      </c>
      <c r="H5" s="113"/>
      <c r="I5" s="694" t="s">
        <v>2492</v>
      </c>
    </row>
    <row r="6" spans="1:10" x14ac:dyDescent="0.2">
      <c r="A6" s="2">
        <f t="shared" si="0"/>
        <v>3</v>
      </c>
      <c r="B6" s="6">
        <v>-46211511</v>
      </c>
      <c r="C6" s="54" t="s">
        <v>153</v>
      </c>
      <c r="G6" s="694" t="s">
        <v>2493</v>
      </c>
      <c r="H6" s="113"/>
      <c r="I6" s="694" t="s">
        <v>2492</v>
      </c>
    </row>
    <row r="7" spans="1:10" x14ac:dyDescent="0.2">
      <c r="A7" s="2">
        <f t="shared" si="0"/>
        <v>4</v>
      </c>
      <c r="B7" s="6">
        <v>-486900</v>
      </c>
      <c r="C7" s="54" t="s">
        <v>154</v>
      </c>
      <c r="G7" s="694" t="s">
        <v>2494</v>
      </c>
      <c r="H7" s="113"/>
      <c r="I7" s="694" t="s">
        <v>2492</v>
      </c>
    </row>
    <row r="8" spans="1:10" x14ac:dyDescent="0.2">
      <c r="A8" s="2">
        <f t="shared" si="0"/>
        <v>5</v>
      </c>
      <c r="B8" s="48">
        <f>-RetailRates!E61</f>
        <v>-8650646.6822764482</v>
      </c>
      <c r="C8" s="54" t="s">
        <v>155</v>
      </c>
      <c r="F8" t="s">
        <v>419</v>
      </c>
      <c r="G8" t="s">
        <v>98</v>
      </c>
    </row>
    <row r="9" spans="1:10" x14ac:dyDescent="0.2">
      <c r="A9" s="2">
        <f t="shared" si="0"/>
        <v>6</v>
      </c>
      <c r="B9" s="8">
        <f>HVLV!C43</f>
        <v>0.93677486524342657</v>
      </c>
      <c r="C9" s="54" t="s">
        <v>97</v>
      </c>
      <c r="G9" s="12" t="str">
        <f>"HVLV WS, Line "&amp;HVLV!A43&amp;""</f>
        <v>HVLV WS, Line 36</v>
      </c>
    </row>
    <row r="10" spans="1:10" x14ac:dyDescent="0.2">
      <c r="A10" s="2">
        <f t="shared" si="0"/>
        <v>7</v>
      </c>
      <c r="B10" s="8">
        <f>HVLV!D43</f>
        <v>6.3225134756573625E-2</v>
      </c>
      <c r="C10" s="54" t="s">
        <v>96</v>
      </c>
      <c r="G10" s="12" t="str">
        <f>"HVLV WS, Line "&amp;HVLV!A43&amp;""</f>
        <v>HVLV WS, Line 36</v>
      </c>
    </row>
    <row r="11" spans="1:10" x14ac:dyDescent="0.2">
      <c r="C11" s="37"/>
      <c r="D11" s="105"/>
      <c r="E11" s="105"/>
      <c r="F11" s="105"/>
      <c r="G11" s="105"/>
      <c r="H11" s="105"/>
      <c r="J11" s="105"/>
    </row>
    <row r="12" spans="1:10" x14ac:dyDescent="0.2">
      <c r="B12" s="1" t="s">
        <v>1900</v>
      </c>
      <c r="C12" s="37"/>
      <c r="D12" s="105"/>
      <c r="E12" s="105"/>
      <c r="F12" s="105"/>
      <c r="G12" s="105"/>
      <c r="H12" s="105"/>
    </row>
    <row r="13" spans="1:10" x14ac:dyDescent="0.2">
      <c r="B13" s="1"/>
      <c r="C13" s="37"/>
      <c r="D13" s="105"/>
      <c r="E13" s="105"/>
      <c r="F13" s="105"/>
      <c r="G13" s="105"/>
      <c r="H13" s="105"/>
    </row>
    <row r="14" spans="1:10" x14ac:dyDescent="0.2">
      <c r="B14" s="1"/>
      <c r="C14" s="37"/>
      <c r="D14" s="99" t="s">
        <v>417</v>
      </c>
      <c r="E14" s="99" t="s">
        <v>400</v>
      </c>
      <c r="F14" s="99" t="s">
        <v>401</v>
      </c>
      <c r="G14" s="105"/>
      <c r="H14" s="105"/>
    </row>
    <row r="15" spans="1:10" x14ac:dyDescent="0.2">
      <c r="B15" s="1"/>
      <c r="C15" s="37"/>
      <c r="F15" s="105"/>
      <c r="G15" s="105"/>
      <c r="H15" s="105"/>
    </row>
    <row r="16" spans="1:10" x14ac:dyDescent="0.2">
      <c r="E16" s="2" t="s">
        <v>562</v>
      </c>
      <c r="F16" s="2" t="s">
        <v>563</v>
      </c>
    </row>
    <row r="17" spans="1:8" x14ac:dyDescent="0.2">
      <c r="C17" s="37"/>
      <c r="D17" s="3" t="s">
        <v>156</v>
      </c>
      <c r="E17" s="3" t="s">
        <v>561</v>
      </c>
      <c r="F17" s="3" t="s">
        <v>561</v>
      </c>
      <c r="G17" s="3"/>
      <c r="H17" s="3" t="s">
        <v>207</v>
      </c>
    </row>
    <row r="18" spans="1:8" x14ac:dyDescent="0.2">
      <c r="A18" s="2">
        <f>A10+1</f>
        <v>8</v>
      </c>
      <c r="B18" s="106"/>
      <c r="C18" s="77" t="s">
        <v>173</v>
      </c>
      <c r="D18" s="7">
        <f>B4</f>
        <v>901968014.36128426</v>
      </c>
      <c r="E18" s="7">
        <f>D18*B9</f>
        <v>844940965.10717309</v>
      </c>
      <c r="F18" s="7">
        <f>D18*B10</f>
        <v>57027049.254111335</v>
      </c>
      <c r="G18" s="7"/>
      <c r="H18" s="683" t="s">
        <v>328</v>
      </c>
    </row>
    <row r="19" spans="1:8" x14ac:dyDescent="0.2">
      <c r="A19" s="710">
        <f>A18+1</f>
        <v>9</v>
      </c>
      <c r="B19" s="106"/>
      <c r="C19" s="77" t="s">
        <v>1898</v>
      </c>
      <c r="D19" s="7">
        <f>CWIPTRR!E145</f>
        <v>115554420.342107</v>
      </c>
      <c r="E19" s="7">
        <f>CWIPTRR!E145</f>
        <v>115554420.342107</v>
      </c>
      <c r="F19" s="7">
        <v>0</v>
      </c>
      <c r="G19" s="7"/>
      <c r="H19" s="683" t="s">
        <v>1130</v>
      </c>
    </row>
    <row r="20" spans="1:8" x14ac:dyDescent="0.2">
      <c r="A20" s="710">
        <f>A19+1</f>
        <v>10</v>
      </c>
      <c r="B20" s="106"/>
      <c r="C20" s="77" t="s">
        <v>1899</v>
      </c>
      <c r="D20" s="7">
        <f>D18-D19</f>
        <v>786413594.0191772</v>
      </c>
      <c r="E20" s="7">
        <f t="shared" ref="E20:F20" si="1">E18-E19</f>
        <v>729386544.76506615</v>
      </c>
      <c r="F20" s="7">
        <f t="shared" si="1"/>
        <v>57027049.254111335</v>
      </c>
      <c r="G20" s="7"/>
      <c r="H20" s="683" t="s">
        <v>1131</v>
      </c>
    </row>
    <row r="21" spans="1:8" x14ac:dyDescent="0.2">
      <c r="B21" s="106"/>
      <c r="C21" s="106"/>
      <c r="D21" s="7"/>
      <c r="E21" s="7"/>
      <c r="F21" s="7"/>
      <c r="G21" s="7"/>
    </row>
    <row r="22" spans="1:8" x14ac:dyDescent="0.2">
      <c r="A22" s="2">
        <f>A20+1</f>
        <v>11</v>
      </c>
      <c r="B22" s="1"/>
      <c r="C22" s="77" t="s">
        <v>157</v>
      </c>
      <c r="D22" s="7">
        <f>B5</f>
        <v>-46698411</v>
      </c>
      <c r="E22" s="7">
        <f>B6</f>
        <v>-46211511</v>
      </c>
      <c r="F22" s="7">
        <f>B7</f>
        <v>-486900</v>
      </c>
      <c r="G22" s="7"/>
      <c r="H22" t="str">
        <f>"Lines "&amp;A5&amp;" to "&amp;A7&amp;""</f>
        <v>Lines 2 to 4</v>
      </c>
    </row>
    <row r="23" spans="1:8" x14ac:dyDescent="0.2">
      <c r="B23" s="1"/>
      <c r="C23" s="77"/>
      <c r="D23" s="7"/>
      <c r="E23" s="7"/>
      <c r="F23" s="7"/>
      <c r="G23" s="7"/>
    </row>
    <row r="24" spans="1:8" x14ac:dyDescent="0.2">
      <c r="A24" s="2">
        <f>A22+1</f>
        <v>12</v>
      </c>
      <c r="B24" s="1"/>
      <c r="C24" s="77" t="s">
        <v>2084</v>
      </c>
      <c r="D24" s="107">
        <f>$B$8</f>
        <v>-8650646.6822764482</v>
      </c>
      <c r="E24" s="107">
        <f>$B$8*$B$9</f>
        <v>-8103708.3800580148</v>
      </c>
      <c r="F24" s="107">
        <f>$B$8*$B$10</f>
        <v>-546938.30221843498</v>
      </c>
      <c r="G24" s="107"/>
      <c r="H24" s="683" t="s">
        <v>638</v>
      </c>
    </row>
    <row r="25" spans="1:8" x14ac:dyDescent="0.2">
      <c r="A25" s="825"/>
      <c r="B25" s="1"/>
      <c r="C25" s="77"/>
      <c r="D25" s="107"/>
      <c r="E25" s="107"/>
      <c r="F25" s="107"/>
      <c r="G25" s="107"/>
      <c r="H25" s="683"/>
    </row>
    <row r="26" spans="1:8" x14ac:dyDescent="0.2">
      <c r="B26" s="1"/>
      <c r="C26" s="77" t="s">
        <v>2085</v>
      </c>
      <c r="D26" s="107"/>
      <c r="E26" s="107"/>
      <c r="F26" s="107"/>
      <c r="G26" s="107"/>
    </row>
    <row r="27" spans="1:8" x14ac:dyDescent="0.2">
      <c r="A27" s="2">
        <f>A24+1</f>
        <v>13</v>
      </c>
      <c r="B27" s="1"/>
      <c r="C27" s="77" t="s">
        <v>2086</v>
      </c>
      <c r="D27" s="7">
        <f>D18+D22+D24</f>
        <v>846618956.67900777</v>
      </c>
      <c r="E27" s="7">
        <f>E18+E22+E24</f>
        <v>790625745.72711504</v>
      </c>
      <c r="F27" s="7">
        <f>F18+F22+F24</f>
        <v>55993210.951892897</v>
      </c>
      <c r="G27" s="7"/>
      <c r="H27" s="120" t="str">
        <f>"Sum of Lines "&amp;A18&amp;", "&amp;A22&amp;", and "&amp;A24&amp;""</f>
        <v>Sum of Lines 8, 11, and 12</v>
      </c>
    </row>
    <row r="28" spans="1:8" x14ac:dyDescent="0.2">
      <c r="E28" s="7"/>
    </row>
    <row r="29" spans="1:8" x14ac:dyDescent="0.2">
      <c r="B29" s="53" t="s">
        <v>269</v>
      </c>
    </row>
    <row r="30" spans="1:8" x14ac:dyDescent="0.2">
      <c r="B30" s="12" t="s">
        <v>1763</v>
      </c>
    </row>
    <row r="31" spans="1:8" x14ac:dyDescent="0.2">
      <c r="B31" s="683" t="s">
        <v>2120</v>
      </c>
    </row>
    <row r="32" spans="1:8" x14ac:dyDescent="0.2">
      <c r="B32" s="12" t="s">
        <v>1764</v>
      </c>
    </row>
    <row r="33" spans="2:6" x14ac:dyDescent="0.2">
      <c r="B33" s="683" t="s">
        <v>1831</v>
      </c>
      <c r="D33" s="113" t="s">
        <v>2357</v>
      </c>
      <c r="F33" s="14"/>
    </row>
    <row r="34" spans="2:6" x14ac:dyDescent="0.2">
      <c r="B34" s="12" t="str">
        <f>"3) Column 1 is from Line "&amp;A4&amp;"."</f>
        <v>3) Column 1 is from Line 1.</v>
      </c>
    </row>
    <row r="35" spans="2:6" x14ac:dyDescent="0.2">
      <c r="B35" s="13" t="str">
        <f>"Column 2 equals Column 1 * Line "&amp;A9&amp;"."</f>
        <v>Column 2 equals Column 1 * Line 6.</v>
      </c>
    </row>
    <row r="36" spans="2:6" x14ac:dyDescent="0.2">
      <c r="B36" s="13" t="str">
        <f>"Column 3 equals Column 1 * Line "&amp;A10&amp;"."</f>
        <v>Column 3 equals Column 1 * Line 7.</v>
      </c>
    </row>
    <row r="37" spans="2:6" x14ac:dyDescent="0.2">
      <c r="B37" t="str">
        <f>"4) From CWIP TRR WS, Line "&amp;CWIPTRR!A145&amp;".  All High Voltage."</f>
        <v>4) From CWIP TRR WS, Line 88.  All High Voltage.</v>
      </c>
    </row>
    <row r="38" spans="2:6" x14ac:dyDescent="0.2">
      <c r="B38" t="str">
        <f>"5) Line "&amp;A18&amp;" - Line "&amp;A19&amp;""</f>
        <v>5) Line 8 - Line 9</v>
      </c>
    </row>
    <row r="39" spans="2:6" x14ac:dyDescent="0.2">
      <c r="B39" s="12" t="str">
        <f>"6) Column 1 is from Line "&amp;A8&amp;"."</f>
        <v>6) Column 1 is from Line 5.</v>
      </c>
    </row>
    <row r="40" spans="2:6" x14ac:dyDescent="0.2">
      <c r="B40" s="13" t="str">
        <f>"Column 2 equals Column 1 * Line "&amp;A9&amp;"."</f>
        <v>Column 2 equals Column 1 * Line 6.</v>
      </c>
    </row>
    <row r="41" spans="2:6" x14ac:dyDescent="0.2">
      <c r="B41" s="13" t="str">
        <f>"Column 3 equals Column 1 * Line "&amp;A10&amp;"."</f>
        <v>Column 3 equals Column 1 * Line 7.</v>
      </c>
    </row>
  </sheetData>
  <phoneticPr fontId="8" type="noConversion"/>
  <pageMargins left="0.75" right="0.75" top="1" bottom="1" header="0.5" footer="0.5"/>
  <pageSetup scale="90" orientation="landscape" r:id="rId1"/>
  <headerFooter alignWithMargins="0">
    <oddHeader>&amp;CSchedule 29
Wholesale TRRs&amp;RDkt. No. ER11-3697
2014 Draft Informational Filing</oddHeader>
    <oddFooter>&amp;R&amp;A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85" zoomScaleNormal="85" workbookViewId="0">
      <selection activeCell="D15" sqref="D15"/>
    </sheetView>
  </sheetViews>
  <sheetFormatPr defaultRowHeight="12.75" x14ac:dyDescent="0.2"/>
  <cols>
    <col min="1" max="2" width="4.7109375" customWidth="1"/>
    <col min="4" max="4" width="24.42578125" customWidth="1"/>
    <col min="5" max="5" width="17.7109375" customWidth="1"/>
    <col min="6" max="6" width="9.140625" style="16"/>
  </cols>
  <sheetData>
    <row r="1" spans="1:7" x14ac:dyDescent="0.2">
      <c r="A1" s="1" t="s">
        <v>1760</v>
      </c>
    </row>
    <row r="2" spans="1:7" x14ac:dyDescent="0.2">
      <c r="B2" s="1"/>
    </row>
    <row r="3" spans="1:7" x14ac:dyDescent="0.2">
      <c r="B3" s="12" t="s">
        <v>158</v>
      </c>
      <c r="E3" s="14"/>
      <c r="F3" s="135"/>
    </row>
    <row r="4" spans="1:7" x14ac:dyDescent="0.2">
      <c r="B4" s="12"/>
    </row>
    <row r="5" spans="1:7" x14ac:dyDescent="0.2">
      <c r="B5" s="13" t="s">
        <v>159</v>
      </c>
    </row>
    <row r="6" spans="1:7" x14ac:dyDescent="0.2">
      <c r="B6" s="13" t="s">
        <v>160</v>
      </c>
    </row>
    <row r="7" spans="1:7" x14ac:dyDescent="0.2">
      <c r="B7" s="13" t="s">
        <v>161</v>
      </c>
    </row>
    <row r="8" spans="1:7" x14ac:dyDescent="0.2">
      <c r="B8" s="13" t="s">
        <v>162</v>
      </c>
    </row>
    <row r="9" spans="1:7" x14ac:dyDescent="0.2">
      <c r="B9" s="13" t="s">
        <v>163</v>
      </c>
    </row>
    <row r="10" spans="1:7" x14ac:dyDescent="0.2">
      <c r="B10" s="12"/>
    </row>
    <row r="11" spans="1:7" x14ac:dyDescent="0.2">
      <c r="B11" s="12"/>
    </row>
    <row r="12" spans="1:7" x14ac:dyDescent="0.2">
      <c r="B12" s="1" t="s">
        <v>164</v>
      </c>
    </row>
    <row r="13" spans="1:7" x14ac:dyDescent="0.2">
      <c r="A13" s="3" t="s">
        <v>380</v>
      </c>
      <c r="G13" s="3" t="s">
        <v>207</v>
      </c>
    </row>
    <row r="14" spans="1:7" x14ac:dyDescent="0.2">
      <c r="A14" s="2">
        <v>1</v>
      </c>
      <c r="D14" s="110" t="s">
        <v>1731</v>
      </c>
      <c r="E14" s="7">
        <f>WholesaleTRRs!F27</f>
        <v>55993210.951892897</v>
      </c>
      <c r="G14" s="13" t="str">
        <f>"WholesaleTRRs WS, Line "&amp;WholesaleTRRs!A27&amp;", C3"</f>
        <v>WholesaleTRRs WS, Line 13, C3</v>
      </c>
    </row>
    <row r="15" spans="1:7" x14ac:dyDescent="0.2">
      <c r="A15" s="2">
        <f>A14+1</f>
        <v>2</v>
      </c>
      <c r="D15" s="110" t="s">
        <v>1730</v>
      </c>
      <c r="E15" s="134">
        <f>GrossLoad!F7</f>
        <v>89944956</v>
      </c>
      <c r="F15" s="13" t="s">
        <v>329</v>
      </c>
      <c r="G15" s="13" t="s">
        <v>376</v>
      </c>
    </row>
    <row r="16" spans="1:7" x14ac:dyDescent="0.2">
      <c r="A16" s="2">
        <f>A15+1</f>
        <v>3</v>
      </c>
      <c r="D16" s="110" t="s">
        <v>1732</v>
      </c>
      <c r="E16" s="108">
        <f>E14/(E15*1000)</f>
        <v>6.2252752618938297E-4</v>
      </c>
      <c r="F16" s="16" t="s">
        <v>165</v>
      </c>
      <c r="G16" s="16" t="str">
        <f>"Line "&amp;A14&amp;" / (Line "&amp;A15&amp;" * 1000)"</f>
        <v>Line 1 / (Line 2 * 1000)</v>
      </c>
    </row>
    <row r="17" spans="1:7" x14ac:dyDescent="0.2">
      <c r="D17" s="37"/>
      <c r="E17" s="80"/>
    </row>
    <row r="18" spans="1:7" x14ac:dyDescent="0.2">
      <c r="B18" s="1" t="s">
        <v>166</v>
      </c>
      <c r="D18" s="37"/>
      <c r="E18" s="80"/>
    </row>
    <row r="19" spans="1:7" x14ac:dyDescent="0.2">
      <c r="D19" s="37"/>
      <c r="E19" s="80"/>
      <c r="G19" s="3" t="s">
        <v>207</v>
      </c>
    </row>
    <row r="20" spans="1:7" x14ac:dyDescent="0.2">
      <c r="A20" s="2">
        <f>A16+1</f>
        <v>4</v>
      </c>
      <c r="D20" s="110" t="s">
        <v>1731</v>
      </c>
      <c r="E20" s="7">
        <f>WholesaleTRRs!F27</f>
        <v>55993210.951892897</v>
      </c>
      <c r="G20" s="13" t="str">
        <f>"WholesaleTRRs WS, Line "&amp;WholesaleTRRs!A27&amp;", C3"</f>
        <v>WholesaleTRRs WS, Line 13, C3</v>
      </c>
    </row>
    <row r="21" spans="1:7" x14ac:dyDescent="0.2">
      <c r="A21" s="2">
        <f>A20+1</f>
        <v>5</v>
      </c>
      <c r="D21" s="110" t="s">
        <v>1730</v>
      </c>
      <c r="E21" s="134">
        <f>GrossLoad!F7</f>
        <v>89944956</v>
      </c>
      <c r="F21" s="13" t="s">
        <v>329</v>
      </c>
      <c r="G21" s="13" t="s">
        <v>376</v>
      </c>
    </row>
    <row r="22" spans="1:7" x14ac:dyDescent="0.2">
      <c r="A22" s="2">
        <f>A21+1</f>
        <v>6</v>
      </c>
      <c r="D22" s="110" t="s">
        <v>1733</v>
      </c>
      <c r="E22" s="108">
        <f>E20/(E21*1000)</f>
        <v>6.2252752618938297E-4</v>
      </c>
      <c r="F22" s="16" t="s">
        <v>165</v>
      </c>
      <c r="G22" s="16" t="str">
        <f>"Line "&amp;A20&amp;" / (Line "&amp;A21&amp;" * 1000)"</f>
        <v>Line 4 / (Line 5 * 1000)</v>
      </c>
    </row>
    <row r="23" spans="1:7" x14ac:dyDescent="0.2">
      <c r="D23" s="37"/>
    </row>
    <row r="25" spans="1:7" x14ac:dyDescent="0.2">
      <c r="B25" s="1" t="s">
        <v>167</v>
      </c>
    </row>
    <row r="26" spans="1:7" x14ac:dyDescent="0.2">
      <c r="C26" s="54" t="s">
        <v>168</v>
      </c>
    </row>
    <row r="27" spans="1:7" x14ac:dyDescent="0.2">
      <c r="G27" s="3" t="s">
        <v>207</v>
      </c>
    </row>
    <row r="28" spans="1:7" x14ac:dyDescent="0.2">
      <c r="A28" s="2">
        <f>A22+1</f>
        <v>7</v>
      </c>
      <c r="D28" s="37" t="s">
        <v>169</v>
      </c>
      <c r="E28" s="7">
        <f>WholesaleTRRs!E27</f>
        <v>790625745.72711504</v>
      </c>
      <c r="G28" s="13" t="str">
        <f>"WholesaleTRRs WS, Line "&amp;WholesaleTRRs!A27&amp;", C2"</f>
        <v>WholesaleTRRs WS, Line 13, C2</v>
      </c>
    </row>
    <row r="29" spans="1:7" x14ac:dyDescent="0.2">
      <c r="A29" s="2">
        <f>A28+1</f>
        <v>8</v>
      </c>
      <c r="D29" s="110" t="s">
        <v>1730</v>
      </c>
      <c r="E29" s="134">
        <f>GrossLoad!F7</f>
        <v>89944956</v>
      </c>
      <c r="F29" s="13" t="s">
        <v>329</v>
      </c>
      <c r="G29" s="13" t="s">
        <v>376</v>
      </c>
    </row>
    <row r="30" spans="1:7" x14ac:dyDescent="0.2">
      <c r="A30" s="2">
        <f>A29+1</f>
        <v>9</v>
      </c>
      <c r="D30" s="110" t="s">
        <v>1734</v>
      </c>
      <c r="E30" s="109">
        <f>E28/(E29*1000)</f>
        <v>8.7901065372372311E-3</v>
      </c>
      <c r="F30" s="16" t="s">
        <v>165</v>
      </c>
      <c r="G30" s="16" t="str">
        <f>"Line "&amp;A28&amp;" / (Line "&amp;A29&amp;" * 1000)"</f>
        <v>Line 7 / (Line 8 * 1000)</v>
      </c>
    </row>
    <row r="32" spans="1:7" x14ac:dyDescent="0.2">
      <c r="B32" s="1" t="s">
        <v>170</v>
      </c>
    </row>
    <row r="33" spans="1:7" x14ac:dyDescent="0.2">
      <c r="G33" s="3" t="s">
        <v>207</v>
      </c>
    </row>
    <row r="34" spans="1:7" x14ac:dyDescent="0.2">
      <c r="A34" s="2">
        <f>A30+1</f>
        <v>10</v>
      </c>
      <c r="D34" s="110" t="s">
        <v>1735</v>
      </c>
      <c r="E34" s="7">
        <f>WholesaleTRRs!E27</f>
        <v>790625745.72711504</v>
      </c>
      <c r="G34" s="13" t="str">
        <f>"WholesaleTRRs WS, Line "&amp;WholesaleTRRs!A27&amp;", C2"</f>
        <v>WholesaleTRRs WS, Line 13, C2</v>
      </c>
    </row>
    <row r="35" spans="1:7" x14ac:dyDescent="0.2">
      <c r="A35" s="2">
        <f>A34+1</f>
        <v>11</v>
      </c>
      <c r="D35" s="110" t="s">
        <v>1736</v>
      </c>
      <c r="E35" s="134">
        <f>GrossLoad!F10</f>
        <v>179756</v>
      </c>
      <c r="F35" s="16" t="s">
        <v>171</v>
      </c>
      <c r="G35" s="13" t="s">
        <v>376</v>
      </c>
    </row>
    <row r="36" spans="1:7" x14ac:dyDescent="0.2">
      <c r="A36" s="2">
        <f>A35+1</f>
        <v>12</v>
      </c>
      <c r="D36" s="110" t="s">
        <v>1737</v>
      </c>
      <c r="E36" s="80">
        <f>ROUND((E34/(E35*1000)),2)</f>
        <v>4.4000000000000004</v>
      </c>
      <c r="F36" s="13" t="s">
        <v>377</v>
      </c>
      <c r="G36" s="16" t="str">
        <f>"Line "&amp;A34&amp;" / (Line "&amp;A35&amp;" * 1000)"</f>
        <v>Line 10 / (Line 11 * 1000)</v>
      </c>
    </row>
    <row r="38" spans="1:7" x14ac:dyDescent="0.2">
      <c r="B38" s="1" t="s">
        <v>172</v>
      </c>
    </row>
    <row r="39" spans="1:7" x14ac:dyDescent="0.2">
      <c r="G39" s="3" t="s">
        <v>207</v>
      </c>
    </row>
    <row r="40" spans="1:7" x14ac:dyDescent="0.2">
      <c r="A40" s="2">
        <f>A36+1</f>
        <v>13</v>
      </c>
      <c r="D40" s="110" t="s">
        <v>1738</v>
      </c>
      <c r="E40" s="7">
        <f>WholesaleTRRs!F27</f>
        <v>55993210.951892897</v>
      </c>
      <c r="G40" s="13" t="str">
        <f>"WholesaleTRRs WS, Line "&amp;WholesaleTRRs!A27&amp;", C3"</f>
        <v>WholesaleTRRs WS, Line 13, C3</v>
      </c>
    </row>
    <row r="41" spans="1:7" x14ac:dyDescent="0.2">
      <c r="A41" s="2">
        <f>A40+1</f>
        <v>14</v>
      </c>
      <c r="D41" s="110" t="s">
        <v>1736</v>
      </c>
      <c r="E41" s="134">
        <f>GrossLoad!F10</f>
        <v>179756</v>
      </c>
      <c r="F41" s="16" t="s">
        <v>171</v>
      </c>
      <c r="G41" s="13" t="s">
        <v>376</v>
      </c>
    </row>
    <row r="42" spans="1:7" x14ac:dyDescent="0.2">
      <c r="A42" s="2">
        <f>A41+1</f>
        <v>15</v>
      </c>
      <c r="D42" s="110" t="s">
        <v>1739</v>
      </c>
      <c r="E42" s="82">
        <f>ROUND((E40/(E41*1000)),2)</f>
        <v>0.31</v>
      </c>
      <c r="F42" s="13" t="s">
        <v>377</v>
      </c>
      <c r="G42" s="16" t="str">
        <f>"Line "&amp;A40&amp;" / (Line "&amp;A41&amp;" * 1000)"</f>
        <v>Line 13 / (Line 14 * 1000)</v>
      </c>
    </row>
    <row r="45" spans="1:7" x14ac:dyDescent="0.2">
      <c r="B45" s="53" t="s">
        <v>269</v>
      </c>
    </row>
    <row r="46" spans="1:7" x14ac:dyDescent="0.2">
      <c r="B46" s="12" t="s">
        <v>1761</v>
      </c>
    </row>
    <row r="47" spans="1:7" x14ac:dyDescent="0.2">
      <c r="B47" s="12" t="s">
        <v>1762</v>
      </c>
    </row>
  </sheetData>
  <phoneticPr fontId="8" type="noConversion"/>
  <pageMargins left="0.75" right="0.75" top="1" bottom="1" header="0.5" footer="0.5"/>
  <pageSetup scale="85" orientation="portrait" r:id="rId1"/>
  <headerFooter alignWithMargins="0">
    <oddHeader>&amp;CSchedule 30
Wholesale Rates&amp;RDkt. No. ER11-3697
2014 Draft Informational Filing</oddHeader>
    <oddFooter>&amp;R&amp;A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="90" zoomScaleNormal="90" workbookViewId="0">
      <selection activeCell="E44" sqref="E44"/>
    </sheetView>
  </sheetViews>
  <sheetFormatPr defaultRowHeight="12.75" x14ac:dyDescent="0.2"/>
  <cols>
    <col min="1" max="1" width="4.7109375" customWidth="1"/>
    <col min="2" max="2" width="38" style="163" customWidth="1"/>
    <col min="3" max="5" width="14.7109375" style="163" customWidth="1"/>
    <col min="6" max="6" width="3.42578125" style="163" bestFit="1" customWidth="1"/>
    <col min="7" max="11" width="14.7109375" style="163" customWidth="1"/>
  </cols>
  <sheetData>
    <row r="1" spans="1:11" x14ac:dyDescent="0.2">
      <c r="A1" s="291" t="s">
        <v>545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">
      <c r="A2" s="17" t="s">
        <v>559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">
      <c r="A3" s="12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x14ac:dyDescent="0.2">
      <c r="A4" s="12"/>
      <c r="B4" s="291" t="s">
        <v>574</v>
      </c>
      <c r="C4" s="17"/>
      <c r="D4" s="17"/>
      <c r="E4" s="17"/>
      <c r="F4" s="17"/>
      <c r="G4" s="292" t="s">
        <v>537</v>
      </c>
      <c r="H4" s="292"/>
      <c r="I4" s="17"/>
      <c r="J4" s="17"/>
      <c r="K4" s="17"/>
    </row>
    <row r="5" spans="1:11" x14ac:dyDescent="0.2">
      <c r="A5" s="12"/>
      <c r="B5" s="17"/>
      <c r="C5" s="26" t="s">
        <v>547</v>
      </c>
      <c r="D5" s="26"/>
      <c r="E5" s="26"/>
      <c r="F5" s="26"/>
      <c r="G5" s="26"/>
      <c r="H5" s="26"/>
      <c r="I5" s="26" t="s">
        <v>14</v>
      </c>
      <c r="J5" s="26" t="s">
        <v>15</v>
      </c>
      <c r="K5" s="26" t="s">
        <v>91</v>
      </c>
    </row>
    <row r="6" spans="1:11" x14ac:dyDescent="0.2">
      <c r="A6" s="12"/>
      <c r="B6" s="291" t="s">
        <v>552</v>
      </c>
      <c r="C6" s="31" t="s">
        <v>548</v>
      </c>
      <c r="D6" s="31" t="s">
        <v>508</v>
      </c>
      <c r="E6" s="31" t="s">
        <v>542</v>
      </c>
      <c r="F6" s="31"/>
      <c r="G6" s="31" t="s">
        <v>549</v>
      </c>
      <c r="H6" s="31" t="s">
        <v>550</v>
      </c>
      <c r="I6" s="31" t="s">
        <v>542</v>
      </c>
      <c r="J6" s="31" t="s">
        <v>542</v>
      </c>
      <c r="K6" s="31" t="s">
        <v>551</v>
      </c>
    </row>
    <row r="7" spans="1:11" x14ac:dyDescent="0.2">
      <c r="A7" s="3" t="s">
        <v>380</v>
      </c>
      <c r="B7" s="291"/>
      <c r="C7" s="31"/>
      <c r="D7" s="31"/>
      <c r="E7" s="31"/>
      <c r="F7" s="31"/>
      <c r="G7" s="31"/>
      <c r="H7" s="31"/>
      <c r="I7" s="31"/>
      <c r="J7" s="31"/>
      <c r="K7" s="31"/>
    </row>
    <row r="8" spans="1:11" x14ac:dyDescent="0.2">
      <c r="A8" s="2">
        <v>1</v>
      </c>
      <c r="B8" s="293" t="s">
        <v>557</v>
      </c>
      <c r="C8" s="294"/>
      <c r="D8" s="295"/>
      <c r="E8" s="295"/>
      <c r="F8" s="296"/>
      <c r="G8" s="294"/>
      <c r="H8" s="297"/>
      <c r="I8" s="297"/>
      <c r="J8" s="297"/>
      <c r="K8" s="297"/>
    </row>
    <row r="9" spans="1:11" x14ac:dyDescent="0.2">
      <c r="A9" s="2">
        <f>A8+1</f>
        <v>2</v>
      </c>
      <c r="B9" s="298" t="s">
        <v>1467</v>
      </c>
      <c r="C9" s="299">
        <f>SUM(D9:E9)</f>
        <v>1437640029.2758226</v>
      </c>
      <c r="D9" s="300">
        <f>G9+H9</f>
        <v>149150805.85023594</v>
      </c>
      <c r="E9" s="300">
        <f>I9+J9</f>
        <v>1288489223.4255867</v>
      </c>
      <c r="F9" s="301"/>
      <c r="G9" s="302">
        <v>149150805.85023594</v>
      </c>
      <c r="H9" s="302">
        <v>0</v>
      </c>
      <c r="I9" s="302">
        <v>1288489223.4255867</v>
      </c>
      <c r="J9" s="302">
        <v>0</v>
      </c>
      <c r="K9" s="302">
        <v>0</v>
      </c>
    </row>
    <row r="10" spans="1:11" x14ac:dyDescent="0.2">
      <c r="A10" s="2">
        <f t="shared" ref="A10:A45" si="0">A9+1</f>
        <v>3</v>
      </c>
      <c r="B10" s="298" t="s">
        <v>546</v>
      </c>
      <c r="C10" s="303">
        <f>SUM(D10:E10)</f>
        <v>134758149.62183797</v>
      </c>
      <c r="D10" s="304">
        <f>G10+H10</f>
        <v>8065378.3370672697</v>
      </c>
      <c r="E10" s="304">
        <f>I10+J10</f>
        <v>126692771.2847707</v>
      </c>
      <c r="F10" s="305"/>
      <c r="G10" s="306">
        <v>0</v>
      </c>
      <c r="H10" s="306">
        <v>8065378.3370672697</v>
      </c>
      <c r="I10" s="306">
        <v>0</v>
      </c>
      <c r="J10" s="306">
        <v>126692771.2847707</v>
      </c>
      <c r="K10" s="306">
        <v>0</v>
      </c>
    </row>
    <row r="11" spans="1:11" x14ac:dyDescent="0.2">
      <c r="A11" s="2">
        <f t="shared" si="0"/>
        <v>4</v>
      </c>
      <c r="B11" s="307" t="s">
        <v>558</v>
      </c>
      <c r="C11" s="308">
        <f>SUM(C9:C10)</f>
        <v>1572398178.8976607</v>
      </c>
      <c r="D11" s="308">
        <f t="shared" ref="D11:K11" si="1">SUM(D9:D10)</f>
        <v>157216184.18730322</v>
      </c>
      <c r="E11" s="308">
        <f t="shared" si="1"/>
        <v>1415181994.7103574</v>
      </c>
      <c r="F11" s="308"/>
      <c r="G11" s="308">
        <f t="shared" si="1"/>
        <v>149150805.85023594</v>
      </c>
      <c r="H11" s="308">
        <f t="shared" si="1"/>
        <v>8065378.3370672697</v>
      </c>
      <c r="I11" s="308">
        <f t="shared" si="1"/>
        <v>1288489223.4255867</v>
      </c>
      <c r="J11" s="308">
        <f t="shared" si="1"/>
        <v>126692771.2847707</v>
      </c>
      <c r="K11" s="308">
        <f t="shared" si="1"/>
        <v>0</v>
      </c>
    </row>
    <row r="12" spans="1:11" x14ac:dyDescent="0.2">
      <c r="A12" s="2">
        <f t="shared" si="0"/>
        <v>5</v>
      </c>
      <c r="B12" s="309"/>
      <c r="C12" s="310"/>
      <c r="D12" s="310"/>
      <c r="E12" s="310"/>
      <c r="F12" s="311"/>
      <c r="G12" s="310"/>
      <c r="H12" s="312"/>
      <c r="I12" s="313"/>
      <c r="J12" s="312"/>
      <c r="K12" s="312"/>
    </row>
    <row r="13" spans="1:11" x14ac:dyDescent="0.2">
      <c r="A13" s="2">
        <f t="shared" si="0"/>
        <v>6</v>
      </c>
      <c r="B13" s="314" t="s">
        <v>543</v>
      </c>
      <c r="C13" s="310"/>
      <c r="D13" s="310"/>
      <c r="E13" s="310"/>
      <c r="F13" s="311"/>
      <c r="G13" s="310"/>
      <c r="H13" s="312"/>
      <c r="I13" s="313"/>
      <c r="J13" s="312"/>
      <c r="K13" s="312"/>
    </row>
    <row r="14" spans="1:11" x14ac:dyDescent="0.2">
      <c r="A14" s="2">
        <f t="shared" si="0"/>
        <v>7</v>
      </c>
      <c r="B14" s="315" t="s">
        <v>555</v>
      </c>
      <c r="C14" s="300">
        <f>SUM(D14:E14)</f>
        <v>1884460141.5503004</v>
      </c>
      <c r="D14" s="300">
        <f>G14+H14</f>
        <v>27992748.922279272</v>
      </c>
      <c r="E14" s="300">
        <f>I14+J14</f>
        <v>1856467392.628021</v>
      </c>
      <c r="F14" s="316"/>
      <c r="G14" s="317">
        <v>27992748.922279272</v>
      </c>
      <c r="H14" s="318">
        <v>0</v>
      </c>
      <c r="I14" s="317">
        <v>1856467392.628021</v>
      </c>
      <c r="J14" s="318">
        <v>0</v>
      </c>
      <c r="K14" s="318">
        <v>0</v>
      </c>
    </row>
    <row r="15" spans="1:11" x14ac:dyDescent="0.2">
      <c r="A15" s="2">
        <f t="shared" si="0"/>
        <v>8</v>
      </c>
      <c r="B15" s="319" t="s">
        <v>554</v>
      </c>
      <c r="C15" s="310">
        <f>SUM(D15:E15)</f>
        <v>389333979.97578645</v>
      </c>
      <c r="D15" s="300">
        <f>G15+H15</f>
        <v>195191.38989429281</v>
      </c>
      <c r="E15" s="300">
        <f>I15+J15+K15</f>
        <v>389138788.58589214</v>
      </c>
      <c r="F15" s="311"/>
      <c r="G15" s="318">
        <v>138250.05048965124</v>
      </c>
      <c r="H15" s="318">
        <v>56941.339404641549</v>
      </c>
      <c r="I15" s="318">
        <v>266846255.97079235</v>
      </c>
      <c r="J15" s="318">
        <v>98683975.260239318</v>
      </c>
      <c r="K15" s="318">
        <v>23608557.354860481</v>
      </c>
    </row>
    <row r="16" spans="1:11" ht="15" x14ac:dyDescent="0.35">
      <c r="A16" s="2">
        <f t="shared" si="0"/>
        <v>9</v>
      </c>
      <c r="B16" s="315" t="s">
        <v>553</v>
      </c>
      <c r="C16" s="320">
        <f>SUM(D16:E16)</f>
        <v>89224078.584813699</v>
      </c>
      <c r="D16" s="304">
        <f>G16+H16</f>
        <v>640219.28114107158</v>
      </c>
      <c r="E16" s="321">
        <f>I16+J16</f>
        <v>88583859.303672627</v>
      </c>
      <c r="F16" s="322"/>
      <c r="G16" s="323">
        <v>0</v>
      </c>
      <c r="H16" s="324">
        <v>640219.28114107158</v>
      </c>
      <c r="I16" s="323">
        <v>0</v>
      </c>
      <c r="J16" s="324">
        <v>88583859.303672627</v>
      </c>
      <c r="K16" s="323">
        <v>0</v>
      </c>
    </row>
    <row r="17" spans="1:11" x14ac:dyDescent="0.2">
      <c r="A17" s="2">
        <f t="shared" si="0"/>
        <v>10</v>
      </c>
      <c r="B17" s="325" t="s">
        <v>556</v>
      </c>
      <c r="C17" s="300">
        <f>SUM(C14:C16)</f>
        <v>2363018200.1109004</v>
      </c>
      <c r="D17" s="300">
        <f>SUM(D14:D16)</f>
        <v>28828159.593314636</v>
      </c>
      <c r="E17" s="300">
        <f>SUM(E14:E16)</f>
        <v>2334190040.5175858</v>
      </c>
      <c r="F17" s="326"/>
      <c r="G17" s="300">
        <f>SUM(G14:G16)</f>
        <v>28130998.972768925</v>
      </c>
      <c r="H17" s="300">
        <f>SUM(H14:H16)</f>
        <v>697160.62054571311</v>
      </c>
      <c r="I17" s="300">
        <f>SUM(I14:I16)</f>
        <v>2123313648.5988133</v>
      </c>
      <c r="J17" s="300">
        <f>SUM(J14:J16)</f>
        <v>187267834.56391194</v>
      </c>
      <c r="K17" s="300">
        <f>SUM(K14:K16)</f>
        <v>23608557.354860481</v>
      </c>
    </row>
    <row r="18" spans="1:11" x14ac:dyDescent="0.2">
      <c r="A18" s="2">
        <f t="shared" si="0"/>
        <v>11</v>
      </c>
      <c r="B18" s="17"/>
      <c r="C18" s="327"/>
      <c r="D18" s="327"/>
      <c r="E18" s="327"/>
      <c r="F18" s="328"/>
      <c r="G18" s="327"/>
      <c r="H18" s="327"/>
      <c r="I18" s="327"/>
      <c r="J18" s="327"/>
      <c r="K18" s="327"/>
    </row>
    <row r="19" spans="1:11" x14ac:dyDescent="0.2">
      <c r="A19" s="2">
        <f t="shared" si="0"/>
        <v>12</v>
      </c>
      <c r="B19" s="325" t="s">
        <v>544</v>
      </c>
      <c r="C19" s="329">
        <f>C11+C17</f>
        <v>3935416379.0085611</v>
      </c>
      <c r="D19" s="329">
        <f t="shared" ref="D19:K19" si="2">D11+D17</f>
        <v>186044343.78061786</v>
      </c>
      <c r="E19" s="329">
        <f>E11+E17</f>
        <v>3749372035.2279434</v>
      </c>
      <c r="F19" s="329"/>
      <c r="G19" s="329">
        <f t="shared" si="2"/>
        <v>177281804.82300487</v>
      </c>
      <c r="H19" s="329">
        <f t="shared" si="2"/>
        <v>8762538.957612982</v>
      </c>
      <c r="I19" s="329">
        <f t="shared" si="2"/>
        <v>3411802872.0243998</v>
      </c>
      <c r="J19" s="329">
        <f t="shared" si="2"/>
        <v>313960605.84868264</v>
      </c>
      <c r="K19" s="329">
        <f t="shared" si="2"/>
        <v>23608557.354860481</v>
      </c>
    </row>
    <row r="20" spans="1:11" x14ac:dyDescent="0.2">
      <c r="A20" s="2">
        <f t="shared" si="0"/>
        <v>13</v>
      </c>
      <c r="B20" s="17"/>
      <c r="C20" s="330"/>
      <c r="D20" s="331"/>
      <c r="E20" s="330"/>
      <c r="F20" s="17"/>
      <c r="G20" s="330"/>
      <c r="H20" s="330"/>
      <c r="I20" s="330"/>
      <c r="J20" s="330"/>
      <c r="K20" s="330"/>
    </row>
    <row r="21" spans="1:11" x14ac:dyDescent="0.2">
      <c r="A21" s="2">
        <f t="shared" si="0"/>
        <v>14</v>
      </c>
      <c r="B21" s="17"/>
      <c r="C21" s="330"/>
      <c r="D21" s="331"/>
      <c r="E21" s="330"/>
      <c r="F21" s="17"/>
      <c r="G21" s="330"/>
      <c r="H21" s="330"/>
      <c r="I21" s="330"/>
      <c r="J21" s="330"/>
      <c r="K21" s="330"/>
    </row>
    <row r="22" spans="1:11" x14ac:dyDescent="0.2">
      <c r="A22" s="2">
        <f t="shared" si="0"/>
        <v>15</v>
      </c>
      <c r="B22" s="17" t="s">
        <v>560</v>
      </c>
      <c r="C22" s="330"/>
      <c r="D22" s="331"/>
      <c r="E22" s="330"/>
      <c r="F22" s="17"/>
      <c r="G22" s="330"/>
      <c r="H22" s="330"/>
      <c r="I22" s="330"/>
      <c r="J22" s="330"/>
      <c r="K22" s="330"/>
    </row>
    <row r="23" spans="1:11" x14ac:dyDescent="0.2">
      <c r="A23" s="2">
        <f t="shared" si="0"/>
        <v>16</v>
      </c>
      <c r="B23" s="17"/>
      <c r="C23" s="332" t="s">
        <v>562</v>
      </c>
      <c r="D23" s="26" t="s">
        <v>563</v>
      </c>
      <c r="E23" s="26"/>
      <c r="F23" s="17"/>
      <c r="G23" s="17"/>
      <c r="H23" s="17"/>
      <c r="I23" s="17"/>
      <c r="J23" s="17"/>
      <c r="K23" s="17"/>
    </row>
    <row r="24" spans="1:11" x14ac:dyDescent="0.2">
      <c r="A24" s="2">
        <f t="shared" si="0"/>
        <v>17</v>
      </c>
      <c r="B24" s="17" t="s">
        <v>379</v>
      </c>
      <c r="C24" s="31" t="s">
        <v>561</v>
      </c>
      <c r="D24" s="31" t="s">
        <v>561</v>
      </c>
      <c r="E24" s="31" t="s">
        <v>225</v>
      </c>
      <c r="F24" s="17"/>
      <c r="G24" s="333" t="s">
        <v>269</v>
      </c>
      <c r="H24" s="17"/>
      <c r="I24" s="17"/>
      <c r="J24" s="17"/>
      <c r="K24" s="17"/>
    </row>
    <row r="25" spans="1:11" x14ac:dyDescent="0.2">
      <c r="A25" s="2">
        <f t="shared" si="0"/>
        <v>18</v>
      </c>
      <c r="B25" s="87" t="s">
        <v>508</v>
      </c>
      <c r="C25" s="329">
        <f>G19</f>
        <v>177281804.82300487</v>
      </c>
      <c r="D25" s="329">
        <f>H19</f>
        <v>8762538.957612982</v>
      </c>
      <c r="E25" s="334">
        <f>SUM(C25:D25)</f>
        <v>186044343.78061786</v>
      </c>
      <c r="F25" s="17"/>
      <c r="G25" s="17" t="s">
        <v>568</v>
      </c>
      <c r="H25" s="17"/>
      <c r="I25" s="17"/>
      <c r="J25" s="17"/>
      <c r="K25" s="17"/>
    </row>
    <row r="26" spans="1:11" x14ac:dyDescent="0.2">
      <c r="A26" s="2">
        <f t="shared" si="0"/>
        <v>19</v>
      </c>
      <c r="B26" s="87" t="s">
        <v>542</v>
      </c>
      <c r="C26" s="329">
        <f>I19</f>
        <v>3411802872.0243998</v>
      </c>
      <c r="D26" s="329">
        <f>J19</f>
        <v>313960605.84868264</v>
      </c>
      <c r="E26" s="334">
        <f>SUM(C26:D26)</f>
        <v>3725763477.8730822</v>
      </c>
      <c r="F26" s="17"/>
      <c r="G26" s="17" t="s">
        <v>568</v>
      </c>
      <c r="H26" s="17"/>
      <c r="I26" s="17"/>
      <c r="J26" s="17"/>
      <c r="K26" s="17"/>
    </row>
    <row r="27" spans="1:11" x14ac:dyDescent="0.2">
      <c r="A27" s="2">
        <f t="shared" si="0"/>
        <v>20</v>
      </c>
      <c r="B27" s="32" t="s">
        <v>565</v>
      </c>
      <c r="C27" s="329">
        <f>SUM(C25:C26)</f>
        <v>3589084676.8474045</v>
      </c>
      <c r="D27" s="329">
        <f>SUM(D25:D26)</f>
        <v>322723144.80629563</v>
      </c>
      <c r="E27" s="329">
        <f>SUM(C27:D27)</f>
        <v>3911807821.6536999</v>
      </c>
      <c r="F27" s="17"/>
      <c r="G27" s="17" t="s">
        <v>569</v>
      </c>
      <c r="H27" s="17"/>
      <c r="I27" s="17"/>
      <c r="J27" s="17"/>
      <c r="K27" s="17"/>
    </row>
    <row r="28" spans="1:11" x14ac:dyDescent="0.2">
      <c r="A28" s="2">
        <f t="shared" si="0"/>
        <v>21</v>
      </c>
      <c r="B28" s="335" t="s">
        <v>564</v>
      </c>
      <c r="C28" s="336">
        <f>C27/E27</f>
        <v>0.91750025575901994</v>
      </c>
      <c r="D28" s="336">
        <f>D27/E27</f>
        <v>8.2499744240980069E-2</v>
      </c>
      <c r="E28" s="337"/>
      <c r="F28" s="338"/>
      <c r="G28" s="339" t="s">
        <v>570</v>
      </c>
      <c r="H28" s="17"/>
      <c r="I28" s="17"/>
      <c r="J28" s="17"/>
      <c r="K28" s="338"/>
    </row>
    <row r="29" spans="1:11" x14ac:dyDescent="0.2">
      <c r="A29" s="2">
        <f t="shared" si="0"/>
        <v>22</v>
      </c>
      <c r="B29" s="340"/>
      <c r="C29" s="341"/>
      <c r="D29" s="341"/>
      <c r="E29" s="341"/>
      <c r="F29" s="19"/>
      <c r="G29" s="19"/>
      <c r="H29" s="19"/>
      <c r="I29" s="19"/>
      <c r="J29" s="19"/>
      <c r="K29" s="19"/>
    </row>
    <row r="30" spans="1:11" x14ac:dyDescent="0.2">
      <c r="A30" s="2">
        <f t="shared" si="0"/>
        <v>23</v>
      </c>
      <c r="B30" s="17" t="s">
        <v>566</v>
      </c>
      <c r="C30" s="342">
        <f>K19*C28</f>
        <v>21660857.411185984</v>
      </c>
      <c r="D30" s="342">
        <f>K19*D28</f>
        <v>1947699.9436744987</v>
      </c>
      <c r="E30" s="342">
        <f>K19</f>
        <v>23608557.354860481</v>
      </c>
      <c r="F30" s="17"/>
      <c r="G30" s="17" t="s">
        <v>567</v>
      </c>
      <c r="H30" s="17"/>
      <c r="I30" s="17"/>
      <c r="J30" s="17"/>
      <c r="K30" s="17"/>
    </row>
    <row r="31" spans="1:11" x14ac:dyDescent="0.2">
      <c r="A31" s="2">
        <f t="shared" si="0"/>
        <v>24</v>
      </c>
      <c r="B31" s="17" t="s">
        <v>571</v>
      </c>
      <c r="C31" s="300">
        <f>C27+C30</f>
        <v>3610745534.2585907</v>
      </c>
      <c r="D31" s="300">
        <f>D27+D30</f>
        <v>324670844.74997014</v>
      </c>
      <c r="E31" s="300">
        <f>E27+E30</f>
        <v>3935416379.0085602</v>
      </c>
      <c r="F31" s="17"/>
      <c r="G31" s="17" t="s">
        <v>572</v>
      </c>
      <c r="H31" s="17"/>
      <c r="I31" s="17"/>
      <c r="J31" s="17"/>
      <c r="K31" s="17"/>
    </row>
    <row r="32" spans="1:11" x14ac:dyDescent="0.2">
      <c r="A32" s="2">
        <f t="shared" si="0"/>
        <v>25</v>
      </c>
      <c r="B32" s="17"/>
      <c r="C32" s="343"/>
      <c r="D32" s="343"/>
      <c r="E32" s="344"/>
      <c r="F32" s="17"/>
      <c r="G32" s="17"/>
      <c r="H32" s="17"/>
      <c r="I32" s="17"/>
      <c r="J32" s="17"/>
      <c r="K32" s="17"/>
    </row>
    <row r="33" spans="1:11" x14ac:dyDescent="0.2">
      <c r="A33" s="2">
        <f t="shared" si="0"/>
        <v>26</v>
      </c>
      <c r="B33" s="17"/>
      <c r="C33" s="326"/>
      <c r="D33" s="326"/>
      <c r="E33" s="17"/>
      <c r="F33" s="17"/>
      <c r="G33" s="326"/>
      <c r="H33" s="326"/>
      <c r="I33" s="326"/>
      <c r="J33" s="17"/>
      <c r="K33" s="17"/>
    </row>
    <row r="34" spans="1:11" x14ac:dyDescent="0.2">
      <c r="A34" s="2">
        <f t="shared" si="0"/>
        <v>27</v>
      </c>
      <c r="B34" s="291" t="s">
        <v>575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">
      <c r="A35" s="2">
        <f t="shared" si="0"/>
        <v>28</v>
      </c>
      <c r="B35" s="291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">
      <c r="A36" s="2">
        <f t="shared" si="0"/>
        <v>29</v>
      </c>
      <c r="B36" s="291"/>
      <c r="C36" s="332" t="s">
        <v>562</v>
      </c>
      <c r="D36" s="26" t="s">
        <v>563</v>
      </c>
      <c r="E36" s="26"/>
      <c r="F36" s="17"/>
      <c r="G36" s="17"/>
      <c r="H36" s="17"/>
      <c r="I36" s="17"/>
      <c r="J36" s="17"/>
      <c r="K36" s="17"/>
    </row>
    <row r="37" spans="1:11" x14ac:dyDescent="0.2">
      <c r="A37" s="2">
        <f t="shared" si="0"/>
        <v>30</v>
      </c>
      <c r="B37" s="291"/>
      <c r="C37" s="31" t="s">
        <v>561</v>
      </c>
      <c r="D37" s="31" t="s">
        <v>561</v>
      </c>
      <c r="E37" s="31" t="s">
        <v>225</v>
      </c>
      <c r="F37" s="17"/>
      <c r="G37" s="333" t="s">
        <v>269</v>
      </c>
      <c r="H37" s="17"/>
      <c r="I37" s="17"/>
      <c r="J37" s="17"/>
      <c r="K37" s="17"/>
    </row>
    <row r="38" spans="1:11" x14ac:dyDescent="0.2">
      <c r="A38" s="2">
        <f t="shared" si="0"/>
        <v>31</v>
      </c>
      <c r="B38" s="17" t="s">
        <v>571</v>
      </c>
      <c r="C38" s="345">
        <f>C31</f>
        <v>3610745534.2585907</v>
      </c>
      <c r="D38" s="345">
        <f>D31</f>
        <v>324670844.74997014</v>
      </c>
      <c r="E38" s="345">
        <f>E31</f>
        <v>3935416379.0085602</v>
      </c>
      <c r="F38" s="17"/>
      <c r="G38" s="17" t="str">
        <f>"Line "&amp;A31&amp;""</f>
        <v>Line 24</v>
      </c>
      <c r="H38" s="17"/>
      <c r="I38" s="17"/>
      <c r="J38" s="17"/>
      <c r="K38" s="17"/>
    </row>
    <row r="39" spans="1:11" x14ac:dyDescent="0.2">
      <c r="A39" s="2">
        <f t="shared" si="0"/>
        <v>32</v>
      </c>
      <c r="B39" s="698" t="s">
        <v>2039</v>
      </c>
      <c r="C39" s="316">
        <f>PlantAdditions!F34-PlantAdditions!G34</f>
        <v>2092918189.5564165</v>
      </c>
      <c r="D39" s="316">
        <f>PlantAdditions!G34</f>
        <v>4223074.6420280198</v>
      </c>
      <c r="E39" s="776">
        <f>SUM(C39:D39)</f>
        <v>2097141264.1984446</v>
      </c>
      <c r="F39" s="17"/>
      <c r="G39" s="17" t="str">
        <f>"13-Month Average: PlantAdditionsWS, Line "&amp;A34&amp;", Cols 2 and 3."</f>
        <v>13-Month Average: PlantAdditionsWS, Line 27, Cols 2 and 3.</v>
      </c>
      <c r="H39" s="17"/>
      <c r="I39" s="17"/>
      <c r="J39" s="17"/>
      <c r="K39" s="17"/>
    </row>
    <row r="40" spans="1:11" x14ac:dyDescent="0.2">
      <c r="A40" s="805">
        <f t="shared" si="0"/>
        <v>33</v>
      </c>
      <c r="B40" s="698" t="s">
        <v>2038</v>
      </c>
      <c r="C40" s="811">
        <f>CWIP!D137</f>
        <v>-830608755.97584665</v>
      </c>
      <c r="D40" s="811">
        <v>0</v>
      </c>
      <c r="E40" s="346">
        <f>SUM(C40:D40)</f>
        <v>-830608755.97584665</v>
      </c>
      <c r="F40" s="17"/>
      <c r="G40" s="17" t="str">
        <f>"13 Month Average: CWIP WS, Line "&amp;CWIP!A136&amp;", Col. 1"</f>
        <v>13 Month Average: CWIP WS, Line 91, Col. 1</v>
      </c>
      <c r="H40" s="17"/>
      <c r="I40" s="17"/>
      <c r="J40" s="17"/>
      <c r="K40" s="17"/>
    </row>
    <row r="41" spans="1:11" x14ac:dyDescent="0.2">
      <c r="A41" s="805">
        <f t="shared" si="0"/>
        <v>34</v>
      </c>
      <c r="B41" s="17" t="s">
        <v>573</v>
      </c>
      <c r="C41" s="345">
        <f>SUM(C38:C40)</f>
        <v>4873054967.8391609</v>
      </c>
      <c r="D41" s="345">
        <f t="shared" ref="D41:E41" si="3">SUM(D38:D40)</f>
        <v>328893919.39199817</v>
      </c>
      <c r="E41" s="345">
        <f t="shared" si="3"/>
        <v>5201948887.2311583</v>
      </c>
      <c r="F41" s="17"/>
      <c r="G41" s="17" t="str">
        <f>"Line "&amp;A38&amp;" + Line "&amp;A39&amp;" + Line "&amp;A40&amp;""</f>
        <v>Line 31 + Line 32 + Line 33</v>
      </c>
      <c r="H41" s="17"/>
      <c r="I41" s="17"/>
      <c r="J41" s="17"/>
      <c r="K41" s="17"/>
    </row>
    <row r="42" spans="1:11" x14ac:dyDescent="0.2">
      <c r="A42" s="805">
        <f t="shared" si="0"/>
        <v>35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">
      <c r="A43" s="805">
        <f t="shared" si="0"/>
        <v>36</v>
      </c>
      <c r="B43" s="17" t="s">
        <v>1373</v>
      </c>
      <c r="C43" s="347">
        <f>C41/E41</f>
        <v>0.93677486524342657</v>
      </c>
      <c r="D43" s="347">
        <f>D41/E41</f>
        <v>6.3225134756573625E-2</v>
      </c>
      <c r="E43" s="17"/>
      <c r="F43" s="17"/>
      <c r="G43" s="842" t="str">
        <f>"Percent of Total on Line "&amp;A41&amp;""</f>
        <v>Percent of Total on Line 34</v>
      </c>
      <c r="H43" s="17"/>
      <c r="I43" s="17"/>
      <c r="J43" s="17"/>
      <c r="K43" s="17"/>
    </row>
    <row r="44" spans="1:11" x14ac:dyDescent="0.2">
      <c r="A44" s="805">
        <f t="shared" si="0"/>
        <v>37</v>
      </c>
      <c r="B44" s="697" t="s">
        <v>1839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">
      <c r="A45" s="805">
        <f t="shared" si="0"/>
        <v>38</v>
      </c>
      <c r="B45" s="698" t="s">
        <v>2046</v>
      </c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">
      <c r="A46" s="12"/>
      <c r="B46" s="1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">
      <c r="A47" s="12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">
      <c r="A48" s="12"/>
      <c r="B48" s="17"/>
      <c r="C48" s="17"/>
      <c r="D48" s="17"/>
      <c r="E48" s="17"/>
      <c r="F48" s="17"/>
      <c r="G48" s="17"/>
      <c r="H48" s="17"/>
      <c r="I48" s="17"/>
      <c r="J48" s="17"/>
      <c r="K48" s="17"/>
    </row>
  </sheetData>
  <pageMargins left="0.7" right="0.7" top="0.75" bottom="0.75" header="0.3" footer="0.3"/>
  <pageSetup scale="75" orientation="landscape" r:id="rId1"/>
  <headerFooter>
    <oddHeader>&amp;CSchedule 31
High and Low Voltage Gross Plant&amp;RDkt. No. ER11-3697
2014 Draft Informational Filing</oddHeader>
    <oddFooter>&amp;RHVLV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G11" sqref="G11"/>
    </sheetView>
  </sheetViews>
  <sheetFormatPr defaultRowHeight="12.75" x14ac:dyDescent="0.2"/>
  <cols>
    <col min="1" max="1" width="4.7109375" customWidth="1"/>
    <col min="5" max="5" width="3.140625" customWidth="1"/>
    <col min="6" max="6" width="12.7109375" customWidth="1"/>
    <col min="7" max="7" width="22.7109375" customWidth="1"/>
    <col min="8" max="8" width="25.7109375" customWidth="1"/>
  </cols>
  <sheetData>
    <row r="1" spans="1:8" x14ac:dyDescent="0.2">
      <c r="A1" s="1" t="s">
        <v>2076</v>
      </c>
    </row>
    <row r="3" spans="1:8" x14ac:dyDescent="0.2">
      <c r="G3" s="2"/>
    </row>
    <row r="4" spans="1:8" x14ac:dyDescent="0.2">
      <c r="A4" s="3" t="s">
        <v>380</v>
      </c>
      <c r="F4" s="3" t="s">
        <v>329</v>
      </c>
      <c r="G4" s="3" t="s">
        <v>178</v>
      </c>
      <c r="H4" s="53" t="s">
        <v>207</v>
      </c>
    </row>
    <row r="5" spans="1:8" x14ac:dyDescent="0.2">
      <c r="A5" s="2">
        <v>1</v>
      </c>
      <c r="B5" s="12" t="s">
        <v>386</v>
      </c>
      <c r="F5" s="116">
        <v>89780374</v>
      </c>
      <c r="G5" s="16"/>
      <c r="H5" t="s">
        <v>418</v>
      </c>
    </row>
    <row r="6" spans="1:8" x14ac:dyDescent="0.2">
      <c r="A6" s="2">
        <v>2</v>
      </c>
      <c r="B6" s="12" t="s">
        <v>387</v>
      </c>
      <c r="F6" s="118">
        <v>164582</v>
      </c>
      <c r="G6" s="16"/>
      <c r="H6" t="s">
        <v>419</v>
      </c>
    </row>
    <row r="7" spans="1:8" x14ac:dyDescent="0.2">
      <c r="A7" s="2">
        <v>3</v>
      </c>
      <c r="B7" s="52" t="s">
        <v>374</v>
      </c>
      <c r="F7" s="117">
        <f>SUM(F5:F6)</f>
        <v>89944956</v>
      </c>
      <c r="G7" s="13" t="s">
        <v>389</v>
      </c>
      <c r="H7" s="12" t="s">
        <v>375</v>
      </c>
    </row>
    <row r="8" spans="1:8" x14ac:dyDescent="0.2">
      <c r="A8" s="2"/>
      <c r="G8" s="16"/>
    </row>
    <row r="9" spans="1:8" x14ac:dyDescent="0.2">
      <c r="A9" s="2"/>
      <c r="G9" s="16"/>
    </row>
    <row r="10" spans="1:8" x14ac:dyDescent="0.2">
      <c r="A10" s="2">
        <v>4</v>
      </c>
      <c r="B10" s="12" t="s">
        <v>388</v>
      </c>
      <c r="E10" s="37"/>
      <c r="F10" s="116">
        <v>179756</v>
      </c>
      <c r="G10" s="16"/>
      <c r="H10" s="12" t="s">
        <v>418</v>
      </c>
    </row>
    <row r="13" spans="1:8" x14ac:dyDescent="0.2">
      <c r="B13" s="53" t="s">
        <v>269</v>
      </c>
    </row>
    <row r="14" spans="1:8" x14ac:dyDescent="0.2">
      <c r="B14" s="12" t="s">
        <v>1504</v>
      </c>
    </row>
    <row r="15" spans="1:8" x14ac:dyDescent="0.2">
      <c r="B15" s="12" t="s">
        <v>1505</v>
      </c>
    </row>
  </sheetData>
  <pageMargins left="0.7" right="0.7" top="0.75" bottom="0.75" header="0.3" footer="0.3"/>
  <pageSetup orientation="landscape" r:id="rId1"/>
  <headerFooter>
    <oddHeader>&amp;CSchedule 32 
Gross Load&amp;RDkt. No. ER11-3697
2014 Draft Informational Filing</oddHeader>
    <oddFooter>&amp;R&amp;A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3"/>
  <sheetViews>
    <sheetView zoomScale="90" zoomScaleNormal="90" workbookViewId="0">
      <selection activeCell="G33" sqref="G33"/>
    </sheetView>
  </sheetViews>
  <sheetFormatPr defaultColWidth="9.140625" defaultRowHeight="12.75" x14ac:dyDescent="0.2"/>
  <cols>
    <col min="1" max="1" width="5.42578125" style="868" customWidth="1"/>
    <col min="2" max="2" width="18.5703125" style="868" customWidth="1"/>
    <col min="3" max="12" width="15.85546875" style="868" customWidth="1"/>
    <col min="13" max="13" width="8.7109375" style="867" customWidth="1"/>
    <col min="14" max="16384" width="9.140625" style="868"/>
  </cols>
  <sheetData>
    <row r="1" spans="1:13" ht="15.75" x14ac:dyDescent="0.25">
      <c r="A1" s="864" t="s">
        <v>437</v>
      </c>
      <c r="B1" s="865"/>
      <c r="C1" s="865"/>
      <c r="D1" s="865"/>
      <c r="E1" s="865"/>
      <c r="F1" s="865"/>
      <c r="G1" s="865"/>
      <c r="H1" s="865"/>
      <c r="I1" s="865"/>
      <c r="J1" s="865"/>
      <c r="K1" s="866"/>
      <c r="L1" s="866"/>
    </row>
    <row r="2" spans="1:13" ht="14.25" customHeight="1" x14ac:dyDescent="0.25">
      <c r="A2" s="864"/>
      <c r="B2" s="865"/>
      <c r="C2" s="865"/>
      <c r="D2" s="865"/>
      <c r="E2" s="865"/>
      <c r="F2" s="865"/>
      <c r="G2" s="865"/>
      <c r="H2" s="865"/>
      <c r="I2" s="865"/>
      <c r="J2" s="865"/>
      <c r="K2" s="866"/>
      <c r="L2" s="866"/>
    </row>
    <row r="3" spans="1:13" x14ac:dyDescent="0.2">
      <c r="E3" s="869" t="s">
        <v>207</v>
      </c>
      <c r="K3" s="870"/>
      <c r="L3" s="870"/>
    </row>
    <row r="4" spans="1:13" x14ac:dyDescent="0.2">
      <c r="C4" s="871" t="s">
        <v>1418</v>
      </c>
      <c r="D4" s="872">
        <f>BaseTRR!K151</f>
        <v>907770458.31841433</v>
      </c>
      <c r="E4" s="873" t="s">
        <v>2219</v>
      </c>
      <c r="G4" s="874" t="s">
        <v>537</v>
      </c>
      <c r="H4" s="875"/>
      <c r="J4" s="876"/>
      <c r="K4" s="870"/>
      <c r="L4" s="870"/>
    </row>
    <row r="5" spans="1:13" x14ac:dyDescent="0.2">
      <c r="C5" s="871"/>
      <c r="D5" s="877"/>
      <c r="E5" s="873"/>
      <c r="K5" s="870"/>
      <c r="L5" s="870"/>
    </row>
    <row r="6" spans="1:13" ht="15.75" x14ac:dyDescent="0.25">
      <c r="B6" s="864" t="s">
        <v>1419</v>
      </c>
      <c r="D6" s="871"/>
      <c r="E6" s="877"/>
      <c r="F6" s="873"/>
      <c r="K6" s="870"/>
      <c r="L6" s="870"/>
    </row>
    <row r="7" spans="1:13" x14ac:dyDescent="0.2">
      <c r="C7" s="878" t="s">
        <v>417</v>
      </c>
      <c r="D7" s="878" t="s">
        <v>400</v>
      </c>
      <c r="E7" s="878" t="s">
        <v>401</v>
      </c>
      <c r="F7" s="878" t="s">
        <v>402</v>
      </c>
      <c r="G7" s="878" t="s">
        <v>403</v>
      </c>
      <c r="H7" s="878" t="s">
        <v>404</v>
      </c>
      <c r="I7" s="878" t="s">
        <v>405</v>
      </c>
      <c r="J7" s="878" t="s">
        <v>654</v>
      </c>
      <c r="K7" s="878" t="s">
        <v>1128</v>
      </c>
      <c r="L7" s="878" t="s">
        <v>1145</v>
      </c>
      <c r="M7" s="878" t="s">
        <v>1148</v>
      </c>
    </row>
    <row r="8" spans="1:13" x14ac:dyDescent="0.2">
      <c r="C8" s="879" t="s">
        <v>418</v>
      </c>
      <c r="E8" s="879" t="s">
        <v>419</v>
      </c>
      <c r="F8" s="879" t="s">
        <v>1420</v>
      </c>
      <c r="G8" s="879" t="s">
        <v>1435</v>
      </c>
      <c r="H8" s="879"/>
      <c r="I8" s="879"/>
    </row>
    <row r="9" spans="1:13" s="882" customFormat="1" x14ac:dyDescent="0.2">
      <c r="A9" s="880"/>
      <c r="B9" s="880"/>
      <c r="C9" s="878"/>
      <c r="D9" s="881"/>
      <c r="E9" s="1101" t="s">
        <v>2220</v>
      </c>
      <c r="F9" s="1102"/>
      <c r="G9" s="1103"/>
      <c r="H9" s="878"/>
      <c r="I9" s="880"/>
      <c r="J9" s="879" t="s">
        <v>1437</v>
      </c>
      <c r="K9" s="879" t="s">
        <v>1437</v>
      </c>
      <c r="L9" s="879" t="s">
        <v>1437</v>
      </c>
      <c r="M9" s="867"/>
    </row>
    <row r="10" spans="1:13" s="888" customFormat="1" ht="53.25" customHeight="1" x14ac:dyDescent="0.2">
      <c r="A10" s="883"/>
      <c r="B10" s="883"/>
      <c r="C10" s="884"/>
      <c r="D10" s="885" t="s">
        <v>2221</v>
      </c>
      <c r="E10" s="886" t="s">
        <v>1827</v>
      </c>
      <c r="F10" s="886" t="s">
        <v>2222</v>
      </c>
      <c r="G10" s="886" t="s">
        <v>2223</v>
      </c>
      <c r="H10" s="885" t="s">
        <v>2224</v>
      </c>
      <c r="I10" s="885" t="s">
        <v>2225</v>
      </c>
      <c r="J10" s="1104" t="s">
        <v>2226</v>
      </c>
      <c r="K10" s="1105"/>
      <c r="L10" s="1106"/>
      <c r="M10" s="887"/>
    </row>
    <row r="11" spans="1:13" s="882" customFormat="1" ht="36.75" customHeight="1" x14ac:dyDescent="0.2">
      <c r="A11" s="869" t="s">
        <v>369</v>
      </c>
      <c r="B11" s="889" t="s">
        <v>1421</v>
      </c>
      <c r="C11" s="890" t="s">
        <v>1422</v>
      </c>
      <c r="D11" s="891" t="s">
        <v>1423</v>
      </c>
      <c r="E11" s="892" t="s">
        <v>2227</v>
      </c>
      <c r="F11" s="889" t="s">
        <v>2228</v>
      </c>
      <c r="G11" s="889" t="s">
        <v>2229</v>
      </c>
      <c r="H11" s="893" t="s">
        <v>2230</v>
      </c>
      <c r="I11" s="894" t="s">
        <v>2231</v>
      </c>
      <c r="J11" s="892" t="s">
        <v>2227</v>
      </c>
      <c r="K11" s="889" t="s">
        <v>2228</v>
      </c>
      <c r="L11" s="889" t="s">
        <v>2229</v>
      </c>
      <c r="M11" s="889" t="s">
        <v>196</v>
      </c>
    </row>
    <row r="12" spans="1:13" s="876" customFormat="1" x14ac:dyDescent="0.2">
      <c r="A12" s="895" t="s">
        <v>700</v>
      </c>
      <c r="B12" s="689" t="s">
        <v>2232</v>
      </c>
      <c r="C12" s="896">
        <f>K104</f>
        <v>0.3945759486193991</v>
      </c>
      <c r="D12" s="877">
        <f>$D$4*C12</f>
        <v>358184389.71965504</v>
      </c>
      <c r="E12" s="1054">
        <v>29085.253446964573</v>
      </c>
      <c r="F12" s="1055">
        <v>0</v>
      </c>
      <c r="G12" s="1056">
        <v>1.2E-2</v>
      </c>
      <c r="H12" s="900">
        <f>D12/(E12*10^6)</f>
        <v>1.2314982586374411E-2</v>
      </c>
      <c r="I12" s="901"/>
      <c r="K12" s="870"/>
      <c r="L12" s="868"/>
      <c r="M12" s="867"/>
    </row>
    <row r="13" spans="1:13" s="876" customFormat="1" ht="13.5" thickBot="1" x14ac:dyDescent="0.25">
      <c r="A13" s="895" t="s">
        <v>702</v>
      </c>
      <c r="B13" s="689" t="s">
        <v>2233</v>
      </c>
      <c r="C13" s="896">
        <f>K105</f>
        <v>6.6566738523730212E-2</v>
      </c>
      <c r="D13" s="877">
        <f t="shared" ref="D13:D26" si="0">$D$4*C13</f>
        <v>60427318.73844862</v>
      </c>
      <c r="E13" s="1054">
        <v>4864.3595111788809</v>
      </c>
      <c r="F13" s="1055">
        <v>0</v>
      </c>
      <c r="G13" s="1056">
        <v>0.3813333333333333</v>
      </c>
      <c r="H13" s="900">
        <f>D13/(E13*10^6)</f>
        <v>1.2422461497670845E-2</v>
      </c>
      <c r="I13" s="901"/>
      <c r="J13" s="902">
        <v>4205.8320578194462</v>
      </c>
      <c r="K13" s="903">
        <v>22840.239631100965</v>
      </c>
      <c r="L13" s="904">
        <v>0.3813333333333333</v>
      </c>
      <c r="M13" s="867"/>
    </row>
    <row r="14" spans="1:13" s="876" customFormat="1" ht="15" thickBot="1" x14ac:dyDescent="0.3">
      <c r="A14" s="895" t="s">
        <v>2234</v>
      </c>
      <c r="B14" s="689" t="s">
        <v>2235</v>
      </c>
      <c r="C14" s="905"/>
      <c r="D14" s="905"/>
      <c r="E14" s="1057"/>
      <c r="F14" s="1057"/>
      <c r="G14" s="1057"/>
      <c r="H14" s="906"/>
      <c r="I14" s="907">
        <f>K14</f>
        <v>2.2874503668392632</v>
      </c>
      <c r="J14" s="908">
        <f>H13*J13*10^6</f>
        <v>52246786.803931803</v>
      </c>
      <c r="K14" s="1107">
        <f>J14/((K13+L13)*10^3)</f>
        <v>2.2874503668392632</v>
      </c>
      <c r="L14" s="1107"/>
      <c r="M14" s="909" t="s">
        <v>1438</v>
      </c>
    </row>
    <row r="15" spans="1:13" s="876" customFormat="1" x14ac:dyDescent="0.2">
      <c r="A15" s="895" t="s">
        <v>705</v>
      </c>
      <c r="B15" s="689" t="s">
        <v>2236</v>
      </c>
      <c r="C15" s="896">
        <f t="shared" ref="C15:C23" si="1">K106</f>
        <v>4.9580107128603906E-4</v>
      </c>
      <c r="D15" s="877">
        <f t="shared" si="0"/>
        <v>450073.56571608852</v>
      </c>
      <c r="E15" s="1054">
        <v>60.673973733721127</v>
      </c>
      <c r="F15" s="1055">
        <v>0</v>
      </c>
      <c r="G15" s="1056">
        <v>0</v>
      </c>
      <c r="H15" s="900">
        <f>D15/(E15*10^6)</f>
        <v>7.4179015815136647E-3</v>
      </c>
      <c r="I15" s="901"/>
      <c r="K15" s="870"/>
      <c r="L15" s="868"/>
      <c r="M15" s="867"/>
    </row>
    <row r="16" spans="1:13" s="876" customFormat="1" x14ac:dyDescent="0.2">
      <c r="A16" s="895" t="s">
        <v>1424</v>
      </c>
      <c r="B16" s="689" t="s">
        <v>2237</v>
      </c>
      <c r="C16" s="896">
        <f t="shared" si="1"/>
        <v>0.19133782704910798</v>
      </c>
      <c r="D16" s="877">
        <f t="shared" si="0"/>
        <v>173690826.95401824</v>
      </c>
      <c r="E16" s="1054">
        <v>15188.713101870708</v>
      </c>
      <c r="F16" s="1055">
        <v>52838.778110392639</v>
      </c>
      <c r="G16" s="1056">
        <v>36.152000000000001</v>
      </c>
      <c r="H16" s="901"/>
      <c r="I16" s="910">
        <f>D16/((G16+F16)*10^3)</f>
        <v>3.2849372394702998</v>
      </c>
      <c r="K16" s="870"/>
      <c r="L16" s="911"/>
      <c r="M16" s="867"/>
    </row>
    <row r="17" spans="1:13" s="876" customFormat="1" x14ac:dyDescent="0.2">
      <c r="A17" s="895" t="s">
        <v>1425</v>
      </c>
      <c r="B17" s="689" t="s">
        <v>2238</v>
      </c>
      <c r="C17" s="896">
        <f t="shared" si="1"/>
        <v>9.9026281521000431E-2</v>
      </c>
      <c r="D17" s="877">
        <f t="shared" si="0"/>
        <v>89893132.961886883</v>
      </c>
      <c r="E17" s="1054">
        <v>8539.5038363013427</v>
      </c>
      <c r="F17" s="1055">
        <v>24181.164502680269</v>
      </c>
      <c r="G17" s="1056">
        <v>84.075999999999993</v>
      </c>
      <c r="H17" s="901"/>
      <c r="I17" s="910">
        <f>D17/((G17+F17)*10^3)</f>
        <v>3.7046050688002681</v>
      </c>
      <c r="K17" s="870"/>
      <c r="L17" s="911"/>
      <c r="M17" s="867"/>
    </row>
    <row r="18" spans="1:13" s="876" customFormat="1" x14ac:dyDescent="0.2">
      <c r="A18" s="895" t="s">
        <v>1426</v>
      </c>
      <c r="B18" s="689" t="s">
        <v>2239</v>
      </c>
      <c r="C18" s="896">
        <f t="shared" si="1"/>
        <v>9.092234783576951E-2</v>
      </c>
      <c r="D18" s="877">
        <f t="shared" si="0"/>
        <v>82536621.366262779</v>
      </c>
      <c r="E18" s="1058">
        <v>8527.2214256403022</v>
      </c>
      <c r="F18" s="1059">
        <v>21371.778292907089</v>
      </c>
      <c r="G18" s="1060">
        <v>0</v>
      </c>
      <c r="H18" s="901"/>
      <c r="I18" s="910">
        <f t="shared" ref="I18:I25" si="2">D18/((G18+F18)*10^3)</f>
        <v>3.8619444874952316</v>
      </c>
      <c r="K18" s="870"/>
      <c r="L18" s="911"/>
      <c r="M18" s="867"/>
    </row>
    <row r="19" spans="1:13" s="876" customFormat="1" x14ac:dyDescent="0.2">
      <c r="A19" s="895" t="s">
        <v>1427</v>
      </c>
      <c r="B19" s="689" t="s">
        <v>2240</v>
      </c>
      <c r="C19" s="896">
        <f t="shared" si="1"/>
        <v>5.3762543637235441E-2</v>
      </c>
      <c r="D19" s="877">
        <f t="shared" si="0"/>
        <v>48804048.877936967</v>
      </c>
      <c r="E19" s="1058">
        <v>5644.4233411880286</v>
      </c>
      <c r="F19" s="1059">
        <v>12915.392819020708</v>
      </c>
      <c r="G19" s="1060">
        <v>0</v>
      </c>
      <c r="H19" s="901"/>
      <c r="I19" s="910">
        <f t="shared" si="2"/>
        <v>3.7787506397840613</v>
      </c>
      <c r="K19" s="870"/>
      <c r="L19" s="911"/>
      <c r="M19" s="867"/>
    </row>
    <row r="20" spans="1:13" s="876" customFormat="1" x14ac:dyDescent="0.2">
      <c r="A20" s="895" t="s">
        <v>1428</v>
      </c>
      <c r="B20" s="689" t="s">
        <v>2241</v>
      </c>
      <c r="C20" s="896">
        <f t="shared" si="1"/>
        <v>5.0485341657395572E-2</v>
      </c>
      <c r="D20" s="877">
        <f t="shared" si="0"/>
        <v>45829101.73469571</v>
      </c>
      <c r="E20" s="1058">
        <v>6253.3034474007036</v>
      </c>
      <c r="F20" s="1059">
        <v>12500.409697823725</v>
      </c>
      <c r="G20" s="1060">
        <v>0</v>
      </c>
      <c r="H20" s="901"/>
      <c r="I20" s="910">
        <f t="shared" si="2"/>
        <v>3.6662079757813366</v>
      </c>
      <c r="K20" s="912"/>
      <c r="L20" s="913"/>
      <c r="M20" s="867"/>
    </row>
    <row r="21" spans="1:13" s="876" customFormat="1" x14ac:dyDescent="0.2">
      <c r="A21" s="895" t="s">
        <v>1429</v>
      </c>
      <c r="B21" s="689" t="s">
        <v>2242</v>
      </c>
      <c r="C21" s="896">
        <f t="shared" si="1"/>
        <v>2.4041939129285355E-3</v>
      </c>
      <c r="D21" s="877">
        <f t="shared" si="0"/>
        <v>2182456.2102254787</v>
      </c>
      <c r="E21" s="1059">
        <v>241.19008557006188</v>
      </c>
      <c r="F21" s="1059">
        <v>298.83463532562587</v>
      </c>
      <c r="G21" s="1060">
        <v>457.54399999999998</v>
      </c>
      <c r="H21" s="901"/>
      <c r="I21" s="910">
        <f t="shared" si="2"/>
        <v>2.8854017132383931</v>
      </c>
      <c r="K21" s="914"/>
      <c r="L21" s="915"/>
      <c r="M21" s="867"/>
    </row>
    <row r="22" spans="1:13" s="876" customFormat="1" x14ac:dyDescent="0.2">
      <c r="A22" s="895" t="s">
        <v>1430</v>
      </c>
      <c r="B22" s="689" t="s">
        <v>2243</v>
      </c>
      <c r="C22" s="896">
        <f t="shared" si="1"/>
        <v>6.8956904712965811E-3</v>
      </c>
      <c r="D22" s="877">
        <f t="shared" si="0"/>
        <v>6259704.09955082</v>
      </c>
      <c r="E22" s="1059">
        <v>680.1291404029248</v>
      </c>
      <c r="F22" s="1059">
        <v>997.53309923197048</v>
      </c>
      <c r="G22" s="1060">
        <v>1462.0316666666668</v>
      </c>
      <c r="H22" s="901"/>
      <c r="I22" s="910">
        <f t="shared" si="2"/>
        <v>2.5450454431370697</v>
      </c>
      <c r="K22" s="914"/>
      <c r="L22" s="915"/>
      <c r="M22" s="867"/>
    </row>
    <row r="23" spans="1:13" s="876" customFormat="1" x14ac:dyDescent="0.2">
      <c r="A23" s="895" t="s">
        <v>1431</v>
      </c>
      <c r="B23" s="689" t="s">
        <v>2244</v>
      </c>
      <c r="C23" s="896">
        <f t="shared" si="1"/>
        <v>1.5500390489532405E-2</v>
      </c>
      <c r="D23" s="877">
        <f t="shared" si="0"/>
        <v>14070796.578797223</v>
      </c>
      <c r="E23" s="1059">
        <v>1955.9088324913325</v>
      </c>
      <c r="F23" s="1059">
        <v>2530.1166226867681</v>
      </c>
      <c r="G23" s="1060">
        <v>8697.6773333333331</v>
      </c>
      <c r="H23" s="901"/>
      <c r="I23" s="910">
        <f t="shared" si="2"/>
        <v>1.2532111502859173</v>
      </c>
      <c r="K23" s="912"/>
      <c r="L23" s="913"/>
      <c r="M23" s="867"/>
    </row>
    <row r="24" spans="1:13" s="876" customFormat="1" x14ac:dyDescent="0.2">
      <c r="A24" s="895" t="s">
        <v>1432</v>
      </c>
      <c r="B24" s="689" t="s">
        <v>2245</v>
      </c>
      <c r="C24" s="896">
        <f>K115</f>
        <v>1.474604516862648E-2</v>
      </c>
      <c r="D24" s="877">
        <f t="shared" si="0"/>
        <v>13386024.181108098</v>
      </c>
      <c r="E24" s="1054">
        <v>1736.0537584865078</v>
      </c>
      <c r="F24" s="1054">
        <v>9243.1676199719859</v>
      </c>
      <c r="G24" s="1054">
        <v>5.14</v>
      </c>
      <c r="H24" s="901"/>
      <c r="I24" s="910">
        <f t="shared" si="2"/>
        <v>1.4474025660868586</v>
      </c>
      <c r="K24" s="916"/>
      <c r="L24" s="916"/>
      <c r="M24" s="917"/>
    </row>
    <row r="25" spans="1:13" s="876" customFormat="1" x14ac:dyDescent="0.2">
      <c r="A25" s="895" t="s">
        <v>1433</v>
      </c>
      <c r="B25" s="689" t="s">
        <v>2246</v>
      </c>
      <c r="C25" s="896">
        <f>K116</f>
        <v>9.1996954000192546E-3</v>
      </c>
      <c r="D25" s="877">
        <f t="shared" si="0"/>
        <v>8351211.7096652873</v>
      </c>
      <c r="E25" s="1054">
        <v>1183.7554228314641</v>
      </c>
      <c r="F25" s="1054">
        <v>4578.305467311794</v>
      </c>
      <c r="G25" s="1054">
        <v>6.016</v>
      </c>
      <c r="H25" s="901"/>
      <c r="I25" s="910">
        <f t="shared" si="2"/>
        <v>1.8216898115049434</v>
      </c>
      <c r="J25" s="911"/>
      <c r="K25" s="868"/>
      <c r="L25" s="918"/>
      <c r="M25" s="867"/>
    </row>
    <row r="26" spans="1:13" s="876" customFormat="1" x14ac:dyDescent="0.2">
      <c r="A26" s="895" t="s">
        <v>1434</v>
      </c>
      <c r="B26" s="689" t="s">
        <v>2247</v>
      </c>
      <c r="C26" s="896">
        <f>K117</f>
        <v>4.081154642672365E-3</v>
      </c>
      <c r="D26" s="919">
        <f t="shared" si="0"/>
        <v>3704751.6204470173</v>
      </c>
      <c r="E26" s="1054">
        <v>744.81580807495072</v>
      </c>
      <c r="F26" s="1055">
        <v>0</v>
      </c>
      <c r="G26" s="1056">
        <v>0</v>
      </c>
      <c r="H26" s="900">
        <f>D26/(E26*10^6)</f>
        <v>4.9740507388293899E-3</v>
      </c>
      <c r="I26" s="901"/>
      <c r="J26" s="868"/>
      <c r="K26" s="868"/>
      <c r="L26" s="918"/>
      <c r="M26" s="867"/>
    </row>
    <row r="27" spans="1:13" s="876" customFormat="1" x14ac:dyDescent="0.2">
      <c r="A27" s="895" t="s">
        <v>1436</v>
      </c>
      <c r="B27" s="920" t="s">
        <v>92</v>
      </c>
      <c r="C27" s="896"/>
      <c r="D27" s="919"/>
      <c r="E27" s="897"/>
      <c r="F27" s="898"/>
      <c r="G27" s="899"/>
      <c r="H27" s="900"/>
      <c r="I27" s="901"/>
      <c r="J27" s="868"/>
      <c r="K27" s="868"/>
      <c r="L27" s="918"/>
      <c r="M27" s="867"/>
    </row>
    <row r="28" spans="1:13" s="876" customFormat="1" x14ac:dyDescent="0.2">
      <c r="A28" s="895">
        <v>2</v>
      </c>
      <c r="B28" s="692" t="s">
        <v>226</v>
      </c>
      <c r="C28" s="921">
        <f>SUM(C12:C27)</f>
        <v>1</v>
      </c>
      <c r="D28" s="1061">
        <f>SUM(D12:D27)</f>
        <v>907770458.31841433</v>
      </c>
      <c r="E28" s="922">
        <f>SUM(E12:E27)</f>
        <v>84705.305132135501</v>
      </c>
      <c r="F28" s="922">
        <f>SUM(F12:F27)</f>
        <v>141455.48086735257</v>
      </c>
      <c r="G28" s="922">
        <f>SUM(G12:G27)</f>
        <v>10749.030333333332</v>
      </c>
      <c r="H28" s="923"/>
      <c r="I28" s="868"/>
      <c r="J28" s="868"/>
      <c r="K28" s="868"/>
      <c r="L28" s="868"/>
      <c r="M28" s="867"/>
    </row>
    <row r="29" spans="1:13" s="876" customFormat="1" x14ac:dyDescent="0.2">
      <c r="A29" s="895">
        <f>A28+1</f>
        <v>3</v>
      </c>
      <c r="B29" s="868"/>
      <c r="C29" s="868"/>
      <c r="D29" s="868"/>
      <c r="E29" s="868"/>
      <c r="F29" s="868"/>
      <c r="G29" s="868"/>
      <c r="H29" s="868"/>
      <c r="I29" s="868"/>
      <c r="J29" s="924"/>
      <c r="K29" s="924"/>
      <c r="M29" s="867"/>
    </row>
    <row r="30" spans="1:13" s="876" customFormat="1" x14ac:dyDescent="0.2">
      <c r="A30" s="895">
        <f t="shared" ref="A30:A34" si="3">A29+1</f>
        <v>4</v>
      </c>
      <c r="B30" s="868"/>
      <c r="C30" s="868"/>
      <c r="D30" s="868"/>
      <c r="E30" s="868"/>
      <c r="F30" s="868"/>
      <c r="G30" s="925"/>
      <c r="H30" s="868"/>
      <c r="I30" s="878"/>
      <c r="J30" s="926"/>
      <c r="K30" s="926"/>
      <c r="L30" s="926"/>
      <c r="M30" s="867"/>
    </row>
    <row r="31" spans="1:13" s="876" customFormat="1" ht="15.75" x14ac:dyDescent="0.25">
      <c r="A31" s="895">
        <f t="shared" si="3"/>
        <v>5</v>
      </c>
      <c r="B31" s="864" t="s">
        <v>2248</v>
      </c>
      <c r="C31" s="868"/>
      <c r="D31" s="868"/>
      <c r="E31" s="868"/>
      <c r="F31" s="868"/>
      <c r="G31" s="868"/>
      <c r="H31" s="868"/>
      <c r="I31" s="868"/>
      <c r="J31" s="868"/>
      <c r="K31" s="868"/>
      <c r="L31" s="868"/>
      <c r="M31" s="867"/>
    </row>
    <row r="32" spans="1:13" s="876" customFormat="1" x14ac:dyDescent="0.2">
      <c r="A32" s="895">
        <f t="shared" si="3"/>
        <v>6</v>
      </c>
      <c r="B32" s="868"/>
      <c r="C32" s="878" t="s">
        <v>417</v>
      </c>
      <c r="D32" s="878" t="s">
        <v>400</v>
      </c>
      <c r="E32" s="878" t="s">
        <v>401</v>
      </c>
      <c r="F32" s="878" t="s">
        <v>402</v>
      </c>
      <c r="G32" s="878" t="s">
        <v>403</v>
      </c>
      <c r="H32" s="878" t="s">
        <v>404</v>
      </c>
      <c r="I32" s="878" t="s">
        <v>405</v>
      </c>
      <c r="K32" s="868"/>
      <c r="M32" s="867"/>
    </row>
    <row r="33" spans="1:13" s="888" customFormat="1" ht="25.5" x14ac:dyDescent="0.2">
      <c r="A33" s="895">
        <f t="shared" si="3"/>
        <v>7</v>
      </c>
      <c r="B33" s="883"/>
      <c r="C33" s="927" t="s">
        <v>2249</v>
      </c>
      <c r="D33" s="928" t="s">
        <v>2250</v>
      </c>
      <c r="E33" s="928" t="s">
        <v>2251</v>
      </c>
      <c r="F33" s="928" t="s">
        <v>2252</v>
      </c>
      <c r="G33" s="928" t="s">
        <v>2253</v>
      </c>
      <c r="H33" s="928" t="s">
        <v>2254</v>
      </c>
      <c r="I33" s="928" t="s">
        <v>2255</v>
      </c>
      <c r="K33" s="883"/>
      <c r="M33" s="887"/>
    </row>
    <row r="34" spans="1:13" s="876" customFormat="1" x14ac:dyDescent="0.2">
      <c r="A34" s="895">
        <f t="shared" si="3"/>
        <v>8</v>
      </c>
      <c r="B34" s="868"/>
      <c r="C34" s="878"/>
      <c r="D34" s="878"/>
      <c r="E34" s="878"/>
      <c r="F34" s="878"/>
      <c r="G34" s="878"/>
      <c r="H34" s="878"/>
      <c r="I34" s="929"/>
      <c r="K34" s="868"/>
      <c r="M34" s="867"/>
    </row>
    <row r="35" spans="1:13" s="933" customFormat="1" ht="51" x14ac:dyDescent="0.2">
      <c r="A35" s="895">
        <v>9</v>
      </c>
      <c r="B35" s="930" t="s">
        <v>1421</v>
      </c>
      <c r="C35" s="894" t="s">
        <v>1423</v>
      </c>
      <c r="D35" s="931" t="s">
        <v>2256</v>
      </c>
      <c r="E35" s="931" t="s">
        <v>2257</v>
      </c>
      <c r="F35" s="932" t="s">
        <v>2258</v>
      </c>
      <c r="G35" s="932" t="s">
        <v>2259</v>
      </c>
      <c r="H35" s="932" t="s">
        <v>2229</v>
      </c>
      <c r="I35" s="932" t="s">
        <v>2260</v>
      </c>
      <c r="M35" s="934"/>
    </row>
    <row r="36" spans="1:13" s="939" customFormat="1" ht="15" x14ac:dyDescent="0.25">
      <c r="A36" s="935" t="s">
        <v>2261</v>
      </c>
      <c r="B36" s="936" t="s">
        <v>2242</v>
      </c>
      <c r="C36" s="937">
        <f>D21</f>
        <v>2182456.2102254787</v>
      </c>
      <c r="D36" s="938">
        <f t="shared" ref="D36:E38" si="4">E127</f>
        <v>228.414784</v>
      </c>
      <c r="E36" s="938">
        <f t="shared" si="4"/>
        <v>441.94085271064893</v>
      </c>
      <c r="F36" s="939">
        <f>D36/E36</f>
        <v>0.51684469222298746</v>
      </c>
      <c r="G36" s="937">
        <f>C36*F36</f>
        <v>1127990.9082641352</v>
      </c>
      <c r="H36" s="940">
        <f>G21</f>
        <v>457.54399999999998</v>
      </c>
      <c r="I36" s="939">
        <f>G36/H36/10^3</f>
        <v>2.4653167963390081</v>
      </c>
      <c r="M36" s="941"/>
    </row>
    <row r="37" spans="1:13" s="939" customFormat="1" ht="15" x14ac:dyDescent="0.25">
      <c r="A37" s="935" t="s">
        <v>2262</v>
      </c>
      <c r="B37" s="936" t="s">
        <v>2243</v>
      </c>
      <c r="C37" s="937">
        <f>D22</f>
        <v>6259704.09955082</v>
      </c>
      <c r="D37" s="938">
        <f t="shared" si="4"/>
        <v>515.81599999999992</v>
      </c>
      <c r="E37" s="938">
        <f t="shared" si="4"/>
        <v>1267.5713512648319</v>
      </c>
      <c r="F37" s="939">
        <f>D37/E37</f>
        <v>0.40693251664712893</v>
      </c>
      <c r="G37" s="937">
        <f>C37*F37</f>
        <v>2547277.142696565</v>
      </c>
      <c r="H37" s="940">
        <f>G22</f>
        <v>1462.0316666666668</v>
      </c>
      <c r="I37" s="939">
        <f>G37/H37/10^3</f>
        <v>1.7422858894049706</v>
      </c>
      <c r="M37" s="941"/>
    </row>
    <row r="38" spans="1:13" s="939" customFormat="1" ht="15" x14ac:dyDescent="0.25">
      <c r="A38" s="935" t="s">
        <v>2263</v>
      </c>
      <c r="B38" s="936" t="s">
        <v>2244</v>
      </c>
      <c r="C38" s="937">
        <f>D23</f>
        <v>14070796.578797223</v>
      </c>
      <c r="D38" s="938">
        <f t="shared" si="4"/>
        <v>943.57678799999974</v>
      </c>
      <c r="E38" s="938">
        <f t="shared" si="4"/>
        <v>2849.2942076987979</v>
      </c>
      <c r="F38" s="939">
        <f>D38/E38</f>
        <v>0.33116158571847498</v>
      </c>
      <c r="G38" s="937">
        <f>C38*F38</f>
        <v>4659707.3073565811</v>
      </c>
      <c r="H38" s="940">
        <f>G23</f>
        <v>8697.6773333333331</v>
      </c>
      <c r="I38" s="939">
        <f>G38/H38/10^3</f>
        <v>0.53574156970603282</v>
      </c>
      <c r="M38" s="941"/>
    </row>
    <row r="39" spans="1:13" s="876" customFormat="1" x14ac:dyDescent="0.2">
      <c r="A39" s="935" t="s">
        <v>2264</v>
      </c>
      <c r="B39" s="920" t="s">
        <v>92</v>
      </c>
      <c r="C39" s="878"/>
      <c r="D39" s="878"/>
      <c r="E39" s="878"/>
      <c r="F39" s="878"/>
      <c r="G39" s="878"/>
      <c r="H39" s="878"/>
      <c r="I39" s="929"/>
      <c r="K39" s="868"/>
      <c r="M39" s="867"/>
    </row>
    <row r="40" spans="1:13" s="876" customFormat="1" x14ac:dyDescent="0.2">
      <c r="A40" s="895">
        <v>10</v>
      </c>
      <c r="B40" s="868"/>
      <c r="C40" s="878"/>
      <c r="D40" s="878"/>
      <c r="E40" s="878"/>
      <c r="F40" s="878"/>
      <c r="G40" s="878"/>
      <c r="H40" s="878"/>
      <c r="I40" s="929"/>
      <c r="K40" s="868"/>
      <c r="M40" s="867"/>
    </row>
    <row r="41" spans="1:13" s="876" customFormat="1" ht="15.75" x14ac:dyDescent="0.25">
      <c r="A41" s="895">
        <v>11</v>
      </c>
      <c r="B41" s="942" t="s">
        <v>2087</v>
      </c>
      <c r="C41" s="868"/>
      <c r="D41" s="868"/>
      <c r="E41" s="868"/>
      <c r="G41" s="868"/>
      <c r="H41" s="868"/>
      <c r="I41" s="868"/>
      <c r="J41" s="868"/>
      <c r="K41" s="868"/>
      <c r="L41" s="868"/>
      <c r="M41" s="867"/>
    </row>
    <row r="42" spans="1:13" s="876" customFormat="1" x14ac:dyDescent="0.2">
      <c r="A42" s="895">
        <v>12</v>
      </c>
      <c r="B42" s="868"/>
      <c r="C42" s="878" t="s">
        <v>417</v>
      </c>
      <c r="D42" s="878" t="s">
        <v>400</v>
      </c>
      <c r="E42" s="878" t="s">
        <v>401</v>
      </c>
      <c r="F42" s="878" t="s">
        <v>402</v>
      </c>
      <c r="G42" s="878" t="s">
        <v>403</v>
      </c>
      <c r="H42" s="878" t="s">
        <v>404</v>
      </c>
      <c r="I42" s="878" t="s">
        <v>405</v>
      </c>
      <c r="J42" s="878" t="s">
        <v>654</v>
      </c>
      <c r="K42" s="878" t="s">
        <v>1128</v>
      </c>
      <c r="L42" s="878" t="s">
        <v>1145</v>
      </c>
      <c r="M42" s="867"/>
    </row>
    <row r="43" spans="1:13" s="888" customFormat="1" ht="38.25" x14ac:dyDescent="0.2">
      <c r="A43" s="943">
        <v>13</v>
      </c>
      <c r="B43" s="883"/>
      <c r="C43" s="928" t="s">
        <v>2249</v>
      </c>
      <c r="D43" s="928" t="s">
        <v>2265</v>
      </c>
      <c r="E43" s="928" t="s">
        <v>2266</v>
      </c>
      <c r="G43" s="928" t="s">
        <v>2267</v>
      </c>
      <c r="H43" s="928" t="s">
        <v>2268</v>
      </c>
      <c r="I43" s="928" t="s">
        <v>2269</v>
      </c>
      <c r="J43" s="928" t="s">
        <v>2270</v>
      </c>
      <c r="K43" s="928" t="s">
        <v>2271</v>
      </c>
      <c r="L43" s="884"/>
      <c r="M43" s="884"/>
    </row>
    <row r="44" spans="1:13" s="876" customFormat="1" x14ac:dyDescent="0.2">
      <c r="A44" s="895">
        <v>14</v>
      </c>
      <c r="B44" s="868"/>
      <c r="C44" s="879"/>
      <c r="D44" s="944"/>
      <c r="E44" s="923" t="s">
        <v>1439</v>
      </c>
      <c r="G44" s="923"/>
      <c r="H44" s="923" t="s">
        <v>1440</v>
      </c>
      <c r="I44" s="879" t="s">
        <v>1441</v>
      </c>
      <c r="J44" s="945"/>
      <c r="K44" s="945"/>
      <c r="L44" s="879"/>
      <c r="M44" s="923"/>
    </row>
    <row r="45" spans="1:13" s="882" customFormat="1" ht="63.75" x14ac:dyDescent="0.2">
      <c r="A45" s="895">
        <v>15</v>
      </c>
      <c r="B45" s="892" t="str">
        <f>B11</f>
        <v>CPUC Rate Group</v>
      </c>
      <c r="C45" s="894" t="s">
        <v>1423</v>
      </c>
      <c r="D45" s="894" t="s">
        <v>2272</v>
      </c>
      <c r="E45" s="894" t="s">
        <v>2273</v>
      </c>
      <c r="G45" s="894" t="s">
        <v>1444</v>
      </c>
      <c r="H45" s="894" t="s">
        <v>2274</v>
      </c>
      <c r="I45" s="932" t="s">
        <v>2275</v>
      </c>
      <c r="J45" s="894" t="s">
        <v>2276</v>
      </c>
      <c r="K45" s="932" t="s">
        <v>2277</v>
      </c>
      <c r="L45" s="946" t="s">
        <v>196</v>
      </c>
      <c r="M45" s="867"/>
    </row>
    <row r="46" spans="1:13" s="876" customFormat="1" ht="13.5" thickBot="1" x14ac:dyDescent="0.25">
      <c r="A46" s="895" t="s">
        <v>2278</v>
      </c>
      <c r="B46" s="689" t="str">
        <f>B12</f>
        <v>Domestic</v>
      </c>
      <c r="C46" s="937">
        <f>D12</f>
        <v>358184389.71965504</v>
      </c>
      <c r="D46" s="937">
        <f>C46-E46</f>
        <v>358184389.71965504</v>
      </c>
      <c r="E46" s="947"/>
      <c r="G46" s="947">
        <f>D46/(E12*10^6)</f>
        <v>1.2314982586374411E-2</v>
      </c>
      <c r="H46" s="947"/>
      <c r="I46" s="1062"/>
      <c r="J46" s="948"/>
      <c r="K46" s="947"/>
      <c r="L46" s="947"/>
      <c r="M46" s="923"/>
    </row>
    <row r="47" spans="1:13" s="876" customFormat="1" ht="13.5" thickBot="1" x14ac:dyDescent="0.25">
      <c r="A47" s="895" t="s">
        <v>2279</v>
      </c>
      <c r="B47" s="689" t="str">
        <f>B13</f>
        <v>GS-1</v>
      </c>
      <c r="C47" s="937">
        <f>D13</f>
        <v>60427318.73844862</v>
      </c>
      <c r="D47" s="937">
        <f>C47-E47</f>
        <v>60426446.4573754</v>
      </c>
      <c r="E47" s="937">
        <f>I47*L13*10^3</f>
        <v>872.28107322137225</v>
      </c>
      <c r="G47" s="947">
        <f>D47/(E13*10^6)</f>
        <v>1.2422282176822702E-2</v>
      </c>
      <c r="H47" s="949">
        <f>(J14-E47)/K13/10^3</f>
        <v>2.2874503668392632</v>
      </c>
      <c r="I47" s="950">
        <f>MIN($I$54,I14)</f>
        <v>2.2874503668392632</v>
      </c>
      <c r="J47" s="950"/>
      <c r="K47" s="950"/>
      <c r="L47" s="951" t="s">
        <v>1442</v>
      </c>
      <c r="M47" s="923"/>
    </row>
    <row r="48" spans="1:13" s="876" customFormat="1" x14ac:dyDescent="0.2">
      <c r="A48" s="895" t="s">
        <v>2280</v>
      </c>
      <c r="B48" s="689" t="str">
        <f t="shared" ref="B48:B59" si="5">B15</f>
        <v>TC-1</v>
      </c>
      <c r="C48" s="937">
        <f t="shared" ref="C48:C59" si="6">D15</f>
        <v>450073.56571608852</v>
      </c>
      <c r="D48" s="937">
        <f t="shared" ref="D48:D58" si="7">C48-E48</f>
        <v>450073.56571608852</v>
      </c>
      <c r="E48" s="947"/>
      <c r="G48" s="947">
        <f>D48/(E15*10^6)</f>
        <v>7.4179015815136647E-3</v>
      </c>
      <c r="H48" s="947"/>
      <c r="I48" s="1062"/>
      <c r="J48" s="948"/>
      <c r="K48" s="947"/>
      <c r="L48" s="947"/>
      <c r="M48" s="923"/>
    </row>
    <row r="49" spans="1:13" s="876" customFormat="1" x14ac:dyDescent="0.2">
      <c r="A49" s="895" t="s">
        <v>2281</v>
      </c>
      <c r="B49" s="689" t="str">
        <f t="shared" si="5"/>
        <v>GS-2</v>
      </c>
      <c r="C49" s="937">
        <f t="shared" si="6"/>
        <v>173690826.95401824</v>
      </c>
      <c r="D49" s="937">
        <f>C49-E49</f>
        <v>173601700.82119697</v>
      </c>
      <c r="E49" s="937">
        <f>I49*G16*10^3</f>
        <v>89126.132821247826</v>
      </c>
      <c r="G49" s="937"/>
      <c r="H49" s="952">
        <f t="shared" ref="H49:H58" si="8">D49/F16/10^3</f>
        <v>3.2854980192483292</v>
      </c>
      <c r="I49" s="1063">
        <f>MIN($I$54,I16)</f>
        <v>2.4653167963390081</v>
      </c>
      <c r="J49" s="948"/>
      <c r="K49" s="947"/>
      <c r="L49" s="947"/>
      <c r="M49" s="923"/>
    </row>
    <row r="50" spans="1:13" s="876" customFormat="1" x14ac:dyDescent="0.2">
      <c r="A50" s="895" t="s">
        <v>2282</v>
      </c>
      <c r="B50" s="689" t="str">
        <f t="shared" si="5"/>
        <v>TOU-GS-3</v>
      </c>
      <c r="C50" s="937">
        <f t="shared" si="6"/>
        <v>89893132.961886883</v>
      </c>
      <c r="D50" s="937">
        <f>C50-E50</f>
        <v>89685858.986917883</v>
      </c>
      <c r="E50" s="937">
        <f>I50*G17*10^3</f>
        <v>207273.97496899843</v>
      </c>
      <c r="G50" s="937"/>
      <c r="H50" s="952">
        <f t="shared" si="8"/>
        <v>3.7089139762883216</v>
      </c>
      <c r="I50" s="1063">
        <f>MIN($I$54,I17)</f>
        <v>2.4653167963390081</v>
      </c>
      <c r="J50" s="948"/>
      <c r="K50" s="947"/>
      <c r="L50" s="947"/>
      <c r="M50" s="923"/>
    </row>
    <row r="51" spans="1:13" s="876" customFormat="1" x14ac:dyDescent="0.2">
      <c r="A51" s="895" t="s">
        <v>2283</v>
      </c>
      <c r="B51" s="689" t="str">
        <f t="shared" si="5"/>
        <v>TOU-8-SEC</v>
      </c>
      <c r="C51" s="937">
        <f t="shared" si="6"/>
        <v>82536621.366262779</v>
      </c>
      <c r="D51" s="937">
        <f>C51-E51</f>
        <v>82536621.366262779</v>
      </c>
      <c r="E51" s="947"/>
      <c r="G51" s="937"/>
      <c r="H51" s="952">
        <f t="shared" si="8"/>
        <v>3.8619444874952316</v>
      </c>
      <c r="I51" s="1062"/>
      <c r="J51" s="948"/>
      <c r="K51" s="947"/>
      <c r="L51" s="947"/>
      <c r="M51" s="923"/>
    </row>
    <row r="52" spans="1:13" s="876" customFormat="1" x14ac:dyDescent="0.2">
      <c r="A52" s="895" t="s">
        <v>2284</v>
      </c>
      <c r="B52" s="689" t="str">
        <f t="shared" si="5"/>
        <v>TOU-8-PRI</v>
      </c>
      <c r="C52" s="937">
        <f t="shared" si="6"/>
        <v>48804048.877936967</v>
      </c>
      <c r="D52" s="937">
        <f t="shared" si="7"/>
        <v>48804048.877936967</v>
      </c>
      <c r="E52" s="947"/>
      <c r="G52" s="937"/>
      <c r="H52" s="952">
        <f t="shared" si="8"/>
        <v>3.7787506397840613</v>
      </c>
      <c r="I52" s="1062"/>
      <c r="J52" s="948"/>
      <c r="K52" s="947"/>
      <c r="L52" s="947"/>
      <c r="M52" s="923"/>
    </row>
    <row r="53" spans="1:13" s="876" customFormat="1" x14ac:dyDescent="0.2">
      <c r="A53" s="895" t="s">
        <v>2285</v>
      </c>
      <c r="B53" s="689" t="str">
        <f t="shared" si="5"/>
        <v>TOU-8-SUB</v>
      </c>
      <c r="C53" s="937">
        <f t="shared" si="6"/>
        <v>45829101.73469571</v>
      </c>
      <c r="D53" s="937">
        <f t="shared" si="7"/>
        <v>45829101.73469571</v>
      </c>
      <c r="E53" s="947"/>
      <c r="G53" s="937"/>
      <c r="H53" s="952">
        <f t="shared" si="8"/>
        <v>3.6662079757813366</v>
      </c>
      <c r="I53" s="1062"/>
      <c r="J53" s="953"/>
      <c r="K53" s="954"/>
      <c r="L53" s="954"/>
      <c r="M53" s="923"/>
    </row>
    <row r="54" spans="1:13" s="876" customFormat="1" x14ac:dyDescent="0.2">
      <c r="A54" s="895" t="s">
        <v>2286</v>
      </c>
      <c r="B54" s="689" t="str">
        <f t="shared" si="5"/>
        <v>TOU-8-Standby-SEC</v>
      </c>
      <c r="C54" s="937">
        <f t="shared" si="6"/>
        <v>2182456.2102254787</v>
      </c>
      <c r="D54" s="937">
        <f t="shared" si="7"/>
        <v>1054465.3019613437</v>
      </c>
      <c r="E54" s="937">
        <f>I54*G21*10^3</f>
        <v>1127990.908264135</v>
      </c>
      <c r="G54" s="937"/>
      <c r="H54" s="952">
        <f t="shared" si="8"/>
        <v>3.5285913254745158</v>
      </c>
      <c r="I54" s="1063">
        <f>I36</f>
        <v>2.4653167963390081</v>
      </c>
      <c r="J54" s="953"/>
      <c r="K54" s="954"/>
      <c r="L54" s="954"/>
      <c r="M54" s="923"/>
    </row>
    <row r="55" spans="1:13" s="876" customFormat="1" x14ac:dyDescent="0.2">
      <c r="A55" s="895" t="s">
        <v>2287</v>
      </c>
      <c r="B55" s="689" t="str">
        <f t="shared" si="5"/>
        <v>TOU-8-Standby-PRI</v>
      </c>
      <c r="C55" s="937">
        <f t="shared" si="6"/>
        <v>6259704.09955082</v>
      </c>
      <c r="D55" s="937">
        <f t="shared" si="7"/>
        <v>3712426.9568542549</v>
      </c>
      <c r="E55" s="937">
        <f>I55*G22*10^3</f>
        <v>2547277.142696565</v>
      </c>
      <c r="G55" s="937"/>
      <c r="H55" s="952">
        <f t="shared" si="8"/>
        <v>3.7216077939795276</v>
      </c>
      <c r="I55" s="1063">
        <f>I37</f>
        <v>1.7422858894049706</v>
      </c>
      <c r="J55" s="953"/>
      <c r="K55" s="954"/>
      <c r="L55" s="954"/>
      <c r="M55" s="923"/>
    </row>
    <row r="56" spans="1:13" s="876" customFormat="1" ht="13.5" thickBot="1" x14ac:dyDescent="0.25">
      <c r="A56" s="895" t="s">
        <v>2288</v>
      </c>
      <c r="B56" s="689" t="str">
        <f t="shared" si="5"/>
        <v>TOU-8-Standby-SUB</v>
      </c>
      <c r="C56" s="937">
        <f t="shared" si="6"/>
        <v>14070796.578797223</v>
      </c>
      <c r="D56" s="937">
        <f t="shared" si="7"/>
        <v>9411089.2714406401</v>
      </c>
      <c r="E56" s="937">
        <f>I56*G23*10^3</f>
        <v>4659707.307356582</v>
      </c>
      <c r="G56" s="937"/>
      <c r="H56" s="952">
        <f t="shared" si="8"/>
        <v>3.7196266713772528</v>
      </c>
      <c r="I56" s="1063">
        <f>I38</f>
        <v>0.53574156970603282</v>
      </c>
      <c r="J56" s="953"/>
      <c r="K56" s="954"/>
      <c r="L56" s="954"/>
      <c r="M56" s="923"/>
    </row>
    <row r="57" spans="1:13" s="876" customFormat="1" ht="13.5" thickBot="1" x14ac:dyDescent="0.25">
      <c r="A57" s="895" t="s">
        <v>2289</v>
      </c>
      <c r="B57" s="689" t="str">
        <f t="shared" si="5"/>
        <v>TOU-PA-2</v>
      </c>
      <c r="C57" s="937">
        <f t="shared" si="6"/>
        <v>13386024.181108098</v>
      </c>
      <c r="D57" s="937">
        <f t="shared" si="7"/>
        <v>13378584.531918412</v>
      </c>
      <c r="E57" s="937">
        <f>I57*G24*10^3</f>
        <v>7439.6491896864527</v>
      </c>
      <c r="G57" s="937"/>
      <c r="H57" s="952">
        <f t="shared" si="8"/>
        <v>1.4474025660868584</v>
      </c>
      <c r="I57" s="1063">
        <f>MIN($I$54,I24)</f>
        <v>1.4474025660868586</v>
      </c>
      <c r="J57" s="955">
        <f>H57*0.746</f>
        <v>1.0797623143007964</v>
      </c>
      <c r="K57" s="950">
        <f>I57*0.746</f>
        <v>1.0797623143007964</v>
      </c>
      <c r="L57" s="951" t="s">
        <v>1443</v>
      </c>
      <c r="M57" s="879"/>
    </row>
    <row r="58" spans="1:13" s="876" customFormat="1" x14ac:dyDescent="0.2">
      <c r="A58" s="895" t="s">
        <v>2290</v>
      </c>
      <c r="B58" s="689" t="str">
        <f t="shared" si="5"/>
        <v>TOU-PA-3</v>
      </c>
      <c r="C58" s="937">
        <f t="shared" si="6"/>
        <v>8351211.7096652873</v>
      </c>
      <c r="D58" s="937">
        <f t="shared" si="7"/>
        <v>8340252.4237592733</v>
      </c>
      <c r="E58" s="937">
        <f>I58*G25*10^3</f>
        <v>10959.28590601374</v>
      </c>
      <c r="G58" s="937"/>
      <c r="H58" s="952">
        <f t="shared" si="8"/>
        <v>1.8216898115049431</v>
      </c>
      <c r="I58" s="1063">
        <f>MIN($I$54,I25)</f>
        <v>1.8216898115049434</v>
      </c>
      <c r="J58" s="948"/>
      <c r="K58" s="947"/>
      <c r="L58" s="947"/>
      <c r="M58" s="879"/>
    </row>
    <row r="59" spans="1:13" s="876" customFormat="1" x14ac:dyDescent="0.2">
      <c r="A59" s="895" t="s">
        <v>2291</v>
      </c>
      <c r="B59" s="689" t="str">
        <f t="shared" si="5"/>
        <v>Street Lighting</v>
      </c>
      <c r="C59" s="937">
        <f t="shared" si="6"/>
        <v>3704751.6204470173</v>
      </c>
      <c r="D59" s="937">
        <f>C59-E59</f>
        <v>3704751.6204470173</v>
      </c>
      <c r="E59" s="947"/>
      <c r="G59" s="947">
        <f>D59/(E26*10^6)</f>
        <v>4.9740507388293899E-3</v>
      </c>
      <c r="H59" s="947"/>
      <c r="I59" s="1062"/>
      <c r="J59" s="948"/>
      <c r="K59" s="947"/>
      <c r="L59" s="947"/>
      <c r="M59" s="879"/>
    </row>
    <row r="60" spans="1:13" s="876" customFormat="1" x14ac:dyDescent="0.2">
      <c r="A60" s="895" t="s">
        <v>2292</v>
      </c>
      <c r="B60" s="920" t="s">
        <v>92</v>
      </c>
      <c r="C60" s="937"/>
      <c r="D60" s="937"/>
      <c r="E60" s="947"/>
      <c r="G60" s="947"/>
      <c r="H60" s="947"/>
      <c r="I60" s="1062"/>
      <c r="J60" s="948"/>
      <c r="K60" s="947"/>
      <c r="L60" s="947"/>
      <c r="M60" s="879"/>
    </row>
    <row r="61" spans="1:13" s="876" customFormat="1" x14ac:dyDescent="0.2">
      <c r="A61" s="895">
        <v>17</v>
      </c>
      <c r="B61" s="690" t="s">
        <v>226</v>
      </c>
      <c r="C61" s="1061">
        <f>SUM(C46:C60)</f>
        <v>907770458.31841433</v>
      </c>
      <c r="D61" s="1061">
        <f>SUM(D46:D60)</f>
        <v>899119811.6361376</v>
      </c>
      <c r="E61" s="1061">
        <f>SUM(E46:E59)</f>
        <v>8650646.6822764482</v>
      </c>
      <c r="G61" s="956"/>
      <c r="H61" s="956"/>
      <c r="I61" s="956"/>
      <c r="J61" s="956"/>
      <c r="K61" s="865"/>
      <c r="L61" s="865"/>
      <c r="M61" s="879"/>
    </row>
    <row r="62" spans="1:13" s="876" customFormat="1" x14ac:dyDescent="0.2">
      <c r="A62" s="895">
        <v>18</v>
      </c>
      <c r="B62" s="868"/>
      <c r="C62" s="868"/>
      <c r="D62" s="868"/>
      <c r="E62" s="868"/>
      <c r="F62" s="868"/>
      <c r="G62" s="868"/>
      <c r="H62" s="868"/>
      <c r="I62" s="865"/>
      <c r="J62" s="865"/>
      <c r="K62" s="865"/>
      <c r="L62" s="865"/>
      <c r="M62" s="867"/>
    </row>
    <row r="63" spans="1:13" s="876" customFormat="1" x14ac:dyDescent="0.2">
      <c r="A63" s="895">
        <v>19</v>
      </c>
      <c r="B63" s="957" t="s">
        <v>269</v>
      </c>
      <c r="C63" s="868"/>
      <c r="D63" s="868"/>
      <c r="E63" s="868"/>
      <c r="F63" s="868"/>
      <c r="G63" s="868"/>
      <c r="H63" s="868"/>
      <c r="I63" s="865"/>
      <c r="J63" s="865"/>
      <c r="K63" s="865"/>
      <c r="L63" s="865"/>
      <c r="M63" s="867"/>
    </row>
    <row r="64" spans="1:13" s="876" customFormat="1" x14ac:dyDescent="0.2">
      <c r="A64" s="868"/>
      <c r="B64" s="958" t="s">
        <v>2293</v>
      </c>
      <c r="I64" s="958"/>
      <c r="J64" s="958"/>
      <c r="K64" s="958"/>
      <c r="L64" s="958"/>
      <c r="M64" s="867"/>
    </row>
    <row r="65" spans="1:13" s="876" customFormat="1" x14ac:dyDescent="0.2">
      <c r="A65" s="868"/>
      <c r="B65" s="958" t="s">
        <v>2294</v>
      </c>
      <c r="I65" s="958"/>
      <c r="J65" s="958"/>
      <c r="K65" s="958"/>
      <c r="L65" s="958"/>
      <c r="M65" s="867"/>
    </row>
    <row r="66" spans="1:13" s="876" customFormat="1" x14ac:dyDescent="0.2">
      <c r="A66" s="868"/>
      <c r="B66" s="958" t="s">
        <v>2295</v>
      </c>
      <c r="I66" s="958"/>
      <c r="J66" s="958"/>
      <c r="K66" s="958"/>
      <c r="L66" s="958"/>
      <c r="M66" s="867"/>
    </row>
    <row r="67" spans="1:13" s="876" customFormat="1" x14ac:dyDescent="0.2">
      <c r="A67" s="868"/>
      <c r="B67" s="958" t="s">
        <v>2296</v>
      </c>
      <c r="I67" s="958"/>
      <c r="J67" s="958"/>
      <c r="K67" s="958"/>
      <c r="L67" s="958"/>
      <c r="M67" s="867"/>
    </row>
    <row r="68" spans="1:13" s="876" customFormat="1" x14ac:dyDescent="0.2">
      <c r="A68" s="868"/>
      <c r="B68" s="958" t="s">
        <v>2297</v>
      </c>
      <c r="I68" s="958"/>
      <c r="J68" s="958"/>
      <c r="K68" s="958"/>
      <c r="L68" s="958"/>
      <c r="M68" s="867"/>
    </row>
    <row r="69" spans="1:13" s="876" customFormat="1" ht="15.75" x14ac:dyDescent="0.3">
      <c r="A69" s="868"/>
      <c r="B69" s="958" t="s">
        <v>2298</v>
      </c>
      <c r="I69" s="958"/>
      <c r="J69" s="958"/>
      <c r="K69" s="958"/>
      <c r="L69" s="958"/>
      <c r="M69" s="867"/>
    </row>
    <row r="70" spans="1:13" s="876" customFormat="1" x14ac:dyDescent="0.2">
      <c r="A70" s="868"/>
      <c r="B70" s="958" t="s">
        <v>2299</v>
      </c>
      <c r="I70" s="958"/>
      <c r="J70" s="958"/>
      <c r="K70" s="958"/>
      <c r="L70" s="958"/>
      <c r="M70" s="867"/>
    </row>
    <row r="71" spans="1:13" s="876" customFormat="1" ht="15.75" x14ac:dyDescent="0.3">
      <c r="A71" s="868"/>
      <c r="B71" s="958" t="s">
        <v>2300</v>
      </c>
      <c r="I71" s="958"/>
      <c r="J71" s="958"/>
      <c r="K71" s="958"/>
      <c r="L71" s="958"/>
      <c r="M71" s="867"/>
    </row>
    <row r="72" spans="1:13" s="876" customFormat="1" x14ac:dyDescent="0.2">
      <c r="A72" s="868"/>
      <c r="B72" s="958" t="s">
        <v>2301</v>
      </c>
      <c r="I72" s="958"/>
      <c r="J72" s="958"/>
      <c r="K72" s="958"/>
      <c r="L72" s="958"/>
      <c r="M72" s="867"/>
    </row>
    <row r="73" spans="1:13" s="876" customFormat="1" x14ac:dyDescent="0.2">
      <c r="A73" s="868"/>
      <c r="B73" s="958" t="s">
        <v>2302</v>
      </c>
      <c r="I73" s="958"/>
      <c r="J73" s="958"/>
      <c r="K73" s="958"/>
      <c r="L73" s="958"/>
      <c r="M73" s="867"/>
    </row>
    <row r="74" spans="1:13" s="876" customFormat="1" x14ac:dyDescent="0.2">
      <c r="A74" s="868"/>
      <c r="B74" s="958" t="s">
        <v>2303</v>
      </c>
      <c r="I74" s="958"/>
      <c r="J74" s="958"/>
      <c r="K74" s="958"/>
      <c r="L74" s="958"/>
      <c r="M74" s="867"/>
    </row>
    <row r="75" spans="1:13" x14ac:dyDescent="0.2">
      <c r="A75" s="895">
        <v>20</v>
      </c>
    </row>
    <row r="76" spans="1:13" s="876" customFormat="1" x14ac:dyDescent="0.2">
      <c r="A76" s="895">
        <v>21</v>
      </c>
      <c r="B76" s="959"/>
      <c r="C76" s="868"/>
      <c r="D76" s="868"/>
      <c r="E76" s="868"/>
      <c r="F76" s="868"/>
      <c r="G76" s="868"/>
      <c r="H76" s="868"/>
      <c r="I76" s="868"/>
      <c r="J76" s="868"/>
      <c r="K76" s="868"/>
      <c r="L76" s="868"/>
      <c r="M76" s="867"/>
    </row>
    <row r="77" spans="1:13" s="876" customFormat="1" ht="15.75" x14ac:dyDescent="0.25">
      <c r="A77" s="895">
        <v>22</v>
      </c>
      <c r="B77" s="864" t="s">
        <v>1445</v>
      </c>
      <c r="C77" s="868"/>
      <c r="D77" s="868"/>
      <c r="E77" s="868"/>
      <c r="F77" s="868"/>
      <c r="G77" s="868"/>
      <c r="H77" s="868"/>
      <c r="I77" s="868"/>
      <c r="J77" s="868"/>
      <c r="K77" s="868"/>
      <c r="L77" s="868"/>
      <c r="M77" s="867"/>
    </row>
    <row r="78" spans="1:13" x14ac:dyDescent="0.2">
      <c r="A78" s="895">
        <v>23</v>
      </c>
    </row>
    <row r="79" spans="1:13" x14ac:dyDescent="0.2">
      <c r="A79" s="895">
        <v>24</v>
      </c>
    </row>
    <row r="80" spans="1:13" s="876" customFormat="1" ht="25.5" customHeight="1" x14ac:dyDescent="0.2">
      <c r="A80" s="895">
        <v>25</v>
      </c>
      <c r="B80" s="892" t="str">
        <f>B11</f>
        <v>CPUC Rate Group</v>
      </c>
      <c r="C80" s="960" t="s">
        <v>1446</v>
      </c>
      <c r="D80" s="961"/>
      <c r="E80" s="961"/>
      <c r="F80" s="961"/>
      <c r="G80" s="961"/>
      <c r="H80" s="961"/>
      <c r="I80" s="961"/>
      <c r="J80" s="962"/>
      <c r="K80" s="868"/>
      <c r="L80" s="868"/>
      <c r="M80" s="867"/>
    </row>
    <row r="81" spans="1:13" s="876" customFormat="1" x14ac:dyDescent="0.2">
      <c r="A81" s="895" t="s">
        <v>2304</v>
      </c>
      <c r="B81" s="963" t="s">
        <v>2232</v>
      </c>
      <c r="C81" s="964" t="s">
        <v>2305</v>
      </c>
      <c r="D81" s="965"/>
      <c r="E81" s="965"/>
      <c r="F81" s="965"/>
      <c r="G81" s="965"/>
      <c r="H81" s="965"/>
      <c r="I81" s="966"/>
      <c r="J81" s="966"/>
      <c r="K81" s="868"/>
      <c r="L81" s="868"/>
      <c r="M81" s="867"/>
    </row>
    <row r="82" spans="1:13" s="876" customFormat="1" x14ac:dyDescent="0.2">
      <c r="A82" s="895" t="s">
        <v>2306</v>
      </c>
      <c r="B82" s="963" t="s">
        <v>2233</v>
      </c>
      <c r="C82" s="964" t="s">
        <v>2307</v>
      </c>
      <c r="D82" s="965"/>
      <c r="E82" s="965"/>
      <c r="F82" s="965"/>
      <c r="G82" s="965"/>
      <c r="H82" s="965"/>
      <c r="I82" s="966"/>
      <c r="J82" s="963"/>
      <c r="K82" s="868"/>
      <c r="L82" s="868"/>
      <c r="M82" s="867"/>
    </row>
    <row r="83" spans="1:13" s="876" customFormat="1" x14ac:dyDescent="0.2">
      <c r="A83" s="895" t="s">
        <v>2308</v>
      </c>
      <c r="B83" s="963" t="s">
        <v>2236</v>
      </c>
      <c r="C83" s="964" t="s">
        <v>2309</v>
      </c>
      <c r="D83" s="965"/>
      <c r="E83" s="965"/>
      <c r="F83" s="965"/>
      <c r="G83" s="965"/>
      <c r="H83" s="965"/>
      <c r="I83" s="966"/>
      <c r="J83" s="963"/>
      <c r="K83" s="868"/>
      <c r="L83" s="868"/>
      <c r="M83" s="867"/>
    </row>
    <row r="84" spans="1:13" s="876" customFormat="1" x14ac:dyDescent="0.2">
      <c r="A84" s="895" t="s">
        <v>2310</v>
      </c>
      <c r="B84" s="963" t="s">
        <v>2237</v>
      </c>
      <c r="C84" s="964" t="s">
        <v>2311</v>
      </c>
      <c r="D84" s="965"/>
      <c r="E84" s="965"/>
      <c r="F84" s="965"/>
      <c r="G84" s="965"/>
      <c r="H84" s="965"/>
      <c r="I84" s="966"/>
      <c r="J84" s="963"/>
      <c r="K84" s="868"/>
      <c r="L84" s="868"/>
      <c r="M84" s="867"/>
    </row>
    <row r="85" spans="1:13" s="876" customFormat="1" x14ac:dyDescent="0.2">
      <c r="A85" s="895" t="s">
        <v>2312</v>
      </c>
      <c r="B85" s="963" t="s">
        <v>2238</v>
      </c>
      <c r="C85" s="964" t="s">
        <v>2313</v>
      </c>
      <c r="D85" s="965"/>
      <c r="E85" s="965"/>
      <c r="F85" s="965"/>
      <c r="G85" s="965"/>
      <c r="H85" s="965"/>
      <c r="I85" s="966"/>
      <c r="J85" s="963"/>
      <c r="K85" s="868"/>
      <c r="L85" s="868"/>
      <c r="M85" s="867"/>
    </row>
    <row r="86" spans="1:13" s="876" customFormat="1" x14ac:dyDescent="0.2">
      <c r="A86" s="895" t="s">
        <v>2314</v>
      </c>
      <c r="B86" s="963" t="s">
        <v>2239</v>
      </c>
      <c r="C86" s="964" t="s">
        <v>2315</v>
      </c>
      <c r="D86" s="965"/>
      <c r="E86" s="965"/>
      <c r="F86" s="965"/>
      <c r="G86" s="965"/>
      <c r="H86" s="965"/>
      <c r="I86" s="966"/>
      <c r="J86" s="963"/>
      <c r="K86" s="868"/>
      <c r="L86" s="868"/>
      <c r="M86" s="867"/>
    </row>
    <row r="87" spans="1:13" x14ac:dyDescent="0.2">
      <c r="A87" s="895" t="s">
        <v>2316</v>
      </c>
      <c r="B87" s="963" t="s">
        <v>2240</v>
      </c>
      <c r="C87" s="964" t="s">
        <v>2315</v>
      </c>
      <c r="D87" s="965"/>
      <c r="E87" s="965"/>
      <c r="F87" s="965"/>
      <c r="G87" s="965"/>
      <c r="H87" s="965"/>
      <c r="I87" s="966"/>
      <c r="J87" s="963"/>
    </row>
    <row r="88" spans="1:13" x14ac:dyDescent="0.2">
      <c r="A88" s="895" t="s">
        <v>2317</v>
      </c>
      <c r="B88" s="963" t="s">
        <v>2241</v>
      </c>
      <c r="C88" s="964" t="s">
        <v>2315</v>
      </c>
      <c r="D88" s="965"/>
      <c r="E88" s="965"/>
      <c r="F88" s="965"/>
      <c r="G88" s="965"/>
      <c r="H88" s="965"/>
      <c r="I88" s="966"/>
      <c r="J88" s="963"/>
    </row>
    <row r="89" spans="1:13" x14ac:dyDescent="0.2">
      <c r="A89" s="895" t="s">
        <v>2318</v>
      </c>
      <c r="B89" s="963" t="s">
        <v>2242</v>
      </c>
      <c r="C89" s="964" t="s">
        <v>2319</v>
      </c>
      <c r="D89" s="965"/>
      <c r="E89" s="965"/>
      <c r="F89" s="965"/>
      <c r="G89" s="965"/>
      <c r="H89" s="965"/>
      <c r="I89" s="966"/>
      <c r="J89" s="963"/>
    </row>
    <row r="90" spans="1:13" x14ac:dyDescent="0.2">
      <c r="A90" s="895" t="s">
        <v>2320</v>
      </c>
      <c r="B90" s="963" t="s">
        <v>2243</v>
      </c>
      <c r="C90" s="964" t="s">
        <v>2319</v>
      </c>
      <c r="D90" s="965"/>
      <c r="E90" s="965"/>
      <c r="F90" s="965"/>
      <c r="G90" s="965"/>
      <c r="H90" s="965"/>
      <c r="I90" s="966"/>
      <c r="J90" s="963"/>
    </row>
    <row r="91" spans="1:13" x14ac:dyDescent="0.2">
      <c r="A91" s="895" t="s">
        <v>2321</v>
      </c>
      <c r="B91" s="963" t="s">
        <v>2244</v>
      </c>
      <c r="C91" s="964" t="s">
        <v>2319</v>
      </c>
      <c r="D91" s="965"/>
      <c r="E91" s="965"/>
      <c r="F91" s="965"/>
      <c r="G91" s="965"/>
      <c r="H91" s="965"/>
      <c r="I91" s="966"/>
      <c r="J91" s="963"/>
    </row>
    <row r="92" spans="1:13" x14ac:dyDescent="0.2">
      <c r="A92" s="895" t="s">
        <v>2322</v>
      </c>
      <c r="B92" s="963" t="s">
        <v>2245</v>
      </c>
      <c r="C92" s="964" t="s">
        <v>2323</v>
      </c>
      <c r="D92" s="965"/>
      <c r="E92" s="965"/>
      <c r="F92" s="965"/>
      <c r="G92" s="965"/>
      <c r="H92" s="965"/>
      <c r="I92" s="966"/>
      <c r="J92" s="963"/>
    </row>
    <row r="93" spans="1:13" x14ac:dyDescent="0.2">
      <c r="A93" s="895" t="s">
        <v>2324</v>
      </c>
      <c r="B93" s="963" t="s">
        <v>2246</v>
      </c>
      <c r="C93" s="964" t="s">
        <v>2325</v>
      </c>
      <c r="D93" s="965"/>
      <c r="E93" s="965"/>
      <c r="F93" s="965"/>
      <c r="G93" s="965"/>
      <c r="H93" s="965"/>
      <c r="I93" s="966"/>
      <c r="J93" s="963"/>
    </row>
    <row r="94" spans="1:13" x14ac:dyDescent="0.2">
      <c r="A94" s="895" t="s">
        <v>2326</v>
      </c>
      <c r="B94" s="963" t="s">
        <v>2247</v>
      </c>
      <c r="C94" s="964" t="s">
        <v>2327</v>
      </c>
      <c r="D94" s="965"/>
      <c r="E94" s="965"/>
      <c r="F94" s="965"/>
      <c r="G94" s="965"/>
      <c r="H94" s="965"/>
      <c r="I94" s="966"/>
      <c r="J94" s="963"/>
    </row>
    <row r="95" spans="1:13" x14ac:dyDescent="0.2">
      <c r="A95" s="895" t="s">
        <v>2328</v>
      </c>
      <c r="B95" s="967" t="s">
        <v>92</v>
      </c>
      <c r="C95" s="964"/>
      <c r="D95" s="965"/>
      <c r="E95" s="965"/>
      <c r="F95" s="965"/>
      <c r="G95" s="965"/>
      <c r="H95" s="965"/>
      <c r="I95" s="966"/>
      <c r="J95" s="963"/>
    </row>
    <row r="96" spans="1:13" x14ac:dyDescent="0.2">
      <c r="A96" s="895">
        <v>27</v>
      </c>
    </row>
    <row r="97" spans="1:13" x14ac:dyDescent="0.2">
      <c r="A97" s="895">
        <f t="shared" ref="A97:A103" si="9">A96+1</f>
        <v>28</v>
      </c>
    </row>
    <row r="98" spans="1:13" ht="15.75" x14ac:dyDescent="0.25">
      <c r="A98" s="895">
        <f t="shared" si="9"/>
        <v>29</v>
      </c>
      <c r="B98" s="864" t="s">
        <v>1447</v>
      </c>
    </row>
    <row r="99" spans="1:13" x14ac:dyDescent="0.2">
      <c r="A99" s="895">
        <f t="shared" si="9"/>
        <v>30</v>
      </c>
      <c r="C99" s="878" t="s">
        <v>417</v>
      </c>
      <c r="D99" s="878" t="s">
        <v>400</v>
      </c>
      <c r="E99" s="878" t="s">
        <v>401</v>
      </c>
      <c r="F99" s="878" t="s">
        <v>402</v>
      </c>
      <c r="G99" s="968" t="s">
        <v>403</v>
      </c>
      <c r="H99" s="968" t="s">
        <v>404</v>
      </c>
      <c r="I99" s="968" t="s">
        <v>405</v>
      </c>
      <c r="J99" s="968" t="s">
        <v>654</v>
      </c>
      <c r="K99" s="968" t="s">
        <v>1128</v>
      </c>
      <c r="L99" s="969"/>
    </row>
    <row r="100" spans="1:13" s="883" customFormat="1" ht="38.25" x14ac:dyDescent="0.2">
      <c r="A100" s="970">
        <f t="shared" si="9"/>
        <v>31</v>
      </c>
      <c r="C100" s="884"/>
      <c r="D100" s="884"/>
      <c r="E100" s="884"/>
      <c r="F100" s="928" t="s">
        <v>2329</v>
      </c>
      <c r="G100" s="971"/>
      <c r="H100" s="928"/>
      <c r="I100" s="928" t="s">
        <v>2330</v>
      </c>
      <c r="J100" s="928" t="s">
        <v>2331</v>
      </c>
      <c r="K100" s="928" t="s">
        <v>2332</v>
      </c>
      <c r="L100" s="972"/>
      <c r="M100" s="887"/>
    </row>
    <row r="101" spans="1:13" s="973" customFormat="1" x14ac:dyDescent="0.2">
      <c r="A101" s="895">
        <f t="shared" si="9"/>
        <v>32</v>
      </c>
      <c r="C101" s="974"/>
      <c r="D101" s="974"/>
      <c r="E101" s="974"/>
      <c r="F101" s="975"/>
      <c r="G101" s="976"/>
      <c r="H101" s="975"/>
      <c r="I101" s="975"/>
      <c r="J101" s="975"/>
      <c r="K101" s="975"/>
      <c r="L101" s="977"/>
      <c r="M101" s="978"/>
    </row>
    <row r="102" spans="1:13" ht="21.75" customHeight="1" x14ac:dyDescent="0.2">
      <c r="A102" s="895">
        <f t="shared" si="9"/>
        <v>33</v>
      </c>
      <c r="B102" s="979"/>
      <c r="C102" s="1101" t="s">
        <v>1828</v>
      </c>
      <c r="D102" s="1102"/>
      <c r="E102" s="1102"/>
      <c r="F102" s="1103"/>
      <c r="G102" s="979"/>
      <c r="H102" s="980"/>
      <c r="I102" s="979"/>
      <c r="J102" s="981"/>
      <c r="K102" s="982"/>
      <c r="L102" s="983"/>
    </row>
    <row r="103" spans="1:13" s="923" customFormat="1" ht="47.25" customHeight="1" x14ac:dyDescent="0.2">
      <c r="A103" s="895">
        <f t="shared" si="9"/>
        <v>34</v>
      </c>
      <c r="B103" s="984" t="str">
        <f>B11</f>
        <v>CPUC Rate Group</v>
      </c>
      <c r="C103" s="985">
        <v>2009</v>
      </c>
      <c r="D103" s="986">
        <v>2010</v>
      </c>
      <c r="E103" s="986">
        <v>2011</v>
      </c>
      <c r="F103" s="984" t="s">
        <v>2333</v>
      </c>
      <c r="G103" s="984" t="s">
        <v>1448</v>
      </c>
      <c r="H103" s="987" t="s">
        <v>2495</v>
      </c>
      <c r="I103" s="984" t="s">
        <v>1851</v>
      </c>
      <c r="J103" s="984" t="s">
        <v>1829</v>
      </c>
      <c r="K103" s="984" t="s">
        <v>2334</v>
      </c>
      <c r="L103" s="988"/>
      <c r="M103" s="867"/>
    </row>
    <row r="104" spans="1:13" x14ac:dyDescent="0.2">
      <c r="A104" s="895" t="s">
        <v>2335</v>
      </c>
      <c r="B104" s="689" t="str">
        <f>B12</f>
        <v>Domestic</v>
      </c>
      <c r="C104" s="989">
        <v>68372.98</v>
      </c>
      <c r="D104" s="989">
        <v>63487.76</v>
      </c>
      <c r="E104" s="989">
        <v>66305.25</v>
      </c>
      <c r="F104" s="990">
        <f>(C104+D104+E104)/3</f>
        <v>66055.33</v>
      </c>
      <c r="G104" s="991">
        <v>1.0951</v>
      </c>
      <c r="H104" s="992">
        <v>29007.428653333332</v>
      </c>
      <c r="I104" s="924">
        <f>E12</f>
        <v>29085.253446964573</v>
      </c>
      <c r="J104" s="990">
        <f>F104*G104/H104*I104</f>
        <v>72531.267238573128</v>
      </c>
      <c r="K104" s="896">
        <f t="shared" ref="K104:K117" si="10">J104/$J$119</f>
        <v>0.3945759486193991</v>
      </c>
      <c r="L104" s="993"/>
      <c r="M104" s="994"/>
    </row>
    <row r="105" spans="1:13" x14ac:dyDescent="0.2">
      <c r="A105" s="895" t="s">
        <v>2336</v>
      </c>
      <c r="B105" s="689" t="str">
        <f>B13</f>
        <v>GS-1</v>
      </c>
      <c r="C105" s="989">
        <v>10674.88</v>
      </c>
      <c r="D105" s="989">
        <v>10675.43</v>
      </c>
      <c r="E105" s="989">
        <v>11305.81</v>
      </c>
      <c r="F105" s="990">
        <f t="shared" ref="F105:F117" si="11">(C105+D105+E105)/3</f>
        <v>10885.373333333331</v>
      </c>
      <c r="G105" s="991">
        <v>1.0952999999999999</v>
      </c>
      <c r="H105" s="992">
        <v>4739.6922766666667</v>
      </c>
      <c r="I105" s="924">
        <f>E13</f>
        <v>4864.3595111788809</v>
      </c>
      <c r="J105" s="990">
        <f t="shared" ref="J105:J117" si="12">F105*G105/H105*I105</f>
        <v>12236.351247354065</v>
      </c>
      <c r="K105" s="896">
        <f t="shared" si="10"/>
        <v>6.6566738523730212E-2</v>
      </c>
      <c r="L105" s="993"/>
      <c r="M105" s="994"/>
    </row>
    <row r="106" spans="1:13" x14ac:dyDescent="0.2">
      <c r="A106" s="895" t="s">
        <v>2337</v>
      </c>
      <c r="B106" s="689" t="str">
        <f t="shared" ref="B106:B117" si="13">B15</f>
        <v>TC-1</v>
      </c>
      <c r="C106" s="989">
        <v>92.98</v>
      </c>
      <c r="D106" s="989">
        <v>90.64</v>
      </c>
      <c r="E106" s="989">
        <v>87.56</v>
      </c>
      <c r="F106" s="990">
        <f t="shared" si="11"/>
        <v>90.393333333333331</v>
      </c>
      <c r="G106" s="991">
        <v>1.0964</v>
      </c>
      <c r="H106" s="992">
        <v>65.979003333333338</v>
      </c>
      <c r="I106" s="924">
        <f t="shared" ref="I106:I117" si="14">E15</f>
        <v>60.673973733721127</v>
      </c>
      <c r="J106" s="990">
        <f t="shared" si="12"/>
        <v>91.138550447498162</v>
      </c>
      <c r="K106" s="896">
        <f t="shared" si="10"/>
        <v>4.9580107128603906E-4</v>
      </c>
      <c r="L106" s="993"/>
      <c r="M106" s="994"/>
    </row>
    <row r="107" spans="1:13" x14ac:dyDescent="0.2">
      <c r="A107" s="895" t="s">
        <v>2338</v>
      </c>
      <c r="B107" s="689" t="str">
        <f t="shared" si="13"/>
        <v>GS-2</v>
      </c>
      <c r="C107" s="989">
        <v>32332.23</v>
      </c>
      <c r="D107" s="989">
        <v>33001.040000000001</v>
      </c>
      <c r="E107" s="989">
        <v>31688.97</v>
      </c>
      <c r="F107" s="990">
        <f t="shared" si="11"/>
        <v>32340.74666666667</v>
      </c>
      <c r="G107" s="991">
        <v>1.095</v>
      </c>
      <c r="H107" s="992">
        <v>15292.892893333332</v>
      </c>
      <c r="I107" s="924">
        <f t="shared" si="14"/>
        <v>15188.713101870708</v>
      </c>
      <c r="J107" s="990">
        <f t="shared" si="12"/>
        <v>35171.872779131765</v>
      </c>
      <c r="K107" s="896">
        <f t="shared" si="10"/>
        <v>0.19133782704910798</v>
      </c>
      <c r="L107" s="993"/>
      <c r="M107" s="994"/>
    </row>
    <row r="108" spans="1:13" x14ac:dyDescent="0.2">
      <c r="A108" s="895" t="s">
        <v>2339</v>
      </c>
      <c r="B108" s="689" t="str">
        <f t="shared" si="13"/>
        <v>TOU-GS-3</v>
      </c>
      <c r="C108" s="989">
        <v>15963.6</v>
      </c>
      <c r="D108" s="989">
        <v>16556.07</v>
      </c>
      <c r="E108" s="989">
        <v>16003.05</v>
      </c>
      <c r="F108" s="990">
        <f t="shared" si="11"/>
        <v>16174.24</v>
      </c>
      <c r="G108" s="991">
        <v>1.0945</v>
      </c>
      <c r="H108" s="992">
        <v>8304.7614000000012</v>
      </c>
      <c r="I108" s="924">
        <f t="shared" si="14"/>
        <v>8539.5038363013427</v>
      </c>
      <c r="J108" s="990">
        <f t="shared" si="12"/>
        <v>18203.090466545316</v>
      </c>
      <c r="K108" s="896">
        <f t="shared" si="10"/>
        <v>9.9026281521000431E-2</v>
      </c>
      <c r="L108" s="993"/>
      <c r="M108" s="994"/>
    </row>
    <row r="109" spans="1:13" x14ac:dyDescent="0.2">
      <c r="A109" s="895" t="s">
        <v>2340</v>
      </c>
      <c r="B109" s="689" t="str">
        <f t="shared" si="13"/>
        <v>TOU-8-SEC</v>
      </c>
      <c r="C109" s="989">
        <v>15834</v>
      </c>
      <c r="D109" s="989">
        <v>15647.35</v>
      </c>
      <c r="E109" s="989">
        <v>15151.84</v>
      </c>
      <c r="F109" s="990">
        <f t="shared" si="11"/>
        <v>15544.396666666667</v>
      </c>
      <c r="G109" s="991">
        <v>1.0954999999999999</v>
      </c>
      <c r="H109" s="995">
        <v>8688.1736933333341</v>
      </c>
      <c r="I109" s="924">
        <f t="shared" si="14"/>
        <v>8527.2214256403022</v>
      </c>
      <c r="J109" s="990">
        <f t="shared" si="12"/>
        <v>16713.418878949062</v>
      </c>
      <c r="K109" s="896">
        <f t="shared" si="10"/>
        <v>9.092234783576951E-2</v>
      </c>
      <c r="L109" s="993"/>
      <c r="M109" s="994"/>
    </row>
    <row r="110" spans="1:13" x14ac:dyDescent="0.2">
      <c r="A110" s="895" t="s">
        <v>2341</v>
      </c>
      <c r="B110" s="689" t="str">
        <f t="shared" si="13"/>
        <v>TOU-8-PRI</v>
      </c>
      <c r="C110" s="989">
        <v>9521.08</v>
      </c>
      <c r="D110" s="989">
        <v>9421.32</v>
      </c>
      <c r="E110" s="989">
        <v>9160.68</v>
      </c>
      <c r="F110" s="990">
        <f t="shared" si="11"/>
        <v>9367.6933333333345</v>
      </c>
      <c r="G110" s="991">
        <v>1.0674999999999999</v>
      </c>
      <c r="H110" s="995">
        <v>5711.4405900000002</v>
      </c>
      <c r="I110" s="924">
        <f t="shared" si="14"/>
        <v>5644.4233411880286</v>
      </c>
      <c r="J110" s="990">
        <f t="shared" si="12"/>
        <v>9882.6738771630698</v>
      </c>
      <c r="K110" s="896">
        <f t="shared" si="10"/>
        <v>5.3762543637235441E-2</v>
      </c>
      <c r="L110" s="993"/>
      <c r="M110" s="994"/>
    </row>
    <row r="111" spans="1:13" x14ac:dyDescent="0.2">
      <c r="A111" s="895" t="s">
        <v>2342</v>
      </c>
      <c r="B111" s="689" t="str">
        <f t="shared" si="13"/>
        <v>TOU-8-SUB</v>
      </c>
      <c r="C111" s="989">
        <v>8382.02</v>
      </c>
      <c r="D111" s="989">
        <v>8120.79</v>
      </c>
      <c r="E111" s="989">
        <v>8580.5499999999993</v>
      </c>
      <c r="F111" s="990">
        <f t="shared" si="11"/>
        <v>8361.1200000000008</v>
      </c>
      <c r="G111" s="991">
        <v>1.0330999999999999</v>
      </c>
      <c r="H111" s="995">
        <v>5820.4473633333337</v>
      </c>
      <c r="I111" s="924">
        <f t="shared" si="14"/>
        <v>6253.3034474007036</v>
      </c>
      <c r="J111" s="990">
        <f t="shared" si="12"/>
        <v>9280.2559816318171</v>
      </c>
      <c r="K111" s="896">
        <f t="shared" si="10"/>
        <v>5.0485341657395572E-2</v>
      </c>
      <c r="L111" s="993"/>
      <c r="M111" s="994"/>
    </row>
    <row r="112" spans="1:13" x14ac:dyDescent="0.2">
      <c r="A112" s="895" t="s">
        <v>2343</v>
      </c>
      <c r="B112" s="689" t="str">
        <f t="shared" si="13"/>
        <v>TOU-8-Standby-SEC</v>
      </c>
      <c r="C112" s="989">
        <v>382.99</v>
      </c>
      <c r="D112" s="989">
        <v>422.64</v>
      </c>
      <c r="E112" s="989">
        <v>421.56</v>
      </c>
      <c r="F112" s="990">
        <f t="shared" si="11"/>
        <v>409.06333333333333</v>
      </c>
      <c r="G112" s="991">
        <v>1.0959000000000001</v>
      </c>
      <c r="H112" s="995">
        <v>244.65651333333332</v>
      </c>
      <c r="I112" s="924">
        <f t="shared" si="14"/>
        <v>241.19008557006188</v>
      </c>
      <c r="J112" s="990">
        <f t="shared" si="12"/>
        <v>441.94085271064893</v>
      </c>
      <c r="K112" s="896">
        <f t="shared" si="10"/>
        <v>2.4041939129285355E-3</v>
      </c>
      <c r="L112" s="993"/>
      <c r="M112" s="994"/>
    </row>
    <row r="113" spans="1:13" x14ac:dyDescent="0.2">
      <c r="A113" s="895" t="s">
        <v>2344</v>
      </c>
      <c r="B113" s="689" t="str">
        <f t="shared" si="13"/>
        <v>TOU-8-Standby-PRI</v>
      </c>
      <c r="C113" s="989">
        <v>1247.5899999999999</v>
      </c>
      <c r="D113" s="989">
        <v>1180.5899999999999</v>
      </c>
      <c r="E113" s="989">
        <v>1147.6099999999999</v>
      </c>
      <c r="F113" s="990">
        <f t="shared" si="11"/>
        <v>1191.93</v>
      </c>
      <c r="G113" s="991">
        <v>1.0674999999999999</v>
      </c>
      <c r="H113" s="995">
        <v>682.7121033333334</v>
      </c>
      <c r="I113" s="924">
        <f t="shared" si="14"/>
        <v>680.1291404029248</v>
      </c>
      <c r="J113" s="990">
        <f t="shared" si="12"/>
        <v>1267.5713512648319</v>
      </c>
      <c r="K113" s="896">
        <f t="shared" si="10"/>
        <v>6.8956904712965811E-3</v>
      </c>
      <c r="L113" s="993"/>
      <c r="M113" s="994"/>
    </row>
    <row r="114" spans="1:13" x14ac:dyDescent="0.2">
      <c r="A114" s="895" t="s">
        <v>2345</v>
      </c>
      <c r="B114" s="689" t="str">
        <f t="shared" si="13"/>
        <v>TOU-8-Standby-SUB</v>
      </c>
      <c r="C114" s="996">
        <v>2669.12</v>
      </c>
      <c r="D114" s="996">
        <v>3137.55</v>
      </c>
      <c r="E114" s="996">
        <v>2568.81</v>
      </c>
      <c r="F114" s="990">
        <f t="shared" si="11"/>
        <v>2791.8266666666664</v>
      </c>
      <c r="G114" s="991">
        <v>1.0331999999999999</v>
      </c>
      <c r="H114" s="995">
        <v>1980.0864933333335</v>
      </c>
      <c r="I114" s="924">
        <f t="shared" si="14"/>
        <v>1955.9088324913325</v>
      </c>
      <c r="J114" s="990">
        <f t="shared" si="12"/>
        <v>2849.2942076987979</v>
      </c>
      <c r="K114" s="896">
        <f t="shared" si="10"/>
        <v>1.5500390489532405E-2</v>
      </c>
      <c r="L114" s="993"/>
      <c r="M114" s="994"/>
    </row>
    <row r="115" spans="1:13" x14ac:dyDescent="0.2">
      <c r="A115" s="895" t="s">
        <v>2346</v>
      </c>
      <c r="B115" s="689" t="str">
        <f t="shared" si="13"/>
        <v>TOU-PA-2</v>
      </c>
      <c r="C115" s="989">
        <v>2841.51</v>
      </c>
      <c r="D115" s="989">
        <v>2568.85</v>
      </c>
      <c r="E115" s="989">
        <v>2335.92</v>
      </c>
      <c r="F115" s="990">
        <f t="shared" si="11"/>
        <v>2582.0933333333337</v>
      </c>
      <c r="G115" s="991">
        <v>1.0955999999999999</v>
      </c>
      <c r="H115" s="992">
        <v>1811.8277766666665</v>
      </c>
      <c r="I115" s="924">
        <f t="shared" si="14"/>
        <v>1736.0537584865078</v>
      </c>
      <c r="J115" s="990">
        <f t="shared" si="12"/>
        <v>2710.6298459903992</v>
      </c>
      <c r="K115" s="896">
        <f t="shared" si="10"/>
        <v>1.474604516862648E-2</v>
      </c>
      <c r="L115" s="993"/>
      <c r="M115" s="994"/>
    </row>
    <row r="116" spans="1:13" x14ac:dyDescent="0.2">
      <c r="A116" s="895" t="s">
        <v>2347</v>
      </c>
      <c r="B116" s="689" t="str">
        <f t="shared" si="13"/>
        <v>TOU-PA-3</v>
      </c>
      <c r="C116" s="989">
        <v>1608.68</v>
      </c>
      <c r="D116" s="989">
        <v>1539.22</v>
      </c>
      <c r="E116" s="989">
        <v>1517.87</v>
      </c>
      <c r="F116" s="990">
        <f t="shared" si="11"/>
        <v>1555.2566666666669</v>
      </c>
      <c r="G116" s="991">
        <v>1.0942000000000001</v>
      </c>
      <c r="H116" s="992">
        <v>1191.2218733333334</v>
      </c>
      <c r="I116" s="924">
        <f t="shared" si="14"/>
        <v>1183.7554228314641</v>
      </c>
      <c r="J116" s="990">
        <f t="shared" si="12"/>
        <v>1691.0953845691718</v>
      </c>
      <c r="K116" s="896">
        <f t="shared" si="10"/>
        <v>9.1996954000192546E-3</v>
      </c>
      <c r="L116" s="993"/>
      <c r="M116" s="994"/>
    </row>
    <row r="117" spans="1:13" x14ac:dyDescent="0.2">
      <c r="A117" s="895" t="s">
        <v>2348</v>
      </c>
      <c r="B117" s="689" t="str">
        <f t="shared" si="13"/>
        <v>Street Lighting</v>
      </c>
      <c r="C117" s="989">
        <v>790.24</v>
      </c>
      <c r="D117" s="989">
        <v>471.52</v>
      </c>
      <c r="E117" s="989">
        <v>709.7</v>
      </c>
      <c r="F117" s="990">
        <f t="shared" si="11"/>
        <v>657.15333333333331</v>
      </c>
      <c r="G117" s="991">
        <v>1.0992999999999999</v>
      </c>
      <c r="H117" s="992">
        <v>717.22285666666653</v>
      </c>
      <c r="I117" s="924">
        <f t="shared" si="14"/>
        <v>744.81580807495072</v>
      </c>
      <c r="J117" s="990">
        <f t="shared" si="12"/>
        <v>750.20111860680083</v>
      </c>
      <c r="K117" s="896">
        <f t="shared" si="10"/>
        <v>4.081154642672365E-3</v>
      </c>
      <c r="L117" s="997"/>
      <c r="M117" s="994"/>
    </row>
    <row r="118" spans="1:13" x14ac:dyDescent="0.2">
      <c r="A118" s="895" t="s">
        <v>2349</v>
      </c>
      <c r="B118" s="920" t="s">
        <v>92</v>
      </c>
      <c r="C118" s="989"/>
      <c r="D118" s="989"/>
      <c r="E118" s="989"/>
      <c r="F118" s="990"/>
      <c r="G118" s="991"/>
      <c r="H118" s="992"/>
      <c r="I118" s="924"/>
      <c r="J118" s="990"/>
      <c r="K118" s="896"/>
      <c r="L118" s="997"/>
      <c r="M118" s="994"/>
    </row>
    <row r="119" spans="1:13" x14ac:dyDescent="0.2">
      <c r="A119" s="895">
        <v>36</v>
      </c>
      <c r="B119" s="692" t="s">
        <v>226</v>
      </c>
      <c r="C119" s="922">
        <f>SUM(C104:C118)</f>
        <v>170713.89999999994</v>
      </c>
      <c r="D119" s="922">
        <f>SUM(D104:D118)</f>
        <v>166320.77000000002</v>
      </c>
      <c r="E119" s="922">
        <f>SUM(E104:E118)</f>
        <v>166985.18</v>
      </c>
      <c r="F119" s="922">
        <f>SUM(F104:F118)</f>
        <v>168006.61666666661</v>
      </c>
      <c r="G119" s="921"/>
      <c r="H119" s="922">
        <f>SUM(H104:H118)</f>
        <v>84258.543490000011</v>
      </c>
      <c r="I119" s="922">
        <f>SUM(I104:I118)</f>
        <v>84705.305132135501</v>
      </c>
      <c r="J119" s="922">
        <f>SUM(J104:J118)</f>
        <v>183820.80178063639</v>
      </c>
      <c r="K119" s="998">
        <f>SUM(K104:K118)</f>
        <v>1</v>
      </c>
    </row>
    <row r="120" spans="1:13" x14ac:dyDescent="0.2">
      <c r="A120" s="895">
        <f t="shared" ref="A120:A126" si="15">A119+1</f>
        <v>37</v>
      </c>
    </row>
    <row r="121" spans="1:13" s="939" customFormat="1" ht="15.75" x14ac:dyDescent="0.25">
      <c r="A121" s="895">
        <f t="shared" si="15"/>
        <v>38</v>
      </c>
      <c r="B121" s="999"/>
      <c r="M121" s="941"/>
    </row>
    <row r="122" spans="1:13" s="939" customFormat="1" ht="15.75" x14ac:dyDescent="0.25">
      <c r="A122" s="895">
        <f t="shared" si="15"/>
        <v>39</v>
      </c>
      <c r="B122" s="999" t="s">
        <v>1830</v>
      </c>
      <c r="M122" s="941"/>
    </row>
    <row r="123" spans="1:13" s="939" customFormat="1" x14ac:dyDescent="0.2">
      <c r="A123" s="895">
        <f t="shared" si="15"/>
        <v>40</v>
      </c>
      <c r="C123" s="1000" t="s">
        <v>417</v>
      </c>
      <c r="D123" s="1000" t="s">
        <v>400</v>
      </c>
      <c r="E123" s="1000" t="s">
        <v>401</v>
      </c>
      <c r="F123" s="1001" t="s">
        <v>402</v>
      </c>
      <c r="G123" s="1002"/>
      <c r="H123" s="1002"/>
      <c r="I123" s="1002"/>
      <c r="J123" s="1003"/>
      <c r="K123" s="1002"/>
      <c r="M123" s="941"/>
    </row>
    <row r="124" spans="1:13" s="1004" customFormat="1" ht="25.5" x14ac:dyDescent="0.2">
      <c r="A124" s="895">
        <f t="shared" si="15"/>
        <v>41</v>
      </c>
      <c r="C124" s="1005"/>
      <c r="D124" s="1005"/>
      <c r="E124" s="1006" t="s">
        <v>2350</v>
      </c>
      <c r="F124" s="1006" t="s">
        <v>2351</v>
      </c>
      <c r="G124" s="1007"/>
      <c r="H124" s="1007"/>
      <c r="I124" s="1007"/>
      <c r="J124" s="1008"/>
      <c r="K124" s="1007"/>
      <c r="M124" s="934"/>
    </row>
    <row r="125" spans="1:13" s="1004" customFormat="1" x14ac:dyDescent="0.2">
      <c r="A125" s="895">
        <f t="shared" si="15"/>
        <v>42</v>
      </c>
      <c r="C125" s="1005"/>
      <c r="D125" s="1005"/>
      <c r="E125" s="1006"/>
      <c r="G125" s="1008"/>
      <c r="H125" s="1007"/>
      <c r="I125" s="1007"/>
      <c r="J125" s="1007"/>
      <c r="K125" s="1007"/>
      <c r="M125" s="934"/>
    </row>
    <row r="126" spans="1:13" s="933" customFormat="1" ht="25.5" x14ac:dyDescent="0.2">
      <c r="A126" s="895">
        <f t="shared" si="15"/>
        <v>43</v>
      </c>
      <c r="B126" s="931" t="s">
        <v>1421</v>
      </c>
      <c r="C126" s="931" t="s">
        <v>2352</v>
      </c>
      <c r="D126" s="931" t="s">
        <v>1448</v>
      </c>
      <c r="E126" s="931" t="s">
        <v>2256</v>
      </c>
      <c r="F126" s="931" t="s">
        <v>2257</v>
      </c>
      <c r="G126" s="1009"/>
      <c r="H126" s="1009"/>
      <c r="I126" s="1009"/>
      <c r="J126" s="1009"/>
      <c r="M126" s="934"/>
    </row>
    <row r="127" spans="1:13" s="939" customFormat="1" ht="15" x14ac:dyDescent="0.25">
      <c r="A127" s="935" t="s">
        <v>2353</v>
      </c>
      <c r="B127" s="936" t="s">
        <v>2242</v>
      </c>
      <c r="C127" s="989">
        <v>208.42666666666665</v>
      </c>
      <c r="D127" s="1010">
        <v>1.0959000000000001</v>
      </c>
      <c r="E127" s="990">
        <f>C127*$D127</f>
        <v>228.414784</v>
      </c>
      <c r="F127" s="940">
        <f>J112</f>
        <v>441.94085271064893</v>
      </c>
      <c r="G127" s="1003"/>
      <c r="H127" s="956"/>
      <c r="I127" s="956"/>
      <c r="J127" s="1003"/>
      <c r="M127" s="941"/>
    </row>
    <row r="128" spans="1:13" s="939" customFormat="1" ht="15" x14ac:dyDescent="0.25">
      <c r="A128" s="935" t="s">
        <v>2354</v>
      </c>
      <c r="B128" s="936" t="s">
        <v>2243</v>
      </c>
      <c r="C128" s="989">
        <v>483.2</v>
      </c>
      <c r="D128" s="1010">
        <v>1.0674999999999999</v>
      </c>
      <c r="E128" s="990">
        <f>C128*$D128</f>
        <v>515.81599999999992</v>
      </c>
      <c r="F128" s="940">
        <f>J113</f>
        <v>1267.5713512648319</v>
      </c>
      <c r="G128" s="1003"/>
      <c r="H128" s="956"/>
      <c r="I128" s="956"/>
      <c r="J128" s="1003"/>
      <c r="M128" s="941"/>
    </row>
    <row r="129" spans="1:13" s="939" customFormat="1" ht="15" x14ac:dyDescent="0.25">
      <c r="A129" s="935" t="s">
        <v>2355</v>
      </c>
      <c r="B129" s="936" t="s">
        <v>2244</v>
      </c>
      <c r="C129" s="996">
        <v>913.25666666666655</v>
      </c>
      <c r="D129" s="1011">
        <v>1.0331999999999999</v>
      </c>
      <c r="E129" s="1012">
        <f>C129*$D129</f>
        <v>943.57678799999974</v>
      </c>
      <c r="F129" s="940">
        <f>J114</f>
        <v>2849.2942076987979</v>
      </c>
      <c r="G129" s="1003"/>
      <c r="H129" s="956"/>
      <c r="I129" s="956"/>
      <c r="J129" s="1003"/>
      <c r="M129" s="941"/>
    </row>
    <row r="130" spans="1:13" x14ac:dyDescent="0.2">
      <c r="A130" s="935" t="s">
        <v>2356</v>
      </c>
      <c r="B130" s="920" t="s">
        <v>92</v>
      </c>
      <c r="C130" s="989"/>
      <c r="D130" s="989"/>
      <c r="E130" s="870"/>
    </row>
    <row r="145" spans="13:13" x14ac:dyDescent="0.2">
      <c r="M145" s="868"/>
    </row>
    <row r="146" spans="13:13" x14ac:dyDescent="0.2">
      <c r="M146" s="868"/>
    </row>
    <row r="147" spans="13:13" x14ac:dyDescent="0.2">
      <c r="M147" s="868"/>
    </row>
    <row r="148" spans="13:13" x14ac:dyDescent="0.2">
      <c r="M148" s="868"/>
    </row>
    <row r="149" spans="13:13" x14ac:dyDescent="0.2">
      <c r="M149" s="868"/>
    </row>
    <row r="150" spans="13:13" x14ac:dyDescent="0.2">
      <c r="M150" s="868"/>
    </row>
    <row r="151" spans="13:13" x14ac:dyDescent="0.2">
      <c r="M151" s="868"/>
    </row>
    <row r="152" spans="13:13" x14ac:dyDescent="0.2">
      <c r="M152" s="868"/>
    </row>
    <row r="153" spans="13:13" x14ac:dyDescent="0.2">
      <c r="M153" s="868"/>
    </row>
    <row r="154" spans="13:13" x14ac:dyDescent="0.2">
      <c r="M154" s="868"/>
    </row>
    <row r="155" spans="13:13" x14ac:dyDescent="0.2">
      <c r="M155" s="868"/>
    </row>
    <row r="156" spans="13:13" x14ac:dyDescent="0.2">
      <c r="M156" s="868"/>
    </row>
    <row r="157" spans="13:13" x14ac:dyDescent="0.2">
      <c r="M157" s="868"/>
    </row>
    <row r="158" spans="13:13" x14ac:dyDescent="0.2">
      <c r="M158" s="868"/>
    </row>
    <row r="159" spans="13:13" x14ac:dyDescent="0.2">
      <c r="M159" s="868"/>
    </row>
    <row r="160" spans="13:13" x14ac:dyDescent="0.2">
      <c r="M160" s="868"/>
    </row>
    <row r="161" spans="13:13" x14ac:dyDescent="0.2">
      <c r="M161" s="868"/>
    </row>
    <row r="162" spans="13:13" x14ac:dyDescent="0.2">
      <c r="M162" s="868"/>
    </row>
    <row r="163" spans="13:13" x14ac:dyDescent="0.2">
      <c r="M163" s="868"/>
    </row>
    <row r="164" spans="13:13" x14ac:dyDescent="0.2">
      <c r="M164" s="868"/>
    </row>
    <row r="165" spans="13:13" x14ac:dyDescent="0.2">
      <c r="M165" s="868"/>
    </row>
    <row r="166" spans="13:13" x14ac:dyDescent="0.2">
      <c r="M166" s="868"/>
    </row>
    <row r="167" spans="13:13" x14ac:dyDescent="0.2">
      <c r="M167" s="868"/>
    </row>
    <row r="168" spans="13:13" x14ac:dyDescent="0.2">
      <c r="M168" s="868"/>
    </row>
    <row r="169" spans="13:13" x14ac:dyDescent="0.2">
      <c r="M169" s="868"/>
    </row>
    <row r="170" spans="13:13" x14ac:dyDescent="0.2">
      <c r="M170" s="868"/>
    </row>
    <row r="171" spans="13:13" x14ac:dyDescent="0.2">
      <c r="M171" s="868"/>
    </row>
    <row r="172" spans="13:13" x14ac:dyDescent="0.2">
      <c r="M172" s="868"/>
    </row>
    <row r="173" spans="13:13" x14ac:dyDescent="0.2">
      <c r="M173" s="868"/>
    </row>
    <row r="174" spans="13:13" x14ac:dyDescent="0.2">
      <c r="M174" s="868"/>
    </row>
    <row r="175" spans="13:13" x14ac:dyDescent="0.2">
      <c r="M175" s="868"/>
    </row>
    <row r="176" spans="13:13" x14ac:dyDescent="0.2">
      <c r="M176" s="868"/>
    </row>
    <row r="177" spans="13:13" x14ac:dyDescent="0.2">
      <c r="M177" s="868"/>
    </row>
    <row r="178" spans="13:13" x14ac:dyDescent="0.2">
      <c r="M178" s="868"/>
    </row>
    <row r="179" spans="13:13" x14ac:dyDescent="0.2">
      <c r="M179" s="868"/>
    </row>
    <row r="180" spans="13:13" x14ac:dyDescent="0.2">
      <c r="M180" s="868"/>
    </row>
    <row r="181" spans="13:13" x14ac:dyDescent="0.2">
      <c r="M181" s="868"/>
    </row>
    <row r="182" spans="13:13" x14ac:dyDescent="0.2">
      <c r="M182" s="868"/>
    </row>
    <row r="183" spans="13:13" x14ac:dyDescent="0.2">
      <c r="M183" s="868"/>
    </row>
    <row r="184" spans="13:13" x14ac:dyDescent="0.2">
      <c r="M184" s="868"/>
    </row>
    <row r="185" spans="13:13" x14ac:dyDescent="0.2">
      <c r="M185" s="868"/>
    </row>
    <row r="186" spans="13:13" x14ac:dyDescent="0.2">
      <c r="M186" s="868"/>
    </row>
    <row r="187" spans="13:13" x14ac:dyDescent="0.2">
      <c r="M187" s="868"/>
    </row>
    <row r="188" spans="13:13" x14ac:dyDescent="0.2">
      <c r="M188" s="868"/>
    </row>
    <row r="189" spans="13:13" x14ac:dyDescent="0.2">
      <c r="M189" s="868"/>
    </row>
    <row r="190" spans="13:13" x14ac:dyDescent="0.2">
      <c r="M190" s="868"/>
    </row>
    <row r="191" spans="13:13" x14ac:dyDescent="0.2">
      <c r="M191" s="868"/>
    </row>
    <row r="192" spans="13:13" x14ac:dyDescent="0.2">
      <c r="M192" s="868"/>
    </row>
    <row r="193" spans="13:13" x14ac:dyDescent="0.2">
      <c r="M193" s="868"/>
    </row>
    <row r="194" spans="13:13" x14ac:dyDescent="0.2">
      <c r="M194" s="868"/>
    </row>
    <row r="195" spans="13:13" x14ac:dyDescent="0.2">
      <c r="M195" s="868"/>
    </row>
    <row r="196" spans="13:13" x14ac:dyDescent="0.2">
      <c r="M196" s="868"/>
    </row>
    <row r="197" spans="13:13" x14ac:dyDescent="0.2">
      <c r="M197" s="868"/>
    </row>
    <row r="198" spans="13:13" x14ac:dyDescent="0.2">
      <c r="M198" s="868"/>
    </row>
    <row r="199" spans="13:13" x14ac:dyDescent="0.2">
      <c r="M199" s="868"/>
    </row>
    <row r="200" spans="13:13" x14ac:dyDescent="0.2">
      <c r="M200" s="868"/>
    </row>
    <row r="201" spans="13:13" x14ac:dyDescent="0.2">
      <c r="M201" s="868"/>
    </row>
    <row r="202" spans="13:13" x14ac:dyDescent="0.2">
      <c r="M202" s="868"/>
    </row>
    <row r="203" spans="13:13" x14ac:dyDescent="0.2">
      <c r="M203" s="868"/>
    </row>
    <row r="204" spans="13:13" x14ac:dyDescent="0.2">
      <c r="M204" s="868"/>
    </row>
    <row r="205" spans="13:13" x14ac:dyDescent="0.2">
      <c r="M205" s="868"/>
    </row>
    <row r="206" spans="13:13" x14ac:dyDescent="0.2">
      <c r="M206" s="868"/>
    </row>
    <row r="207" spans="13:13" x14ac:dyDescent="0.2">
      <c r="M207" s="868"/>
    </row>
    <row r="208" spans="13:13" x14ac:dyDescent="0.2">
      <c r="M208" s="868"/>
    </row>
    <row r="209" spans="13:13" x14ac:dyDescent="0.2">
      <c r="M209" s="868"/>
    </row>
    <row r="210" spans="13:13" x14ac:dyDescent="0.2">
      <c r="M210" s="868"/>
    </row>
    <row r="211" spans="13:13" x14ac:dyDescent="0.2">
      <c r="M211" s="868"/>
    </row>
    <row r="212" spans="13:13" x14ac:dyDescent="0.2">
      <c r="M212" s="868"/>
    </row>
    <row r="213" spans="13:13" x14ac:dyDescent="0.2">
      <c r="M213" s="868"/>
    </row>
    <row r="214" spans="13:13" x14ac:dyDescent="0.2">
      <c r="M214" s="868"/>
    </row>
    <row r="215" spans="13:13" x14ac:dyDescent="0.2">
      <c r="M215" s="868"/>
    </row>
    <row r="216" spans="13:13" x14ac:dyDescent="0.2">
      <c r="M216" s="868"/>
    </row>
    <row r="217" spans="13:13" x14ac:dyDescent="0.2">
      <c r="M217" s="868"/>
    </row>
    <row r="218" spans="13:13" x14ac:dyDescent="0.2">
      <c r="M218" s="868"/>
    </row>
    <row r="219" spans="13:13" x14ac:dyDescent="0.2">
      <c r="M219" s="868"/>
    </row>
    <row r="220" spans="13:13" x14ac:dyDescent="0.2">
      <c r="M220" s="868"/>
    </row>
    <row r="221" spans="13:13" x14ac:dyDescent="0.2">
      <c r="M221" s="868"/>
    </row>
    <row r="222" spans="13:13" x14ac:dyDescent="0.2">
      <c r="M222" s="868"/>
    </row>
    <row r="223" spans="13:13" x14ac:dyDescent="0.2">
      <c r="M223" s="868"/>
    </row>
    <row r="224" spans="13:13" x14ac:dyDescent="0.2">
      <c r="M224" s="868"/>
    </row>
    <row r="225" spans="13:13" x14ac:dyDescent="0.2">
      <c r="M225" s="868"/>
    </row>
    <row r="226" spans="13:13" x14ac:dyDescent="0.2">
      <c r="M226" s="868"/>
    </row>
    <row r="227" spans="13:13" x14ac:dyDescent="0.2">
      <c r="M227" s="868"/>
    </row>
    <row r="228" spans="13:13" x14ac:dyDescent="0.2">
      <c r="M228" s="868"/>
    </row>
    <row r="229" spans="13:13" x14ac:dyDescent="0.2">
      <c r="M229" s="868"/>
    </row>
    <row r="230" spans="13:13" x14ac:dyDescent="0.2">
      <c r="M230" s="868"/>
    </row>
    <row r="231" spans="13:13" x14ac:dyDescent="0.2">
      <c r="M231" s="868"/>
    </row>
    <row r="232" spans="13:13" x14ac:dyDescent="0.2">
      <c r="M232" s="868"/>
    </row>
    <row r="233" spans="13:13" x14ac:dyDescent="0.2">
      <c r="M233" s="868"/>
    </row>
    <row r="234" spans="13:13" x14ac:dyDescent="0.2">
      <c r="M234" s="868"/>
    </row>
    <row r="235" spans="13:13" x14ac:dyDescent="0.2">
      <c r="M235" s="868"/>
    </row>
    <row r="236" spans="13:13" x14ac:dyDescent="0.2">
      <c r="M236" s="868"/>
    </row>
    <row r="237" spans="13:13" x14ac:dyDescent="0.2">
      <c r="M237" s="868"/>
    </row>
    <row r="238" spans="13:13" x14ac:dyDescent="0.2">
      <c r="M238" s="868"/>
    </row>
    <row r="239" spans="13:13" x14ac:dyDescent="0.2">
      <c r="M239" s="868"/>
    </row>
    <row r="240" spans="13:13" x14ac:dyDescent="0.2">
      <c r="M240" s="868"/>
    </row>
    <row r="241" spans="13:13" x14ac:dyDescent="0.2">
      <c r="M241" s="868"/>
    </row>
    <row r="242" spans="13:13" x14ac:dyDescent="0.2">
      <c r="M242" s="868"/>
    </row>
    <row r="243" spans="13:13" x14ac:dyDescent="0.2">
      <c r="M243" s="868"/>
    </row>
    <row r="244" spans="13:13" x14ac:dyDescent="0.2">
      <c r="M244" s="868"/>
    </row>
    <row r="245" spans="13:13" x14ac:dyDescent="0.2">
      <c r="M245" s="868"/>
    </row>
    <row r="246" spans="13:13" x14ac:dyDescent="0.2">
      <c r="M246" s="868"/>
    </row>
    <row r="247" spans="13:13" x14ac:dyDescent="0.2">
      <c r="M247" s="868"/>
    </row>
    <row r="248" spans="13:13" x14ac:dyDescent="0.2">
      <c r="M248" s="868"/>
    </row>
    <row r="249" spans="13:13" x14ac:dyDescent="0.2">
      <c r="M249" s="868"/>
    </row>
    <row r="250" spans="13:13" x14ac:dyDescent="0.2">
      <c r="M250" s="868"/>
    </row>
    <row r="251" spans="13:13" x14ac:dyDescent="0.2">
      <c r="M251" s="868"/>
    </row>
    <row r="252" spans="13:13" x14ac:dyDescent="0.2">
      <c r="M252" s="868"/>
    </row>
    <row r="253" spans="13:13" x14ac:dyDescent="0.2">
      <c r="M253" s="868"/>
    </row>
  </sheetData>
  <mergeCells count="4">
    <mergeCell ref="E9:G9"/>
    <mergeCell ref="J10:L10"/>
    <mergeCell ref="K14:L14"/>
    <mergeCell ref="C102:F102"/>
  </mergeCells>
  <pageMargins left="0.7" right="0.7" top="0.75" bottom="0.75" header="0.3" footer="0.3"/>
  <pageSetup scale="58" orientation="landscape" r:id="rId1"/>
  <headerFooter>
    <oddHeader>&amp;CSchedule 33
Retail Transmission Rates&amp;RDkt. No. ER11-3697
2014 Draft Informational Filing</oddHeader>
    <oddFooter>&amp;RRetailRates</oddFooter>
  </headerFooter>
  <rowBreaks count="2" manualBreakCount="2">
    <brk id="40" max="16383" man="1"/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zoomScaleNormal="100" workbookViewId="0">
      <selection activeCell="D90" sqref="D90"/>
    </sheetView>
  </sheetViews>
  <sheetFormatPr defaultRowHeight="12.75" x14ac:dyDescent="0.2"/>
  <cols>
    <col min="1" max="1" width="4.7109375" customWidth="1"/>
    <col min="2" max="2" width="20.7109375" customWidth="1"/>
    <col min="3" max="4" width="16.7109375" customWidth="1"/>
    <col min="5" max="5" width="24.7109375" customWidth="1"/>
    <col min="6" max="6" width="9.140625" customWidth="1"/>
  </cols>
  <sheetData>
    <row r="1" spans="1:6" x14ac:dyDescent="0.2">
      <c r="A1" s="1" t="s">
        <v>1294</v>
      </c>
    </row>
    <row r="2" spans="1:6" x14ac:dyDescent="0.2">
      <c r="A2" s="1"/>
    </row>
    <row r="3" spans="1:6" x14ac:dyDescent="0.2">
      <c r="B3" s="12" t="s">
        <v>481</v>
      </c>
    </row>
    <row r="4" spans="1:6" x14ac:dyDescent="0.2">
      <c r="A4" s="1"/>
      <c r="B4" s="13" t="s">
        <v>393</v>
      </c>
    </row>
    <row r="5" spans="1:6" x14ac:dyDescent="0.2">
      <c r="A5" s="1"/>
      <c r="B5" s="13" t="s">
        <v>394</v>
      </c>
    </row>
    <row r="7" spans="1:6" x14ac:dyDescent="0.2">
      <c r="B7" s="1" t="s">
        <v>1185</v>
      </c>
    </row>
    <row r="8" spans="1:6" x14ac:dyDescent="0.2">
      <c r="E8" s="16"/>
    </row>
    <row r="9" spans="1:6" x14ac:dyDescent="0.2">
      <c r="A9" s="53" t="s">
        <v>380</v>
      </c>
      <c r="B9" s="79" t="s">
        <v>1293</v>
      </c>
    </row>
    <row r="10" spans="1:6" x14ac:dyDescent="0.2">
      <c r="A10" s="2">
        <v>1</v>
      </c>
    </row>
    <row r="11" spans="1:6" x14ac:dyDescent="0.2">
      <c r="A11" s="2">
        <f>A10+1</f>
        <v>2</v>
      </c>
      <c r="B11" s="442" t="s">
        <v>1788</v>
      </c>
      <c r="C11" s="14"/>
      <c r="D11" s="14"/>
      <c r="E11" s="14"/>
      <c r="F11" s="14"/>
    </row>
    <row r="12" spans="1:6" x14ac:dyDescent="0.2">
      <c r="A12" s="2">
        <f t="shared" ref="A12:A86" si="0">A11+1</f>
        <v>3</v>
      </c>
      <c r="B12" s="442" t="s">
        <v>1238</v>
      </c>
      <c r="C12" s="14"/>
      <c r="D12" s="14"/>
      <c r="E12" s="14"/>
      <c r="F12" s="14"/>
    </row>
    <row r="13" spans="1:6" x14ac:dyDescent="0.2">
      <c r="A13" s="2">
        <f t="shared" si="0"/>
        <v>4</v>
      </c>
      <c r="B13" s="442"/>
      <c r="C13" s="14"/>
      <c r="D13" s="14"/>
      <c r="E13" s="14"/>
      <c r="F13" s="14"/>
    </row>
    <row r="14" spans="1:6" x14ac:dyDescent="0.2">
      <c r="A14" s="2">
        <f t="shared" si="0"/>
        <v>5</v>
      </c>
      <c r="B14" s="442" t="s">
        <v>1235</v>
      </c>
      <c r="C14" s="14"/>
      <c r="D14" s="14"/>
      <c r="E14" s="14"/>
      <c r="F14" s="14"/>
    </row>
    <row r="15" spans="1:6" x14ac:dyDescent="0.2">
      <c r="A15" s="2">
        <f t="shared" si="0"/>
        <v>6</v>
      </c>
      <c r="B15" s="443"/>
      <c r="C15" s="14"/>
      <c r="D15" s="14"/>
      <c r="E15" s="14"/>
      <c r="F15" s="14"/>
    </row>
    <row r="16" spans="1:6" x14ac:dyDescent="0.2">
      <c r="A16" s="2">
        <f t="shared" si="0"/>
        <v>7</v>
      </c>
      <c r="B16" s="442" t="s">
        <v>422</v>
      </c>
      <c r="C16" s="14"/>
      <c r="D16" s="14"/>
      <c r="E16" s="14"/>
      <c r="F16" s="440"/>
    </row>
    <row r="17" spans="1:6" x14ac:dyDescent="0.2">
      <c r="A17" s="2">
        <f t="shared" si="0"/>
        <v>8</v>
      </c>
      <c r="B17" s="444" t="s">
        <v>1233</v>
      </c>
      <c r="C17" s="14"/>
      <c r="D17" s="14"/>
      <c r="E17" s="14"/>
      <c r="F17" s="75"/>
    </row>
    <row r="18" spans="1:6" x14ac:dyDescent="0.2">
      <c r="A18" s="2">
        <f t="shared" si="0"/>
        <v>9</v>
      </c>
      <c r="B18" s="444" t="s">
        <v>1234</v>
      </c>
      <c r="C18" s="14"/>
      <c r="D18" s="14"/>
      <c r="E18" s="14"/>
      <c r="F18" s="75"/>
    </row>
    <row r="19" spans="1:6" x14ac:dyDescent="0.2">
      <c r="A19" s="2">
        <f t="shared" si="0"/>
        <v>10</v>
      </c>
      <c r="B19" s="444" t="s">
        <v>253</v>
      </c>
      <c r="C19" s="14"/>
      <c r="D19" s="14"/>
      <c r="E19" s="425"/>
      <c r="F19" s="67"/>
    </row>
    <row r="20" spans="1:6" x14ac:dyDescent="0.2">
      <c r="A20" s="2">
        <f t="shared" si="0"/>
        <v>11</v>
      </c>
      <c r="B20" s="45"/>
      <c r="C20" s="14"/>
      <c r="D20" s="425"/>
      <c r="E20" s="146" t="s">
        <v>235</v>
      </c>
      <c r="F20" s="14"/>
    </row>
    <row r="21" spans="1:6" x14ac:dyDescent="0.2">
      <c r="A21" s="2">
        <f t="shared" si="0"/>
        <v>12</v>
      </c>
      <c r="C21" s="425" t="s">
        <v>1310</v>
      </c>
      <c r="D21" s="441">
        <f>BaseTRR!K88</f>
        <v>2.4200786716907657E-2</v>
      </c>
      <c r="E21" s="47" t="str">
        <f>"BaseTRR WS, Line "&amp;BaseTRR!A88&amp;""</f>
        <v>BaseTRR WS, Line 50</v>
      </c>
      <c r="F21" s="14"/>
    </row>
    <row r="22" spans="1:6" x14ac:dyDescent="0.2">
      <c r="A22" s="2">
        <f t="shared" si="0"/>
        <v>13</v>
      </c>
      <c r="C22" s="425" t="s">
        <v>1311</v>
      </c>
      <c r="D22" s="441">
        <f>BaseTRR!K93</f>
        <v>5.5682309717842722E-2</v>
      </c>
      <c r="E22" s="47" t="str">
        <f>"BaseTRR WS, Line "&amp;BaseTRR!A93&amp;""</f>
        <v>BaseTRR WS, Line 54</v>
      </c>
      <c r="F22" s="14"/>
    </row>
    <row r="23" spans="1:6" x14ac:dyDescent="0.2">
      <c r="A23" s="2">
        <f t="shared" si="0"/>
        <v>14</v>
      </c>
      <c r="C23" s="425" t="s">
        <v>1237</v>
      </c>
      <c r="D23" s="441">
        <f>BaseTRR!K102</f>
        <v>0.39936028204298801</v>
      </c>
      <c r="E23" s="47" t="str">
        <f>"BaseTRR WS, Line "&amp;BaseTRR!A102&amp;""</f>
        <v>BaseTRR WS, Line 58</v>
      </c>
      <c r="F23" s="14"/>
    </row>
    <row r="24" spans="1:6" x14ac:dyDescent="0.2">
      <c r="A24" s="2">
        <f t="shared" si="0"/>
        <v>15</v>
      </c>
      <c r="B24" s="15"/>
      <c r="C24" s="14"/>
      <c r="D24" s="441"/>
      <c r="E24" s="47"/>
      <c r="F24" s="14"/>
    </row>
    <row r="25" spans="1:6" x14ac:dyDescent="0.2">
      <c r="A25" s="2">
        <f t="shared" si="0"/>
        <v>16</v>
      </c>
      <c r="C25" s="425" t="s">
        <v>1236</v>
      </c>
      <c r="D25" s="441">
        <f>D21 + (D22*(1/(1-D23)))</f>
        <v>0.116905794483024</v>
      </c>
      <c r="E25" s="47" t="str">
        <f>"Line "&amp;A21&amp;" + (Line "&amp;A22&amp;" * (1/(1 - Line "&amp;A23&amp;"))"</f>
        <v>Line 12 + (Line 13 * (1/(1 - Line 14))</v>
      </c>
      <c r="F25" s="14"/>
    </row>
    <row r="26" spans="1:6" x14ac:dyDescent="0.2">
      <c r="A26" s="2">
        <f t="shared" si="0"/>
        <v>17</v>
      </c>
      <c r="B26" s="15"/>
      <c r="C26" s="14"/>
      <c r="D26" s="425"/>
      <c r="E26" s="47"/>
      <c r="F26" s="14"/>
    </row>
    <row r="27" spans="1:6" x14ac:dyDescent="0.2">
      <c r="A27" s="2">
        <f t="shared" si="0"/>
        <v>18</v>
      </c>
      <c r="B27" s="79" t="s">
        <v>1183</v>
      </c>
      <c r="C27" s="14"/>
      <c r="D27" s="425"/>
      <c r="E27" s="47"/>
      <c r="F27" s="14"/>
    </row>
    <row r="28" spans="1:6" x14ac:dyDescent="0.2">
      <c r="A28" s="2">
        <f t="shared" si="0"/>
        <v>19</v>
      </c>
      <c r="B28" s="15"/>
      <c r="C28" s="14"/>
      <c r="D28" s="425"/>
      <c r="E28" s="47"/>
      <c r="F28" s="14"/>
    </row>
    <row r="29" spans="1:6" x14ac:dyDescent="0.2">
      <c r="A29" s="2">
        <f t="shared" si="0"/>
        <v>20</v>
      </c>
      <c r="B29" s="442" t="s">
        <v>1312</v>
      </c>
      <c r="C29" s="14"/>
      <c r="D29" s="425"/>
      <c r="E29" s="47"/>
      <c r="F29" s="14"/>
    </row>
    <row r="30" spans="1:6" x14ac:dyDescent="0.2">
      <c r="A30" s="2">
        <f t="shared" si="0"/>
        <v>21</v>
      </c>
      <c r="B30" s="442" t="s">
        <v>1313</v>
      </c>
      <c r="C30" s="14"/>
      <c r="D30" s="425"/>
      <c r="E30" s="47"/>
      <c r="F30" s="14"/>
    </row>
    <row r="31" spans="1:6" x14ac:dyDescent="0.2">
      <c r="A31" s="2">
        <f t="shared" si="0"/>
        <v>22</v>
      </c>
      <c r="C31" s="14"/>
      <c r="D31" s="425"/>
      <c r="E31" s="47"/>
      <c r="F31" s="14"/>
    </row>
    <row r="32" spans="1:6" x14ac:dyDescent="0.2">
      <c r="A32" s="2">
        <f t="shared" si="0"/>
        <v>23</v>
      </c>
      <c r="B32" s="444" t="s">
        <v>1239</v>
      </c>
      <c r="C32" s="14"/>
      <c r="D32" s="425"/>
      <c r="E32" s="47"/>
      <c r="F32" s="14"/>
    </row>
    <row r="33" spans="1:6" x14ac:dyDescent="0.2">
      <c r="A33" s="2">
        <f t="shared" si="0"/>
        <v>24</v>
      </c>
      <c r="F33" s="14"/>
    </row>
    <row r="34" spans="1:6" x14ac:dyDescent="0.2">
      <c r="A34" s="2">
        <f t="shared" si="0"/>
        <v>25</v>
      </c>
      <c r="B34" s="79" t="s">
        <v>1291</v>
      </c>
      <c r="F34" s="14"/>
    </row>
    <row r="35" spans="1:6" x14ac:dyDescent="0.2">
      <c r="A35" s="2">
        <f t="shared" si="0"/>
        <v>26</v>
      </c>
      <c r="B35" s="12"/>
      <c r="E35" s="3" t="s">
        <v>235</v>
      </c>
      <c r="F35" s="14"/>
    </row>
    <row r="36" spans="1:6" x14ac:dyDescent="0.2">
      <c r="A36" s="2">
        <f t="shared" si="0"/>
        <v>27</v>
      </c>
      <c r="C36" s="110" t="s">
        <v>1245</v>
      </c>
      <c r="D36" s="120">
        <f>PlantInService!M23</f>
        <v>3928567629.4980068</v>
      </c>
      <c r="E36" s="13" t="str">
        <f>"PlantInService WS, Line "&amp;PlantInService!A23&amp;""</f>
        <v>PlantInService WS, Line 13</v>
      </c>
      <c r="F36" s="14"/>
    </row>
    <row r="37" spans="1:6" x14ac:dyDescent="0.2">
      <c r="A37" s="2">
        <f t="shared" si="0"/>
        <v>28</v>
      </c>
      <c r="C37" s="110" t="s">
        <v>1246</v>
      </c>
      <c r="D37" s="120">
        <f>PlantInService!F36</f>
        <v>6848749.5105547179</v>
      </c>
      <c r="E37" s="13" t="str">
        <f>"PlantInService WS, Line "&amp;PlantInService!A36&amp;""</f>
        <v>PlantInService WS, Line 16</v>
      </c>
      <c r="F37" s="14"/>
    </row>
    <row r="38" spans="1:6" x14ac:dyDescent="0.2">
      <c r="A38" s="2">
        <f t="shared" si="0"/>
        <v>29</v>
      </c>
      <c r="C38" s="110" t="s">
        <v>1289</v>
      </c>
      <c r="D38" s="120">
        <f>AccDep!N24</f>
        <v>1008698662.9903265</v>
      </c>
      <c r="E38" s="13" t="str">
        <f>"AccDep WS, Line "&amp;AccDep!A24&amp;""</f>
        <v>AccDep WS, Line 13</v>
      </c>
      <c r="F38" s="14"/>
    </row>
    <row r="39" spans="1:6" x14ac:dyDescent="0.2">
      <c r="A39" s="2">
        <f t="shared" si="0"/>
        <v>30</v>
      </c>
      <c r="C39" s="110" t="s">
        <v>1290</v>
      </c>
      <c r="D39" s="107">
        <f>AccDep!G35</f>
        <v>1163016.7461887416</v>
      </c>
      <c r="E39" s="13" t="str">
        <f>"AccDep WS, Line "&amp;AccDep!A35&amp;""</f>
        <v>AccDep WS, Line 16</v>
      </c>
      <c r="F39" s="14"/>
    </row>
    <row r="40" spans="1:6" x14ac:dyDescent="0.2">
      <c r="A40" s="2">
        <f t="shared" si="0"/>
        <v>31</v>
      </c>
      <c r="C40" s="110" t="s">
        <v>1184</v>
      </c>
      <c r="D40" s="7">
        <f>(D36+D37)-(D38+D39)</f>
        <v>2925554699.2720461</v>
      </c>
      <c r="E40" s="13" t="str">
        <f>"(L"&amp;A36&amp;" + L"&amp;A37&amp;") - (L"&amp;A38&amp;" + L"&amp;A39&amp;")"</f>
        <v>(L27 + L28) - (L29 + L30)</v>
      </c>
      <c r="F40" s="14"/>
    </row>
    <row r="41" spans="1:6" x14ac:dyDescent="0.2">
      <c r="A41" s="2">
        <f t="shared" si="0"/>
        <v>32</v>
      </c>
      <c r="C41" s="110"/>
      <c r="D41" s="7"/>
      <c r="E41" s="13"/>
      <c r="F41" s="14"/>
    </row>
    <row r="42" spans="1:6" x14ac:dyDescent="0.2">
      <c r="A42" s="2">
        <f t="shared" si="0"/>
        <v>33</v>
      </c>
      <c r="B42" s="79" t="s">
        <v>1765</v>
      </c>
      <c r="F42" s="14"/>
    </row>
    <row r="43" spans="1:6" x14ac:dyDescent="0.2">
      <c r="A43" s="661">
        <f t="shared" si="0"/>
        <v>34</v>
      </c>
      <c r="B43" s="79"/>
      <c r="F43" s="14"/>
    </row>
    <row r="44" spans="1:6" x14ac:dyDescent="0.2">
      <c r="A44" s="661">
        <f t="shared" si="0"/>
        <v>35</v>
      </c>
      <c r="B44" s="79" t="s">
        <v>1766</v>
      </c>
      <c r="F44" s="14"/>
    </row>
    <row r="45" spans="1:6" x14ac:dyDescent="0.2">
      <c r="A45" s="661">
        <f t="shared" si="0"/>
        <v>36</v>
      </c>
      <c r="B45" s="57" t="s">
        <v>1767</v>
      </c>
      <c r="F45" s="14"/>
    </row>
    <row r="46" spans="1:6" x14ac:dyDescent="0.2">
      <c r="A46" s="661">
        <f t="shared" si="0"/>
        <v>37</v>
      </c>
      <c r="B46" s="79"/>
      <c r="C46" s="110" t="s">
        <v>1789</v>
      </c>
      <c r="D46" s="120">
        <f>CWIP!D24</f>
        <v>1704248357.1100001</v>
      </c>
      <c r="E46" s="13" t="str">
        <f>"CWIP WS, L "&amp;CWIP!A24&amp;" C1"</f>
        <v>CWIP WS, L 13 C1</v>
      </c>
      <c r="F46" s="14"/>
    </row>
    <row r="47" spans="1:6" x14ac:dyDescent="0.2">
      <c r="A47" s="661">
        <f t="shared" si="0"/>
        <v>38</v>
      </c>
      <c r="B47" s="79"/>
      <c r="C47" s="110" t="s">
        <v>409</v>
      </c>
      <c r="D47" s="147">
        <f>D25</f>
        <v>0.116905794483024</v>
      </c>
      <c r="E47" s="47" t="str">
        <f>"Line "&amp;A25&amp;""</f>
        <v>Line 16</v>
      </c>
      <c r="F47" s="14"/>
    </row>
    <row r="48" spans="1:6" x14ac:dyDescent="0.2">
      <c r="A48" s="661">
        <f t="shared" si="0"/>
        <v>39</v>
      </c>
      <c r="B48" s="79"/>
      <c r="C48" s="110" t="s">
        <v>1759</v>
      </c>
      <c r="D48" s="120">
        <f>D46*D47</f>
        <v>199236508.18433297</v>
      </c>
      <c r="E48" s="47" t="str">
        <f>"Line "&amp;A58&amp;" * Line "&amp;A59&amp;""</f>
        <v>Line 49 * Line 50</v>
      </c>
      <c r="F48" s="14"/>
    </row>
    <row r="49" spans="1:6" x14ac:dyDescent="0.2">
      <c r="A49" s="661">
        <f t="shared" si="0"/>
        <v>40</v>
      </c>
      <c r="B49" s="79"/>
      <c r="C49" s="110"/>
      <c r="D49" s="120"/>
      <c r="E49" s="47"/>
      <c r="F49" s="14"/>
    </row>
    <row r="50" spans="1:6" x14ac:dyDescent="0.2">
      <c r="A50" s="661">
        <f t="shared" si="0"/>
        <v>41</v>
      </c>
      <c r="B50" s="57" t="s">
        <v>1768</v>
      </c>
      <c r="F50" s="14"/>
    </row>
    <row r="51" spans="1:6" x14ac:dyDescent="0.2">
      <c r="A51" s="661">
        <f t="shared" si="0"/>
        <v>42</v>
      </c>
      <c r="B51" s="79"/>
      <c r="C51" s="110" t="s">
        <v>1774</v>
      </c>
      <c r="D51" s="120">
        <f>IncentiveAdder!G17</f>
        <v>8107.9052148112505</v>
      </c>
      <c r="E51" s="16" t="str">
        <f>"IncentiveAdder WS, Line "&amp;IncentiveAdder!A17&amp;""</f>
        <v>IncentiveAdder WS, Line 3</v>
      </c>
      <c r="F51" s="14"/>
    </row>
    <row r="52" spans="1:6" x14ac:dyDescent="0.2">
      <c r="A52" s="661">
        <f t="shared" si="0"/>
        <v>43</v>
      </c>
      <c r="B52" s="79"/>
      <c r="C52" s="110"/>
      <c r="F52" s="14"/>
    </row>
    <row r="53" spans="1:6" x14ac:dyDescent="0.2">
      <c r="A53" s="661">
        <f t="shared" si="0"/>
        <v>44</v>
      </c>
      <c r="B53" s="79"/>
      <c r="C53" s="110" t="s">
        <v>1745</v>
      </c>
      <c r="D53" s="7">
        <f>CWIP!E24</f>
        <v>791056336.65999997</v>
      </c>
      <c r="E53" s="13" t="str">
        <f>"CWIP WS, Line "&amp;CWIP!A24&amp;""</f>
        <v>CWIP WS, Line 13</v>
      </c>
      <c r="F53" s="12"/>
    </row>
    <row r="54" spans="1:6" x14ac:dyDescent="0.2">
      <c r="A54" s="661">
        <f t="shared" si="0"/>
        <v>45</v>
      </c>
      <c r="B54" s="79"/>
      <c r="C54" s="110" t="s">
        <v>1771</v>
      </c>
      <c r="D54" s="43">
        <f>IncentiveAdder!E26</f>
        <v>1.2500000000000001E-2</v>
      </c>
      <c r="E54" s="16" t="str">
        <f>"IncentiveAdder WS, Line "&amp;IncentiveAdder!A26&amp;""</f>
        <v>IncentiveAdder WS, Line 5</v>
      </c>
      <c r="F54" s="12"/>
    </row>
    <row r="55" spans="1:6" x14ac:dyDescent="0.2">
      <c r="A55" s="661">
        <f t="shared" si="0"/>
        <v>46</v>
      </c>
      <c r="B55" s="79"/>
      <c r="C55" s="110" t="s">
        <v>1770</v>
      </c>
      <c r="D55" s="7">
        <f>(D53/1000000)*($D$51*(D54/0.01))</f>
        <v>8017262.2465188717</v>
      </c>
      <c r="E55" s="13" t="s">
        <v>1747</v>
      </c>
    </row>
    <row r="56" spans="1:6" x14ac:dyDescent="0.2">
      <c r="A56" s="661">
        <f t="shared" si="0"/>
        <v>47</v>
      </c>
      <c r="B56" s="79"/>
      <c r="C56" s="110"/>
      <c r="E56" s="7"/>
    </row>
    <row r="57" spans="1:6" x14ac:dyDescent="0.2">
      <c r="A57" s="661">
        <f t="shared" si="0"/>
        <v>48</v>
      </c>
      <c r="C57" s="110" t="s">
        <v>1769</v>
      </c>
      <c r="D57" s="7">
        <f>CWIP!F24</f>
        <v>537340673.84000003</v>
      </c>
      <c r="E57" s="13" t="str">
        <f>"CWIP WS, Line "&amp;CWIP!A24&amp;""</f>
        <v>CWIP WS, Line 13</v>
      </c>
    </row>
    <row r="58" spans="1:6" x14ac:dyDescent="0.2">
      <c r="A58" s="661">
        <f t="shared" si="0"/>
        <v>49</v>
      </c>
      <c r="C58" s="110" t="s">
        <v>1772</v>
      </c>
      <c r="D58" s="43">
        <f>IncentiveAdder!E27</f>
        <v>0.01</v>
      </c>
      <c r="E58" s="16" t="str">
        <f>"IncentiveAdder WS, Line "&amp;IncentiveAdder!A27&amp;""</f>
        <v>IncentiveAdder WS, Line 6</v>
      </c>
    </row>
    <row r="59" spans="1:6" x14ac:dyDescent="0.2">
      <c r="A59" s="661">
        <f t="shared" si="0"/>
        <v>50</v>
      </c>
      <c r="C59" s="110" t="s">
        <v>1773</v>
      </c>
      <c r="D59" s="7">
        <f>(D57/1000000)*($D$51*(D58/0.01))</f>
        <v>4356707.2515575271</v>
      </c>
      <c r="E59" s="13" t="str">
        <f>"Formula on Line "&amp;A61&amp;""</f>
        <v>Formula on Line 52</v>
      </c>
      <c r="F59" s="14"/>
    </row>
    <row r="60" spans="1:6" x14ac:dyDescent="0.2">
      <c r="A60" s="661">
        <f t="shared" si="0"/>
        <v>51</v>
      </c>
      <c r="C60" s="110"/>
      <c r="D60" s="7"/>
      <c r="E60" s="13"/>
      <c r="F60" s="14"/>
    </row>
    <row r="61" spans="1:6" x14ac:dyDescent="0.2">
      <c r="A61" s="661">
        <f t="shared" si="0"/>
        <v>52</v>
      </c>
      <c r="C61" s="52" t="s">
        <v>1748</v>
      </c>
      <c r="D61" s="7"/>
      <c r="E61" s="13"/>
      <c r="F61" s="14"/>
    </row>
    <row r="62" spans="1:6" x14ac:dyDescent="0.2">
      <c r="A62" s="661">
        <f t="shared" si="0"/>
        <v>53</v>
      </c>
      <c r="F62" s="14"/>
    </row>
    <row r="63" spans="1:6" x14ac:dyDescent="0.2">
      <c r="A63" s="661">
        <f t="shared" si="0"/>
        <v>54</v>
      </c>
      <c r="C63" s="681" t="s">
        <v>1824</v>
      </c>
      <c r="D63" s="120">
        <f>D48+D55+D59</f>
        <v>211610477.68240938</v>
      </c>
      <c r="E63" s="47" t="str">
        <f>"Line "&amp;A48&amp;" + Line "&amp;A55&amp;" + Line "&amp;A59&amp;""</f>
        <v>Line 39 + Line 46 + Line 50</v>
      </c>
      <c r="F63" s="14"/>
    </row>
    <row r="64" spans="1:6" x14ac:dyDescent="0.2">
      <c r="A64" s="680">
        <f t="shared" si="0"/>
        <v>55</v>
      </c>
      <c r="C64" s="681" t="s">
        <v>1822</v>
      </c>
      <c r="D64" s="107">
        <f>(FFU!D20+FFU!E20)*D63</f>
        <v>2369402.5186099373</v>
      </c>
      <c r="E64" s="682" t="s">
        <v>1823</v>
      </c>
      <c r="F64" s="14"/>
    </row>
    <row r="65" spans="1:6" x14ac:dyDescent="0.2">
      <c r="A65" s="680">
        <f t="shared" si="0"/>
        <v>56</v>
      </c>
      <c r="C65" s="681" t="s">
        <v>1825</v>
      </c>
      <c r="D65" s="120">
        <f>SUM(D63:D64)</f>
        <v>213979880.20101932</v>
      </c>
      <c r="E65" s="47" t="str">
        <f>"Line "&amp;A63&amp;" + Line "&amp;A64&amp;""</f>
        <v>Line 54 + Line 55</v>
      </c>
      <c r="F65" s="14"/>
    </row>
    <row r="66" spans="1:6" x14ac:dyDescent="0.2">
      <c r="A66" s="680">
        <f t="shared" si="0"/>
        <v>57</v>
      </c>
      <c r="C66" s="110"/>
      <c r="D66" s="120"/>
      <c r="E66" s="47"/>
      <c r="F66" s="14"/>
    </row>
    <row r="67" spans="1:6" x14ac:dyDescent="0.2">
      <c r="A67" s="680">
        <f t="shared" si="0"/>
        <v>58</v>
      </c>
      <c r="B67" s="79" t="s">
        <v>1775</v>
      </c>
      <c r="C67" s="110"/>
      <c r="D67" s="120"/>
      <c r="E67" s="47"/>
      <c r="F67" s="14"/>
    </row>
    <row r="68" spans="1:6" x14ac:dyDescent="0.2">
      <c r="A68" s="680">
        <f t="shared" si="0"/>
        <v>59</v>
      </c>
      <c r="F68" s="14"/>
    </row>
    <row r="69" spans="1:6" x14ac:dyDescent="0.2">
      <c r="A69" s="680">
        <f t="shared" si="0"/>
        <v>60</v>
      </c>
      <c r="C69" s="110" t="s">
        <v>1292</v>
      </c>
      <c r="D69" s="120">
        <f>D65</f>
        <v>213979880.20101932</v>
      </c>
      <c r="E69" s="47" t="str">
        <f>"Line "&amp;A65&amp;""</f>
        <v>Line 56</v>
      </c>
      <c r="F69" s="14"/>
    </row>
    <row r="70" spans="1:6" x14ac:dyDescent="0.2">
      <c r="A70" s="680">
        <f t="shared" si="0"/>
        <v>61</v>
      </c>
      <c r="C70" s="110" t="s">
        <v>1182</v>
      </c>
      <c r="D70" s="120">
        <f>BaseTRR!K145</f>
        <v>736682730.092875</v>
      </c>
      <c r="E70" s="47" t="str">
        <f>"BaseTRR WS, Line "&amp;BaseTRR!A145&amp;""</f>
        <v>BaseTRR WS, Line 81</v>
      </c>
      <c r="F70" s="14"/>
    </row>
    <row r="71" spans="1:6" x14ac:dyDescent="0.2">
      <c r="A71" s="680">
        <f t="shared" si="0"/>
        <v>62</v>
      </c>
      <c r="C71" s="110" t="s">
        <v>1790</v>
      </c>
      <c r="D71" s="120">
        <f>D70-D69</f>
        <v>522702849.89185572</v>
      </c>
      <c r="E71" s="47" t="str">
        <f>"Line "&amp;A70&amp;" - Line "&amp;A69&amp;""</f>
        <v>Line 61 - Line 60</v>
      </c>
      <c r="F71" s="14"/>
    </row>
    <row r="72" spans="1:6" x14ac:dyDescent="0.2">
      <c r="A72" s="680">
        <f t="shared" si="0"/>
        <v>63</v>
      </c>
      <c r="C72" s="110" t="s">
        <v>315</v>
      </c>
      <c r="D72" s="147">
        <f xml:space="preserve"> D71/D40</f>
        <v>0.17866794629473778</v>
      </c>
      <c r="E72" s="47" t="str">
        <f>"Line "&amp;A71&amp;" / Line "&amp;A40&amp;""</f>
        <v>Line 62 / Line 31</v>
      </c>
      <c r="F72" s="14"/>
    </row>
    <row r="73" spans="1:6" x14ac:dyDescent="0.2">
      <c r="A73" s="680">
        <f t="shared" si="0"/>
        <v>64</v>
      </c>
      <c r="D73" s="7"/>
      <c r="E73" s="13"/>
      <c r="F73" s="14"/>
    </row>
    <row r="74" spans="1:6" x14ac:dyDescent="0.2">
      <c r="A74" s="680">
        <f t="shared" si="0"/>
        <v>65</v>
      </c>
      <c r="B74" s="1" t="s">
        <v>407</v>
      </c>
    </row>
    <row r="75" spans="1:6" x14ac:dyDescent="0.2">
      <c r="A75" s="680">
        <f t="shared" si="0"/>
        <v>66</v>
      </c>
    </row>
    <row r="76" spans="1:6" x14ac:dyDescent="0.2">
      <c r="A76" s="680">
        <f t="shared" si="0"/>
        <v>67</v>
      </c>
      <c r="E76" s="3" t="s">
        <v>235</v>
      </c>
    </row>
    <row r="77" spans="1:6" x14ac:dyDescent="0.2">
      <c r="A77" s="680">
        <f t="shared" si="0"/>
        <v>68</v>
      </c>
      <c r="C77" s="110" t="s">
        <v>314</v>
      </c>
      <c r="D77" s="7">
        <f>PlantAdditions!E34</f>
        <v>2061071643.5506239</v>
      </c>
      <c r="E77" s="13" t="str">
        <f>"PlantAdditions WS, L "&amp;PlantAdditions!A34&amp;", C1"</f>
        <v>PlantAdditions WS, L 22, C1</v>
      </c>
    </row>
    <row r="78" spans="1:6" x14ac:dyDescent="0.2">
      <c r="A78" s="680">
        <f t="shared" si="0"/>
        <v>69</v>
      </c>
      <c r="C78" s="110" t="s">
        <v>315</v>
      </c>
      <c r="D78" s="72">
        <f>D72</f>
        <v>0.17866794629473778</v>
      </c>
      <c r="E78" s="13" t="str">
        <f>"Line "&amp;A72&amp;""</f>
        <v>Line 63</v>
      </c>
    </row>
    <row r="79" spans="1:6" x14ac:dyDescent="0.2">
      <c r="A79" s="680">
        <f t="shared" si="0"/>
        <v>70</v>
      </c>
      <c r="C79" s="110" t="s">
        <v>408</v>
      </c>
      <c r="D79" s="7">
        <f>D77*D78</f>
        <v>368247437.71950978</v>
      </c>
      <c r="E79" s="47" t="str">
        <f>"Line "&amp;A77&amp;" * Line "&amp;A78&amp;""</f>
        <v>Line 68 * Line 69</v>
      </c>
    </row>
    <row r="80" spans="1:6" x14ac:dyDescent="0.2">
      <c r="A80" s="680">
        <f t="shared" si="0"/>
        <v>71</v>
      </c>
    </row>
    <row r="81" spans="1:5" x14ac:dyDescent="0.2">
      <c r="A81" s="680">
        <f t="shared" si="0"/>
        <v>72</v>
      </c>
      <c r="C81" s="110" t="s">
        <v>411</v>
      </c>
      <c r="D81" s="7">
        <f>CWIP!D137</f>
        <v>-830608755.97584665</v>
      </c>
      <c r="E81" s="13" t="str">
        <f>"CWIP WS, L "&amp;CWIP!A137&amp;", C1"</f>
        <v>CWIP WS, L 92, C1</v>
      </c>
    </row>
    <row r="82" spans="1:5" x14ac:dyDescent="0.2">
      <c r="A82" s="680">
        <f t="shared" si="0"/>
        <v>73</v>
      </c>
      <c r="C82" s="110" t="s">
        <v>409</v>
      </c>
      <c r="D82" s="72">
        <f>D25</f>
        <v>0.116905794483024</v>
      </c>
      <c r="E82" s="47" t="str">
        <f>"Line "&amp;A25&amp;""</f>
        <v>Line 16</v>
      </c>
    </row>
    <row r="83" spans="1:5" x14ac:dyDescent="0.2">
      <c r="A83" s="680">
        <f t="shared" si="0"/>
        <v>74</v>
      </c>
      <c r="C83" s="110" t="s">
        <v>410</v>
      </c>
      <c r="D83" s="7">
        <f>D81*D82</f>
        <v>-97102976.52191256</v>
      </c>
      <c r="E83" s="47" t="str">
        <f>"Line "&amp;A81&amp;" * Line "&amp;A82&amp;""</f>
        <v>Line 72 * Line 73</v>
      </c>
    </row>
    <row r="84" spans="1:5" x14ac:dyDescent="0.2">
      <c r="A84" s="680">
        <f t="shared" si="0"/>
        <v>75</v>
      </c>
    </row>
    <row r="85" spans="1:5" x14ac:dyDescent="0.2">
      <c r="A85" s="680">
        <f t="shared" si="0"/>
        <v>76</v>
      </c>
      <c r="C85" s="110" t="s">
        <v>1807</v>
      </c>
      <c r="D85" s="7">
        <f>D79+D83</f>
        <v>271144461.19759721</v>
      </c>
      <c r="E85" s="47" t="str">
        <f>"Line "&amp;A79&amp;" + Line "&amp;A83&amp;""</f>
        <v>Line 70 + Line 74</v>
      </c>
    </row>
    <row r="86" spans="1:5" x14ac:dyDescent="0.2">
      <c r="A86" s="680">
        <f t="shared" si="0"/>
        <v>77</v>
      </c>
    </row>
    <row r="87" spans="1:5" x14ac:dyDescent="0.2">
      <c r="A87" s="680">
        <f t="shared" ref="A87:A90" si="1">A86+1</f>
        <v>78</v>
      </c>
      <c r="C87" s="110" t="s">
        <v>1808</v>
      </c>
      <c r="D87" s="7">
        <f>FFU!D20*D85</f>
        <v>2479019.5798373916</v>
      </c>
      <c r="E87" s="16" t="str">
        <f>"Line "&amp;A85&amp;" * FF (from FFU WS)"</f>
        <v>Line 76 * FF (from FFU WS)</v>
      </c>
    </row>
    <row r="88" spans="1:5" x14ac:dyDescent="0.2">
      <c r="A88" s="680">
        <f t="shared" si="1"/>
        <v>79</v>
      </c>
      <c r="C88" s="37" t="s">
        <v>1809</v>
      </c>
      <c r="D88" s="7">
        <f>FFU!E20*D85</f>
        <v>556984.95219210419</v>
      </c>
      <c r="E88" s="16" t="str">
        <f>"Line "&amp;A85&amp;" * U (from FFU WS)"</f>
        <v>Line 76 * U (from FFU WS)</v>
      </c>
    </row>
    <row r="89" spans="1:5" x14ac:dyDescent="0.2">
      <c r="A89" s="680">
        <f t="shared" si="1"/>
        <v>80</v>
      </c>
      <c r="D89" s="7"/>
    </row>
    <row r="90" spans="1:5" x14ac:dyDescent="0.2">
      <c r="A90" s="680">
        <f t="shared" si="1"/>
        <v>81</v>
      </c>
      <c r="C90" s="37" t="s">
        <v>412</v>
      </c>
      <c r="D90" s="7">
        <f>D85+D87+D88</f>
        <v>274180465.72962672</v>
      </c>
      <c r="E90" s="47" t="str">
        <f>"Line "&amp;A85&amp;" + Line "&amp;A87&amp;" + Line "&amp;A88&amp;""</f>
        <v>Line 76 + Line 78 + Line 79</v>
      </c>
    </row>
  </sheetData>
  <phoneticPr fontId="8" type="noConversion"/>
  <pageMargins left="0.75" right="0.75" top="1" bottom="1" header="0.5" footer="0.5"/>
  <pageSetup scale="75" orientation="portrait" r:id="rId1"/>
  <headerFooter alignWithMargins="0">
    <oddHeader xml:space="preserve">&amp;CSchedule 2
Incremental Forecast Period TRR&amp;RDkt. No. ER11-3697
2014 Draft Informational Filing
</oddHeader>
    <oddFooter>&amp;R&amp;A</oddFooter>
  </headerFooter>
  <rowBreaks count="1" manualBreakCount="1">
    <brk id="6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7"/>
  <sheetViews>
    <sheetView zoomScale="85" zoomScaleNormal="85" workbookViewId="0">
      <selection activeCell="E185" sqref="E185"/>
    </sheetView>
  </sheetViews>
  <sheetFormatPr defaultRowHeight="12.75" x14ac:dyDescent="0.2"/>
  <cols>
    <col min="1" max="1" width="4.7109375" customWidth="1"/>
    <col min="2" max="2" width="6.7109375" customWidth="1"/>
    <col min="3" max="8" width="14.7109375" customWidth="1"/>
    <col min="9" max="9" width="15.85546875" bestFit="1" customWidth="1"/>
    <col min="10" max="12" width="14.7109375" customWidth="1"/>
  </cols>
  <sheetData>
    <row r="1" spans="1:12" x14ac:dyDescent="0.2">
      <c r="A1" s="1" t="s">
        <v>2196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x14ac:dyDescent="0.2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x14ac:dyDescent="0.2">
      <c r="A3" s="264"/>
      <c r="B3" s="1" t="s">
        <v>590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</row>
    <row r="4" spans="1:12" x14ac:dyDescent="0.2">
      <c r="A4" s="264"/>
      <c r="B4" s="687" t="s">
        <v>1875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x14ac:dyDescent="0.2">
      <c r="A5" s="264"/>
      <c r="B5" s="115" t="str">
        <f>"for each month (see Note #2).  If formula was not in effect in Prior Year, do not populate Column 2 or 3, Lines "&amp;A24&amp;" to "&amp;A35&amp;"."</f>
        <v>for each month (see Note #2).  If formula was not in effect in Prior Year, do not populate Column 2 or 3, Lines 11 to 22.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</row>
    <row r="6" spans="1:12" x14ac:dyDescent="0.2">
      <c r="A6" s="264"/>
      <c r="B6" s="687" t="s">
        <v>1876</v>
      </c>
      <c r="C6" s="264"/>
      <c r="D6" s="264"/>
      <c r="E6" s="264"/>
      <c r="F6" s="264"/>
      <c r="G6" s="264"/>
      <c r="H6" s="264"/>
      <c r="I6" s="264"/>
      <c r="J6" s="264"/>
      <c r="K6" s="264"/>
      <c r="L6" s="264"/>
    </row>
    <row r="7" spans="1:12" x14ac:dyDescent="0.2">
      <c r="A7" s="264"/>
      <c r="B7" s="13" t="s">
        <v>1247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</row>
    <row r="8" spans="1:12" x14ac:dyDescent="0.2">
      <c r="A8" s="264"/>
      <c r="B8" s="13" t="str">
        <f>"d) Continue interest calculation through the end of the previous Rate Effective Period (Line "&amp;A44&amp;")."</f>
        <v>d) Continue interest calculation through the end of the previous Rate Effective Period (Line 31).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</row>
    <row r="9" spans="1:12" x14ac:dyDescent="0.2">
      <c r="A9" s="264"/>
      <c r="B9" s="13" t="str">
        <f>"e) Amortize this ending balance from (d) over the current Rate Effective Period so that the ending balance on Line "&amp;A64&amp;" is equal to $0."</f>
        <v>e) Amortize this ending balance from (d) over the current Rate Effective Period so that the ending balance on Line 51 is equal to $0.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</row>
    <row r="10" spans="1:12" x14ac:dyDescent="0.2">
      <c r="A10" s="264"/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</row>
    <row r="11" spans="1:12" x14ac:dyDescent="0.2">
      <c r="A11" s="2"/>
      <c r="B11" s="98" t="s">
        <v>1877</v>
      </c>
      <c r="C11" s="264"/>
      <c r="D11" s="265"/>
      <c r="E11" s="266"/>
      <c r="F11" s="264"/>
      <c r="G11" s="264"/>
      <c r="H11" s="264"/>
      <c r="I11" s="264"/>
      <c r="J11" s="264"/>
      <c r="K11" s="120"/>
      <c r="L11" s="264"/>
    </row>
    <row r="12" spans="1:12" x14ac:dyDescent="0.2">
      <c r="A12" s="2"/>
      <c r="B12" s="98" t="s">
        <v>614</v>
      </c>
      <c r="C12" s="264"/>
      <c r="D12" s="265"/>
      <c r="E12" s="266"/>
      <c r="F12" s="264"/>
      <c r="G12" s="264"/>
      <c r="H12" s="264"/>
      <c r="I12" s="264"/>
      <c r="J12" s="264"/>
      <c r="K12" s="264"/>
      <c r="L12" s="264"/>
    </row>
    <row r="13" spans="1:12" x14ac:dyDescent="0.2">
      <c r="A13" s="55" t="s">
        <v>369</v>
      </c>
      <c r="B13" s="264"/>
      <c r="C13" s="98"/>
      <c r="D13" s="265"/>
      <c r="E13" s="266"/>
      <c r="F13" s="3"/>
      <c r="G13" s="264"/>
      <c r="H13" s="264"/>
      <c r="I13" s="264"/>
      <c r="J13" s="264"/>
      <c r="K13" s="264"/>
      <c r="L13" s="264"/>
    </row>
    <row r="14" spans="1:12" x14ac:dyDescent="0.2">
      <c r="A14" s="2">
        <f>A7+1</f>
        <v>1</v>
      </c>
      <c r="B14" s="264"/>
      <c r="C14" s="264"/>
      <c r="D14" s="711" t="s">
        <v>1873</v>
      </c>
      <c r="E14" s="266">
        <f>TUTRR!E69</f>
        <v>672058843.70688236</v>
      </c>
      <c r="F14" s="712" t="s">
        <v>1874</v>
      </c>
      <c r="G14" s="264"/>
      <c r="H14" s="264" t="str">
        <f>"Line "&amp;TUTRR!A69&amp;""</f>
        <v>Line 42</v>
      </c>
      <c r="I14" s="264"/>
      <c r="J14" s="264"/>
      <c r="K14" s="264"/>
      <c r="L14" s="264"/>
    </row>
    <row r="15" spans="1:12" x14ac:dyDescent="0.2">
      <c r="A15" s="2">
        <f>A14+1</f>
        <v>2</v>
      </c>
      <c r="B15" s="98"/>
      <c r="C15" s="264"/>
      <c r="D15" s="264"/>
      <c r="E15" s="264"/>
      <c r="F15" s="264"/>
      <c r="G15" s="264"/>
      <c r="H15" s="266"/>
      <c r="I15" s="264"/>
      <c r="J15" s="264"/>
      <c r="K15" s="264"/>
      <c r="L15" s="264"/>
    </row>
    <row r="16" spans="1:12" x14ac:dyDescent="0.2">
      <c r="A16" s="2">
        <f t="shared" ref="A16:A79" si="0">A15+1</f>
        <v>3</v>
      </c>
      <c r="B16" s="264"/>
      <c r="C16" s="264"/>
      <c r="D16" s="99" t="s">
        <v>417</v>
      </c>
      <c r="E16" s="99" t="s">
        <v>400</v>
      </c>
      <c r="F16" s="99" t="s">
        <v>401</v>
      </c>
      <c r="G16" s="99" t="s">
        <v>402</v>
      </c>
      <c r="H16" s="99" t="s">
        <v>403</v>
      </c>
      <c r="I16" s="99" t="s">
        <v>404</v>
      </c>
      <c r="J16" s="99" t="s">
        <v>405</v>
      </c>
      <c r="K16" s="99" t="s">
        <v>654</v>
      </c>
      <c r="L16" s="99" t="s">
        <v>1128</v>
      </c>
    </row>
    <row r="17" spans="1:12" x14ac:dyDescent="0.2">
      <c r="A17" s="2">
        <f t="shared" si="0"/>
        <v>4</v>
      </c>
      <c r="B17" s="264"/>
      <c r="C17" s="265" t="s">
        <v>1129</v>
      </c>
      <c r="D17" s="99"/>
      <c r="E17" s="102" t="s">
        <v>246</v>
      </c>
      <c r="F17" s="102" t="s">
        <v>328</v>
      </c>
      <c r="G17" s="102" t="s">
        <v>1130</v>
      </c>
      <c r="H17" s="112" t="s">
        <v>643</v>
      </c>
      <c r="I17" s="102" t="s">
        <v>1131</v>
      </c>
      <c r="J17" s="102" t="s">
        <v>638</v>
      </c>
      <c r="K17" s="102" t="s">
        <v>639</v>
      </c>
      <c r="L17" s="112" t="s">
        <v>1132</v>
      </c>
    </row>
    <row r="18" spans="1:12" x14ac:dyDescent="0.2">
      <c r="A18" s="2">
        <f t="shared" si="0"/>
        <v>5</v>
      </c>
      <c r="B18" s="264"/>
      <c r="C18" s="264"/>
      <c r="D18" s="99"/>
      <c r="G18" s="99"/>
      <c r="I18" s="99"/>
      <c r="J18" s="2" t="s">
        <v>234</v>
      </c>
      <c r="K18" s="99"/>
      <c r="L18" s="99"/>
    </row>
    <row r="19" spans="1:12" ht="15" x14ac:dyDescent="0.25">
      <c r="A19" s="2">
        <f t="shared" si="0"/>
        <v>6</v>
      </c>
      <c r="B19" s="264"/>
      <c r="C19" s="264"/>
      <c r="D19" s="99"/>
      <c r="G19" s="277" t="s">
        <v>1248</v>
      </c>
      <c r="I19" s="264"/>
      <c r="J19" s="2" t="s">
        <v>32</v>
      </c>
      <c r="K19" s="264"/>
      <c r="L19" s="2" t="s">
        <v>234</v>
      </c>
    </row>
    <row r="20" spans="1:12" x14ac:dyDescent="0.2">
      <c r="A20" s="2">
        <f t="shared" si="0"/>
        <v>7</v>
      </c>
      <c r="B20" s="264"/>
      <c r="C20" s="264"/>
      <c r="D20" s="99"/>
      <c r="F20" s="2" t="s">
        <v>613</v>
      </c>
      <c r="G20" s="2" t="s">
        <v>1133</v>
      </c>
      <c r="H20" s="2" t="s">
        <v>21</v>
      </c>
      <c r="I20" s="264"/>
      <c r="J20" s="2" t="s">
        <v>33</v>
      </c>
      <c r="K20" s="264"/>
      <c r="L20" s="2" t="s">
        <v>32</v>
      </c>
    </row>
    <row r="21" spans="1:12" x14ac:dyDescent="0.2">
      <c r="A21" s="2">
        <f t="shared" si="0"/>
        <v>8</v>
      </c>
      <c r="B21" s="264"/>
      <c r="C21" s="264"/>
      <c r="D21" s="2"/>
      <c r="E21" s="2" t="s">
        <v>21</v>
      </c>
      <c r="F21" s="2" t="s">
        <v>636</v>
      </c>
      <c r="G21" s="2" t="s">
        <v>229</v>
      </c>
      <c r="H21" s="2" t="s">
        <v>32</v>
      </c>
      <c r="I21" s="2" t="s">
        <v>21</v>
      </c>
      <c r="J21" s="2" t="s">
        <v>24</v>
      </c>
      <c r="K21" s="267" t="s">
        <v>25</v>
      </c>
      <c r="L21" s="2" t="s">
        <v>33</v>
      </c>
    </row>
    <row r="22" spans="1:12" x14ac:dyDescent="0.2">
      <c r="A22" s="2">
        <f t="shared" si="0"/>
        <v>9</v>
      </c>
      <c r="B22" s="264"/>
      <c r="C22" s="264"/>
      <c r="D22" s="2"/>
      <c r="E22" s="2" t="s">
        <v>324</v>
      </c>
      <c r="F22" s="2" t="s">
        <v>356</v>
      </c>
      <c r="G22" s="2" t="s">
        <v>324</v>
      </c>
      <c r="H22" s="2" t="s">
        <v>33</v>
      </c>
      <c r="I22" s="2" t="s">
        <v>25</v>
      </c>
      <c r="J22" s="2" t="s">
        <v>1249</v>
      </c>
      <c r="K22" s="2" t="s">
        <v>1250</v>
      </c>
      <c r="L22" s="2" t="s">
        <v>24</v>
      </c>
    </row>
    <row r="23" spans="1:12" x14ac:dyDescent="0.2">
      <c r="A23" s="2">
        <f t="shared" si="0"/>
        <v>10</v>
      </c>
      <c r="B23" s="264"/>
      <c r="C23" s="25" t="s">
        <v>220</v>
      </c>
      <c r="D23" s="25" t="s">
        <v>221</v>
      </c>
      <c r="E23" s="3" t="s">
        <v>1135</v>
      </c>
      <c r="F23" s="3" t="s">
        <v>23</v>
      </c>
      <c r="G23" s="3" t="s">
        <v>185</v>
      </c>
      <c r="H23" s="3" t="s">
        <v>24</v>
      </c>
      <c r="I23" s="3" t="s">
        <v>13</v>
      </c>
      <c r="J23" s="3" t="s">
        <v>1251</v>
      </c>
      <c r="K23" s="3" t="s">
        <v>220</v>
      </c>
      <c r="L23" s="3" t="s">
        <v>1136</v>
      </c>
    </row>
    <row r="24" spans="1:12" x14ac:dyDescent="0.2">
      <c r="A24" s="2">
        <f t="shared" si="0"/>
        <v>11</v>
      </c>
      <c r="B24" s="264"/>
      <c r="C24" s="20" t="s">
        <v>209</v>
      </c>
      <c r="D24" s="171">
        <v>2012</v>
      </c>
      <c r="E24" s="282">
        <f>$E$14/12</f>
        <v>56004903.642240196</v>
      </c>
      <c r="F24" s="268">
        <f>C106</f>
        <v>61648050.289999999</v>
      </c>
      <c r="G24" s="428">
        <v>-815706</v>
      </c>
      <c r="H24" s="266">
        <f>E24-F24+G24</f>
        <v>-6458852.6477598026</v>
      </c>
      <c r="I24" s="270">
        <v>2.7000000000000001E-3</v>
      </c>
      <c r="J24" s="271">
        <f>H24</f>
        <v>-6458852.6477598026</v>
      </c>
      <c r="K24" s="271">
        <f>((J24)/2)*I24</f>
        <v>-8719.4510744757335</v>
      </c>
      <c r="L24" s="271">
        <f>J24+K24</f>
        <v>-6467572.0988342781</v>
      </c>
    </row>
    <row r="25" spans="1:12" x14ac:dyDescent="0.2">
      <c r="A25" s="2">
        <f t="shared" si="0"/>
        <v>12</v>
      </c>
      <c r="B25" s="264"/>
      <c r="C25" s="21" t="s">
        <v>210</v>
      </c>
      <c r="D25" s="171">
        <v>2012</v>
      </c>
      <c r="E25" s="282">
        <f t="shared" ref="E25:E35" si="1">$E$14/12</f>
        <v>56004903.642240196</v>
      </c>
      <c r="F25" s="268">
        <f t="shared" ref="F25:F35" si="2">C107</f>
        <v>51826242.090000004</v>
      </c>
      <c r="G25" s="863" t="s">
        <v>2496</v>
      </c>
      <c r="H25" s="266">
        <f t="shared" ref="H25:H32" si="3">E25-F25</f>
        <v>4178661.5522401929</v>
      </c>
      <c r="I25" s="270">
        <v>2.7000000000000001E-3</v>
      </c>
      <c r="J25" s="271">
        <f>L24+H25</f>
        <v>-2288910.5465940852</v>
      </c>
      <c r="K25" s="271">
        <f>((L24+J25)/2)*I25</f>
        <v>-11821.25157132829</v>
      </c>
      <c r="L25" s="271">
        <f t="shared" ref="L25:L44" si="4">J25+K25</f>
        <v>-2300731.7981654136</v>
      </c>
    </row>
    <row r="26" spans="1:12" x14ac:dyDescent="0.2">
      <c r="A26" s="2">
        <f t="shared" si="0"/>
        <v>13</v>
      </c>
      <c r="B26" s="264"/>
      <c r="C26" s="21" t="s">
        <v>223</v>
      </c>
      <c r="D26" s="171">
        <v>2012</v>
      </c>
      <c r="E26" s="282">
        <f t="shared" si="1"/>
        <v>56004903.642240196</v>
      </c>
      <c r="F26" s="268">
        <f t="shared" si="2"/>
        <v>55702506.579999998</v>
      </c>
      <c r="G26" s="863" t="s">
        <v>2496</v>
      </c>
      <c r="H26" s="266">
        <f t="shared" si="3"/>
        <v>302397.06224019825</v>
      </c>
      <c r="I26" s="270">
        <v>2.7000000000000001E-3</v>
      </c>
      <c r="J26" s="271">
        <f t="shared" ref="J26:J44" si="5">L25+H26</f>
        <v>-1998334.7359252153</v>
      </c>
      <c r="K26" s="271">
        <f t="shared" ref="K26:K44" si="6">((L25+J26)/2)*I26</f>
        <v>-5803.7398210223491</v>
      </c>
      <c r="L26" s="271">
        <f t="shared" si="4"/>
        <v>-2004138.4757462377</v>
      </c>
    </row>
    <row r="27" spans="1:12" x14ac:dyDescent="0.2">
      <c r="A27" s="2">
        <f t="shared" si="0"/>
        <v>14</v>
      </c>
      <c r="B27" s="264"/>
      <c r="C27" s="20" t="s">
        <v>211</v>
      </c>
      <c r="D27" s="171">
        <v>2012</v>
      </c>
      <c r="E27" s="282">
        <f t="shared" si="1"/>
        <v>56004903.642240196</v>
      </c>
      <c r="F27" s="268">
        <f t="shared" si="2"/>
        <v>53980571.460000001</v>
      </c>
      <c r="G27" s="863" t="s">
        <v>2496</v>
      </c>
      <c r="H27" s="266">
        <f t="shared" si="3"/>
        <v>2024332.1822401956</v>
      </c>
      <c r="I27" s="270">
        <v>2.7000000000000001E-3</v>
      </c>
      <c r="J27" s="271">
        <f t="shared" si="5"/>
        <v>20193.7064939579</v>
      </c>
      <c r="K27" s="271">
        <f t="shared" si="6"/>
        <v>-2678.3254384905777</v>
      </c>
      <c r="L27" s="271">
        <f t="shared" si="4"/>
        <v>17515.381055467322</v>
      </c>
    </row>
    <row r="28" spans="1:12" x14ac:dyDescent="0.2">
      <c r="A28" s="2">
        <f t="shared" si="0"/>
        <v>15</v>
      </c>
      <c r="B28" s="264"/>
      <c r="C28" s="21" t="s">
        <v>212</v>
      </c>
      <c r="D28" s="171">
        <v>2012</v>
      </c>
      <c r="E28" s="282">
        <f t="shared" si="1"/>
        <v>56004903.642240196</v>
      </c>
      <c r="F28" s="268">
        <f t="shared" si="2"/>
        <v>58823859.199999996</v>
      </c>
      <c r="G28" s="863" t="s">
        <v>2496</v>
      </c>
      <c r="H28" s="266">
        <f t="shared" si="3"/>
        <v>-2818955.5577597991</v>
      </c>
      <c r="I28" s="270">
        <v>2.7000000000000001E-3</v>
      </c>
      <c r="J28" s="271">
        <f t="shared" si="5"/>
        <v>-2801440.1767043318</v>
      </c>
      <c r="K28" s="271">
        <f t="shared" si="6"/>
        <v>-3758.2984741259675</v>
      </c>
      <c r="L28" s="271">
        <f t="shared" si="4"/>
        <v>-2805198.4751784578</v>
      </c>
    </row>
    <row r="29" spans="1:12" x14ac:dyDescent="0.2">
      <c r="A29" s="2">
        <f t="shared" si="0"/>
        <v>16</v>
      </c>
      <c r="B29" s="264"/>
      <c r="C29" s="21" t="s">
        <v>213</v>
      </c>
      <c r="D29" s="171">
        <v>2012</v>
      </c>
      <c r="E29" s="282">
        <f t="shared" si="1"/>
        <v>56004903.642240196</v>
      </c>
      <c r="F29" s="268">
        <f t="shared" si="2"/>
        <v>57728900.649999999</v>
      </c>
      <c r="G29" s="863" t="s">
        <v>2496</v>
      </c>
      <c r="H29" s="266">
        <f t="shared" si="3"/>
        <v>-1723997.007759802</v>
      </c>
      <c r="I29" s="270">
        <v>2.7000000000000001E-3</v>
      </c>
      <c r="J29" s="271">
        <f t="shared" si="5"/>
        <v>-4529195.4829382598</v>
      </c>
      <c r="K29" s="271">
        <f t="shared" si="6"/>
        <v>-9901.4318434575689</v>
      </c>
      <c r="L29" s="271">
        <f t="shared" si="4"/>
        <v>-4539096.9147817176</v>
      </c>
    </row>
    <row r="30" spans="1:12" x14ac:dyDescent="0.2">
      <c r="A30" s="2">
        <f t="shared" si="0"/>
        <v>17</v>
      </c>
      <c r="B30" s="264"/>
      <c r="C30" s="20" t="s">
        <v>214</v>
      </c>
      <c r="D30" s="171">
        <v>2012</v>
      </c>
      <c r="E30" s="282">
        <f t="shared" si="1"/>
        <v>56004903.642240196</v>
      </c>
      <c r="F30" s="268">
        <f t="shared" si="2"/>
        <v>66004496.909999996</v>
      </c>
      <c r="G30" s="863" t="s">
        <v>2496</v>
      </c>
      <c r="H30" s="266">
        <f t="shared" si="3"/>
        <v>-9999593.2677598</v>
      </c>
      <c r="I30" s="270">
        <v>2.7000000000000001E-3</v>
      </c>
      <c r="J30" s="271">
        <f t="shared" si="5"/>
        <v>-14538690.182541518</v>
      </c>
      <c r="K30" s="271">
        <f t="shared" si="6"/>
        <v>-25755.012581386371</v>
      </c>
      <c r="L30" s="271">
        <f t="shared" si="4"/>
        <v>-14564445.195122903</v>
      </c>
    </row>
    <row r="31" spans="1:12" x14ac:dyDescent="0.2">
      <c r="A31" s="2">
        <f t="shared" si="0"/>
        <v>18</v>
      </c>
      <c r="B31" s="264"/>
      <c r="C31" s="21" t="s">
        <v>215</v>
      </c>
      <c r="D31" s="171">
        <v>2012</v>
      </c>
      <c r="E31" s="282">
        <f t="shared" si="1"/>
        <v>56004903.642240196</v>
      </c>
      <c r="F31" s="268">
        <f t="shared" si="2"/>
        <v>80874514.109999999</v>
      </c>
      <c r="G31" s="863" t="s">
        <v>2496</v>
      </c>
      <c r="H31" s="266">
        <f t="shared" si="3"/>
        <v>-24869610.467759803</v>
      </c>
      <c r="I31" s="270">
        <v>2.7000000000000001E-3</v>
      </c>
      <c r="J31" s="271">
        <f t="shared" si="5"/>
        <v>-39434055.662882708</v>
      </c>
      <c r="K31" s="271">
        <f t="shared" si="6"/>
        <v>-72897.976158307589</v>
      </c>
      <c r="L31" s="271">
        <f t="shared" si="4"/>
        <v>-39506953.639041014</v>
      </c>
    </row>
    <row r="32" spans="1:12" x14ac:dyDescent="0.2">
      <c r="A32" s="2">
        <f t="shared" si="0"/>
        <v>19</v>
      </c>
      <c r="B32" s="264"/>
      <c r="C32" s="21" t="s">
        <v>216</v>
      </c>
      <c r="D32" s="171">
        <v>2012</v>
      </c>
      <c r="E32" s="282">
        <f t="shared" si="1"/>
        <v>56004903.642240196</v>
      </c>
      <c r="F32" s="268">
        <f t="shared" si="2"/>
        <v>69792980.290000007</v>
      </c>
      <c r="G32" s="863" t="s">
        <v>2496</v>
      </c>
      <c r="H32" s="266">
        <f t="shared" si="3"/>
        <v>-13788076.64775981</v>
      </c>
      <c r="I32" s="270">
        <v>2.7000000000000001E-3</v>
      </c>
      <c r="J32" s="271">
        <f t="shared" si="5"/>
        <v>-53295030.286800824</v>
      </c>
      <c r="K32" s="271">
        <f t="shared" si="6"/>
        <v>-125282.67829988649</v>
      </c>
      <c r="L32" s="271">
        <f t="shared" si="4"/>
        <v>-53420312.965100713</v>
      </c>
    </row>
    <row r="33" spans="1:12" x14ac:dyDescent="0.2">
      <c r="A33" s="2">
        <f t="shared" si="0"/>
        <v>20</v>
      </c>
      <c r="B33" s="264"/>
      <c r="C33" s="20" t="s">
        <v>219</v>
      </c>
      <c r="D33" s="171">
        <v>2012</v>
      </c>
      <c r="E33" s="282">
        <f t="shared" si="1"/>
        <v>56004903.642240196</v>
      </c>
      <c r="F33" s="268">
        <f t="shared" si="2"/>
        <v>68015238.829999998</v>
      </c>
      <c r="G33" s="428"/>
      <c r="H33" s="266">
        <f>E33-F33+G33</f>
        <v>-12010335.187759802</v>
      </c>
      <c r="I33" s="270">
        <v>2.7000000000000001E-3</v>
      </c>
      <c r="J33" s="271">
        <f t="shared" si="5"/>
        <v>-65430648.152860515</v>
      </c>
      <c r="K33" s="271">
        <f t="shared" si="6"/>
        <v>-160448.79750924767</v>
      </c>
      <c r="L33" s="271">
        <f t="shared" si="4"/>
        <v>-65591096.95036976</v>
      </c>
    </row>
    <row r="34" spans="1:12" x14ac:dyDescent="0.2">
      <c r="A34" s="2">
        <f t="shared" si="0"/>
        <v>21</v>
      </c>
      <c r="B34" s="264"/>
      <c r="C34" s="20" t="s">
        <v>218</v>
      </c>
      <c r="D34" s="171">
        <v>2012</v>
      </c>
      <c r="E34" s="282">
        <f t="shared" si="1"/>
        <v>56004903.642240196</v>
      </c>
      <c r="F34" s="268">
        <f t="shared" si="2"/>
        <v>73991860.939999998</v>
      </c>
      <c r="G34" s="428"/>
      <c r="H34" s="266">
        <f>E34-F34+G34</f>
        <v>-17986957.297759801</v>
      </c>
      <c r="I34" s="270">
        <v>2.7000000000000001E-3</v>
      </c>
      <c r="J34" s="271">
        <f t="shared" si="5"/>
        <v>-83578054.248129562</v>
      </c>
      <c r="K34" s="271">
        <f t="shared" si="6"/>
        <v>-201378.35411797409</v>
      </c>
      <c r="L34" s="271">
        <f t="shared" si="4"/>
        <v>-83779432.602247536</v>
      </c>
    </row>
    <row r="35" spans="1:12" x14ac:dyDescent="0.2">
      <c r="A35" s="2">
        <f t="shared" si="0"/>
        <v>22</v>
      </c>
      <c r="B35" s="264"/>
      <c r="C35" s="21" t="s">
        <v>208</v>
      </c>
      <c r="D35" s="171">
        <v>2012</v>
      </c>
      <c r="E35" s="282">
        <f t="shared" si="1"/>
        <v>56004903.642240196</v>
      </c>
      <c r="F35" s="48">
        <f t="shared" si="2"/>
        <v>70207368.730000004</v>
      </c>
      <c r="G35" s="428"/>
      <c r="H35" s="266">
        <f>E35-F35+G35</f>
        <v>-14202465.087759808</v>
      </c>
      <c r="I35" s="270">
        <v>2.7000000000000001E-3</v>
      </c>
      <c r="J35" s="271">
        <f t="shared" si="5"/>
        <v>-97981897.690007344</v>
      </c>
      <c r="K35" s="271">
        <f t="shared" si="6"/>
        <v>-245377.79589454408</v>
      </c>
      <c r="L35" s="271">
        <f t="shared" si="4"/>
        <v>-98227275.485901892</v>
      </c>
    </row>
    <row r="36" spans="1:12" x14ac:dyDescent="0.2">
      <c r="A36" s="2">
        <f t="shared" si="0"/>
        <v>23</v>
      </c>
      <c r="B36" s="264"/>
      <c r="C36" s="20" t="s">
        <v>209</v>
      </c>
      <c r="D36" s="171">
        <v>2013</v>
      </c>
      <c r="E36" s="272" t="s">
        <v>92</v>
      </c>
      <c r="F36" s="272" t="s">
        <v>92</v>
      </c>
      <c r="G36" s="1020"/>
      <c r="H36" s="266">
        <f>+G36</f>
        <v>0</v>
      </c>
      <c r="I36" s="270">
        <v>2.7000000000000001E-3</v>
      </c>
      <c r="J36" s="271">
        <f t="shared" si="5"/>
        <v>-98227275.485901892</v>
      </c>
      <c r="K36" s="271">
        <f t="shared" si="6"/>
        <v>-265213.64381193515</v>
      </c>
      <c r="L36" s="271">
        <f t="shared" si="4"/>
        <v>-98492489.129713833</v>
      </c>
    </row>
    <row r="37" spans="1:12" x14ac:dyDescent="0.2">
      <c r="A37" s="2">
        <f t="shared" si="0"/>
        <v>24</v>
      </c>
      <c r="B37" s="264"/>
      <c r="C37" s="21" t="s">
        <v>210</v>
      </c>
      <c r="D37" s="171">
        <v>2013</v>
      </c>
      <c r="E37" s="272" t="s">
        <v>92</v>
      </c>
      <c r="F37" s="272" t="s">
        <v>92</v>
      </c>
      <c r="G37" s="1020"/>
      <c r="H37" s="266">
        <f t="shared" ref="H37:H44" si="7">+G37</f>
        <v>0</v>
      </c>
      <c r="I37" s="270">
        <v>2.7000000000000001E-3</v>
      </c>
      <c r="J37" s="271">
        <f t="shared" si="5"/>
        <v>-98492489.129713833</v>
      </c>
      <c r="K37" s="271">
        <f t="shared" si="6"/>
        <v>-265929.72065022739</v>
      </c>
      <c r="L37" s="271">
        <f t="shared" si="4"/>
        <v>-98758418.850364059</v>
      </c>
    </row>
    <row r="38" spans="1:12" x14ac:dyDescent="0.2">
      <c r="A38" s="2">
        <f t="shared" si="0"/>
        <v>25</v>
      </c>
      <c r="B38" s="264"/>
      <c r="C38" s="21" t="s">
        <v>223</v>
      </c>
      <c r="D38" s="171">
        <v>2013</v>
      </c>
      <c r="E38" s="272" t="s">
        <v>92</v>
      </c>
      <c r="F38" s="272" t="s">
        <v>92</v>
      </c>
      <c r="G38" s="1020"/>
      <c r="H38" s="266">
        <f t="shared" si="7"/>
        <v>0</v>
      </c>
      <c r="I38" s="270">
        <v>2.7000000000000001E-3</v>
      </c>
      <c r="J38" s="271">
        <f t="shared" si="5"/>
        <v>-98758418.850364059</v>
      </c>
      <c r="K38" s="271">
        <f t="shared" si="6"/>
        <v>-266647.730895983</v>
      </c>
      <c r="L38" s="271">
        <f t="shared" si="4"/>
        <v>-99025066.58126004</v>
      </c>
    </row>
    <row r="39" spans="1:12" x14ac:dyDescent="0.2">
      <c r="A39" s="2">
        <f t="shared" si="0"/>
        <v>26</v>
      </c>
      <c r="B39" s="264"/>
      <c r="C39" s="20" t="s">
        <v>211</v>
      </c>
      <c r="D39" s="171">
        <v>2013</v>
      </c>
      <c r="E39" s="272" t="s">
        <v>92</v>
      </c>
      <c r="F39" s="272" t="s">
        <v>92</v>
      </c>
      <c r="G39" s="1020"/>
      <c r="H39" s="266">
        <f t="shared" si="7"/>
        <v>0</v>
      </c>
      <c r="I39" s="270">
        <v>2.7000000000000001E-3</v>
      </c>
      <c r="J39" s="271">
        <f t="shared" si="5"/>
        <v>-99025066.58126004</v>
      </c>
      <c r="K39" s="271">
        <f t="shared" si="6"/>
        <v>-267367.67976940214</v>
      </c>
      <c r="L39" s="271">
        <f t="shared" si="4"/>
        <v>-99292434.261029437</v>
      </c>
    </row>
    <row r="40" spans="1:12" x14ac:dyDescent="0.2">
      <c r="A40" s="2">
        <f t="shared" si="0"/>
        <v>27</v>
      </c>
      <c r="B40" s="264"/>
      <c r="C40" s="21" t="s">
        <v>212</v>
      </c>
      <c r="D40" s="171">
        <v>2013</v>
      </c>
      <c r="E40" s="272" t="s">
        <v>92</v>
      </c>
      <c r="F40" s="272" t="s">
        <v>92</v>
      </c>
      <c r="G40" s="1020"/>
      <c r="H40" s="266">
        <f t="shared" si="7"/>
        <v>0</v>
      </c>
      <c r="I40" s="270">
        <v>2.7000000000000001E-3</v>
      </c>
      <c r="J40" s="271">
        <f t="shared" si="5"/>
        <v>-99292434.261029437</v>
      </c>
      <c r="K40" s="271">
        <f t="shared" si="6"/>
        <v>-268089.5725047795</v>
      </c>
      <c r="L40" s="271">
        <f t="shared" si="4"/>
        <v>-99560523.833534211</v>
      </c>
    </row>
    <row r="41" spans="1:12" x14ac:dyDescent="0.2">
      <c r="A41" s="2">
        <f t="shared" si="0"/>
        <v>28</v>
      </c>
      <c r="B41" s="264"/>
      <c r="C41" s="21" t="s">
        <v>213</v>
      </c>
      <c r="D41" s="171">
        <v>2013</v>
      </c>
      <c r="E41" s="272" t="s">
        <v>92</v>
      </c>
      <c r="F41" s="272" t="s">
        <v>92</v>
      </c>
      <c r="G41" s="445"/>
      <c r="H41" s="266">
        <f t="shared" si="7"/>
        <v>0</v>
      </c>
      <c r="I41" s="270">
        <v>2.7000000000000001E-3</v>
      </c>
      <c r="J41" s="271">
        <f t="shared" si="5"/>
        <v>-99560523.833534211</v>
      </c>
      <c r="K41" s="271">
        <f t="shared" si="6"/>
        <v>-268813.41435054236</v>
      </c>
      <c r="L41" s="271">
        <f t="shared" si="4"/>
        <v>-99829337.24788475</v>
      </c>
    </row>
    <row r="42" spans="1:12" x14ac:dyDescent="0.2">
      <c r="A42" s="2">
        <f t="shared" si="0"/>
        <v>29</v>
      </c>
      <c r="B42" s="264"/>
      <c r="C42" s="20" t="s">
        <v>214</v>
      </c>
      <c r="D42" s="171">
        <v>2013</v>
      </c>
      <c r="E42" s="272" t="s">
        <v>92</v>
      </c>
      <c r="F42" s="272" t="s">
        <v>92</v>
      </c>
      <c r="G42" s="445"/>
      <c r="H42" s="266">
        <f t="shared" si="7"/>
        <v>0</v>
      </c>
      <c r="I42" s="270">
        <v>2.7000000000000001E-3</v>
      </c>
      <c r="J42" s="271">
        <f t="shared" si="5"/>
        <v>-99829337.24788475</v>
      </c>
      <c r="K42" s="271">
        <f t="shared" si="6"/>
        <v>-269539.21056928881</v>
      </c>
      <c r="L42" s="271">
        <f t="shared" si="4"/>
        <v>-100098876.45845404</v>
      </c>
    </row>
    <row r="43" spans="1:12" x14ac:dyDescent="0.2">
      <c r="A43" s="2">
        <f t="shared" si="0"/>
        <v>30</v>
      </c>
      <c r="B43" s="264"/>
      <c r="C43" s="21" t="s">
        <v>215</v>
      </c>
      <c r="D43" s="171">
        <v>2013</v>
      </c>
      <c r="E43" s="272" t="s">
        <v>92</v>
      </c>
      <c r="F43" s="272" t="s">
        <v>92</v>
      </c>
      <c r="G43" s="445"/>
      <c r="H43" s="266">
        <f t="shared" si="7"/>
        <v>0</v>
      </c>
      <c r="I43" s="270">
        <v>2.7000000000000001E-3</v>
      </c>
      <c r="J43" s="271">
        <f t="shared" si="5"/>
        <v>-100098876.45845404</v>
      </c>
      <c r="K43" s="271">
        <f t="shared" si="6"/>
        <v>-270266.96643782593</v>
      </c>
      <c r="L43" s="271">
        <f t="shared" si="4"/>
        <v>-100369143.42489187</v>
      </c>
    </row>
    <row r="44" spans="1:12" x14ac:dyDescent="0.2">
      <c r="A44" s="2">
        <f t="shared" si="0"/>
        <v>31</v>
      </c>
      <c r="B44" s="264"/>
      <c r="C44" s="21" t="s">
        <v>216</v>
      </c>
      <c r="D44" s="171">
        <v>2013</v>
      </c>
      <c r="E44" s="272" t="s">
        <v>92</v>
      </c>
      <c r="F44" s="272" t="s">
        <v>92</v>
      </c>
      <c r="G44" s="445"/>
      <c r="H44" s="266">
        <f t="shared" si="7"/>
        <v>0</v>
      </c>
      <c r="I44" s="270">
        <v>2.7000000000000001E-3</v>
      </c>
      <c r="J44" s="271">
        <f t="shared" si="5"/>
        <v>-100369143.42489187</v>
      </c>
      <c r="K44" s="271">
        <f t="shared" si="6"/>
        <v>-270996.68724720809</v>
      </c>
      <c r="L44" s="271">
        <f t="shared" si="4"/>
        <v>-100640140.11213908</v>
      </c>
    </row>
    <row r="45" spans="1:12" x14ac:dyDescent="0.2">
      <c r="A45" s="2">
        <f t="shared" si="0"/>
        <v>32</v>
      </c>
      <c r="B45" s="264"/>
      <c r="C45" s="21"/>
      <c r="D45" s="24"/>
      <c r="E45" s="273"/>
      <c r="F45" s="273"/>
      <c r="G45" s="274"/>
      <c r="H45" s="268"/>
      <c r="I45" s="275"/>
      <c r="J45" s="271"/>
      <c r="K45" s="271"/>
      <c r="L45" s="271"/>
    </row>
    <row r="46" spans="1:12" x14ac:dyDescent="0.2">
      <c r="A46" s="2">
        <f t="shared" si="0"/>
        <v>33</v>
      </c>
      <c r="B46" s="22" t="s">
        <v>1137</v>
      </c>
      <c r="D46" s="24"/>
      <c r="E46" s="273"/>
      <c r="F46" s="273"/>
      <c r="G46" s="274"/>
      <c r="H46" s="268"/>
      <c r="I46" s="275"/>
      <c r="J46" s="271"/>
      <c r="K46" s="271"/>
      <c r="L46" s="271"/>
    </row>
    <row r="47" spans="1:12" x14ac:dyDescent="0.2">
      <c r="A47" s="2">
        <f t="shared" si="0"/>
        <v>34</v>
      </c>
      <c r="B47" s="22"/>
      <c r="D47" s="99" t="s">
        <v>417</v>
      </c>
      <c r="E47" s="99" t="s">
        <v>400</v>
      </c>
      <c r="F47" s="99" t="s">
        <v>401</v>
      </c>
      <c r="G47" s="99" t="s">
        <v>402</v>
      </c>
      <c r="H47" s="99" t="s">
        <v>403</v>
      </c>
      <c r="I47" s="99" t="s">
        <v>404</v>
      </c>
      <c r="J47" s="99" t="s">
        <v>405</v>
      </c>
      <c r="K47" s="99" t="s">
        <v>654</v>
      </c>
      <c r="L47" s="271"/>
    </row>
    <row r="48" spans="1:12" x14ac:dyDescent="0.2">
      <c r="A48" s="2">
        <f t="shared" si="0"/>
        <v>35</v>
      </c>
      <c r="B48" s="22"/>
      <c r="D48" s="99"/>
      <c r="E48" s="102" t="s">
        <v>1252</v>
      </c>
      <c r="F48" s="102" t="s">
        <v>1253</v>
      </c>
      <c r="G48" s="102" t="s">
        <v>1254</v>
      </c>
      <c r="H48" s="112" t="s">
        <v>1255</v>
      </c>
      <c r="I48" s="102" t="s">
        <v>1256</v>
      </c>
      <c r="J48" s="112" t="s">
        <v>1257</v>
      </c>
      <c r="K48" s="272" t="s">
        <v>1258</v>
      </c>
      <c r="L48" s="271"/>
    </row>
    <row r="49" spans="1:12" ht="15" x14ac:dyDescent="0.25">
      <c r="A49" s="2">
        <f t="shared" si="0"/>
        <v>36</v>
      </c>
      <c r="B49" s="22"/>
      <c r="D49" s="99"/>
      <c r="E49" s="102"/>
      <c r="F49" s="102"/>
      <c r="G49" s="277"/>
      <c r="H49" s="277" t="s">
        <v>220</v>
      </c>
      <c r="I49" s="102"/>
      <c r="J49" s="271"/>
      <c r="K49" s="277" t="s">
        <v>324</v>
      </c>
      <c r="L49" s="271"/>
    </row>
    <row r="50" spans="1:12" ht="15" x14ac:dyDescent="0.25">
      <c r="A50" s="2">
        <f t="shared" si="0"/>
        <v>37</v>
      </c>
      <c r="B50" s="264"/>
      <c r="C50" s="21"/>
      <c r="D50" s="24"/>
      <c r="E50" s="2" t="s">
        <v>21</v>
      </c>
      <c r="F50" s="276" t="s">
        <v>220</v>
      </c>
      <c r="G50" s="277"/>
      <c r="H50" s="276" t="s">
        <v>1139</v>
      </c>
      <c r="I50" s="267" t="s">
        <v>25</v>
      </c>
      <c r="J50" s="277" t="s">
        <v>220</v>
      </c>
      <c r="K50" s="277" t="s">
        <v>185</v>
      </c>
      <c r="L50" s="271"/>
    </row>
    <row r="51" spans="1:12" ht="15" x14ac:dyDescent="0.25">
      <c r="A51" s="2">
        <f t="shared" si="0"/>
        <v>38</v>
      </c>
      <c r="B51" s="264"/>
      <c r="D51" s="24"/>
      <c r="E51" s="2" t="s">
        <v>25</v>
      </c>
      <c r="F51" s="276" t="s">
        <v>1138</v>
      </c>
      <c r="G51" s="277"/>
      <c r="H51" s="276" t="s">
        <v>1140</v>
      </c>
      <c r="I51" s="2" t="s">
        <v>1250</v>
      </c>
      <c r="J51" s="276" t="s">
        <v>1139</v>
      </c>
      <c r="K51" s="277" t="s">
        <v>1259</v>
      </c>
      <c r="L51" s="271"/>
    </row>
    <row r="52" spans="1:12" ht="15" x14ac:dyDescent="0.25">
      <c r="A52" s="2">
        <f t="shared" si="0"/>
        <v>39</v>
      </c>
      <c r="B52" s="264"/>
      <c r="C52" s="21"/>
      <c r="D52" s="25" t="s">
        <v>221</v>
      </c>
      <c r="E52" s="3" t="s">
        <v>13</v>
      </c>
      <c r="F52" s="278" t="s">
        <v>1140</v>
      </c>
      <c r="G52" s="279" t="s">
        <v>1260</v>
      </c>
      <c r="H52" s="279" t="s">
        <v>1134</v>
      </c>
      <c r="I52" s="3" t="s">
        <v>220</v>
      </c>
      <c r="J52" s="278" t="s">
        <v>1140</v>
      </c>
      <c r="K52" s="279" t="s">
        <v>1261</v>
      </c>
      <c r="L52" s="271"/>
    </row>
    <row r="53" spans="1:12" x14ac:dyDescent="0.2">
      <c r="A53" s="2">
        <f t="shared" si="0"/>
        <v>40</v>
      </c>
      <c r="B53" s="264"/>
      <c r="C53" s="20" t="s">
        <v>219</v>
      </c>
      <c r="D53" s="171">
        <v>2013</v>
      </c>
      <c r="E53" s="275">
        <f>AVERAGE($I$33:$I$44)</f>
        <v>2.7000000000000006E-3</v>
      </c>
      <c r="F53" s="271">
        <f>L44</f>
        <v>-100640140.11213908</v>
      </c>
      <c r="G53" s="7">
        <f>$I$67/12</f>
        <v>8523085.958673941</v>
      </c>
      <c r="H53" s="7">
        <f>F53+G53</f>
        <v>-92117054.153465137</v>
      </c>
      <c r="I53" s="7">
        <f>((F53+H53)/2)*E53</f>
        <v>-260222.21225856573</v>
      </c>
      <c r="J53" s="7">
        <f>H53+I53</f>
        <v>-92377276.365723699</v>
      </c>
      <c r="K53" s="7">
        <f>-G53</f>
        <v>-8523085.958673941</v>
      </c>
      <c r="L53" s="271"/>
    </row>
    <row r="54" spans="1:12" x14ac:dyDescent="0.2">
      <c r="A54" s="2">
        <f t="shared" si="0"/>
        <v>41</v>
      </c>
      <c r="B54" s="264"/>
      <c r="C54" s="20" t="s">
        <v>218</v>
      </c>
      <c r="D54" s="171">
        <v>2013</v>
      </c>
      <c r="E54" s="275">
        <f t="shared" ref="E54:E64" si="8">AVERAGE($I$33:$I$44)</f>
        <v>2.7000000000000006E-3</v>
      </c>
      <c r="F54" s="271">
        <f>J53</f>
        <v>-92377276.365723699</v>
      </c>
      <c r="G54" s="7">
        <f t="shared" ref="G54:G64" si="9">$I$67/12</f>
        <v>8523085.958673941</v>
      </c>
      <c r="H54" s="7">
        <f t="shared" ref="H54:H64" si="10">F54+G54</f>
        <v>-83854190.40704976</v>
      </c>
      <c r="I54" s="7">
        <f t="shared" ref="I54:I64" si="11">((F54+H54)/2)*E54</f>
        <v>-237912.4801432442</v>
      </c>
      <c r="J54" s="7">
        <f t="shared" ref="J54:J64" si="12">H54+I54</f>
        <v>-84092102.887193009</v>
      </c>
      <c r="K54" s="7">
        <f t="shared" ref="K54:K64" si="13">-G54</f>
        <v>-8523085.958673941</v>
      </c>
      <c r="L54" s="271"/>
    </row>
    <row r="55" spans="1:12" x14ac:dyDescent="0.2">
      <c r="A55" s="2">
        <f t="shared" si="0"/>
        <v>42</v>
      </c>
      <c r="B55" s="264"/>
      <c r="C55" s="21" t="s">
        <v>208</v>
      </c>
      <c r="D55" s="171">
        <v>2013</v>
      </c>
      <c r="E55" s="275">
        <f t="shared" si="8"/>
        <v>2.7000000000000006E-3</v>
      </c>
      <c r="F55" s="271">
        <f t="shared" ref="F55:F64" si="14">J54</f>
        <v>-84092102.887193009</v>
      </c>
      <c r="G55" s="7">
        <f t="shared" si="9"/>
        <v>8523085.958673941</v>
      </c>
      <c r="H55" s="7">
        <f t="shared" si="10"/>
        <v>-75569016.92851907</v>
      </c>
      <c r="I55" s="7">
        <f t="shared" si="11"/>
        <v>-215542.51175121136</v>
      </c>
      <c r="J55" s="7">
        <f t="shared" si="12"/>
        <v>-75784559.440270275</v>
      </c>
      <c r="K55" s="7">
        <f t="shared" si="13"/>
        <v>-8523085.958673941</v>
      </c>
      <c r="L55" s="271"/>
    </row>
    <row r="56" spans="1:12" x14ac:dyDescent="0.2">
      <c r="A56" s="2">
        <f t="shared" si="0"/>
        <v>43</v>
      </c>
      <c r="B56" s="264"/>
      <c r="C56" s="20" t="s">
        <v>209</v>
      </c>
      <c r="D56" s="171">
        <v>2014</v>
      </c>
      <c r="E56" s="275">
        <f t="shared" si="8"/>
        <v>2.7000000000000006E-3</v>
      </c>
      <c r="F56" s="271">
        <f t="shared" si="14"/>
        <v>-75784559.440270275</v>
      </c>
      <c r="G56" s="7">
        <f t="shared" si="9"/>
        <v>8523085.958673941</v>
      </c>
      <c r="H56" s="7">
        <f t="shared" si="10"/>
        <v>-67261473.481596336</v>
      </c>
      <c r="I56" s="7">
        <f t="shared" si="11"/>
        <v>-193112.14444451994</v>
      </c>
      <c r="J56" s="7">
        <f t="shared" si="12"/>
        <v>-67454585.626040861</v>
      </c>
      <c r="K56" s="7">
        <f t="shared" si="13"/>
        <v>-8523085.958673941</v>
      </c>
      <c r="L56" s="271"/>
    </row>
    <row r="57" spans="1:12" x14ac:dyDescent="0.2">
      <c r="A57" s="2">
        <f t="shared" si="0"/>
        <v>44</v>
      </c>
      <c r="B57" s="264"/>
      <c r="C57" s="21" t="s">
        <v>210</v>
      </c>
      <c r="D57" s="171">
        <v>2014</v>
      </c>
      <c r="E57" s="275">
        <f t="shared" si="8"/>
        <v>2.7000000000000006E-3</v>
      </c>
      <c r="F57" s="271">
        <f t="shared" si="14"/>
        <v>-67454585.626040861</v>
      </c>
      <c r="G57" s="7">
        <f t="shared" si="9"/>
        <v>8523085.958673941</v>
      </c>
      <c r="H57" s="7">
        <f t="shared" si="10"/>
        <v>-58931499.667366922</v>
      </c>
      <c r="I57" s="7">
        <f t="shared" si="11"/>
        <v>-170621.21514610056</v>
      </c>
      <c r="J57" s="7">
        <f t="shared" si="12"/>
        <v>-59102120.882513024</v>
      </c>
      <c r="K57" s="7">
        <f t="shared" si="13"/>
        <v>-8523085.958673941</v>
      </c>
      <c r="L57" s="271"/>
    </row>
    <row r="58" spans="1:12" x14ac:dyDescent="0.2">
      <c r="A58" s="2">
        <f t="shared" si="0"/>
        <v>45</v>
      </c>
      <c r="B58" s="264"/>
      <c r="C58" s="21" t="s">
        <v>223</v>
      </c>
      <c r="D58" s="171">
        <v>2014</v>
      </c>
      <c r="E58" s="275">
        <f t="shared" si="8"/>
        <v>2.7000000000000006E-3</v>
      </c>
      <c r="F58" s="271">
        <f t="shared" si="14"/>
        <v>-59102120.882513024</v>
      </c>
      <c r="G58" s="7">
        <f t="shared" si="9"/>
        <v>8523085.958673941</v>
      </c>
      <c r="H58" s="7">
        <f t="shared" si="10"/>
        <v>-50579034.923839085</v>
      </c>
      <c r="I58" s="7">
        <f t="shared" si="11"/>
        <v>-148069.56033857536</v>
      </c>
      <c r="J58" s="7">
        <f t="shared" si="12"/>
        <v>-50727104.484177656</v>
      </c>
      <c r="K58" s="7">
        <f t="shared" si="13"/>
        <v>-8523085.958673941</v>
      </c>
      <c r="L58" s="271"/>
    </row>
    <row r="59" spans="1:12" x14ac:dyDescent="0.2">
      <c r="A59" s="2">
        <f t="shared" si="0"/>
        <v>46</v>
      </c>
      <c r="B59" s="264"/>
      <c r="C59" s="20" t="s">
        <v>211</v>
      </c>
      <c r="D59" s="171">
        <v>2014</v>
      </c>
      <c r="E59" s="275">
        <f t="shared" si="8"/>
        <v>2.7000000000000006E-3</v>
      </c>
      <c r="F59" s="271">
        <f t="shared" si="14"/>
        <v>-50727104.484177656</v>
      </c>
      <c r="G59" s="7">
        <f t="shared" si="9"/>
        <v>8523085.958673941</v>
      </c>
      <c r="H59" s="7">
        <f t="shared" si="10"/>
        <v>-42204018.525503717</v>
      </c>
      <c r="I59" s="7">
        <f t="shared" si="11"/>
        <v>-125457.01606306988</v>
      </c>
      <c r="J59" s="7">
        <f t="shared" si="12"/>
        <v>-42329475.541566789</v>
      </c>
      <c r="K59" s="7">
        <f t="shared" si="13"/>
        <v>-8523085.958673941</v>
      </c>
      <c r="L59" s="271"/>
    </row>
    <row r="60" spans="1:12" x14ac:dyDescent="0.2">
      <c r="A60" s="2">
        <f t="shared" si="0"/>
        <v>47</v>
      </c>
      <c r="B60" s="264"/>
      <c r="C60" s="21" t="s">
        <v>212</v>
      </c>
      <c r="D60" s="171">
        <v>2014</v>
      </c>
      <c r="E60" s="275">
        <f t="shared" si="8"/>
        <v>2.7000000000000006E-3</v>
      </c>
      <c r="F60" s="271">
        <f t="shared" si="14"/>
        <v>-42329475.541566789</v>
      </c>
      <c r="G60" s="7">
        <f t="shared" si="9"/>
        <v>8523085.958673941</v>
      </c>
      <c r="H60" s="7">
        <f t="shared" si="10"/>
        <v>-33806389.58289285</v>
      </c>
      <c r="I60" s="7">
        <f t="shared" si="11"/>
        <v>-102783.41791802054</v>
      </c>
      <c r="J60" s="7">
        <f t="shared" si="12"/>
        <v>-33909173.000810869</v>
      </c>
      <c r="K60" s="7">
        <f t="shared" si="13"/>
        <v>-8523085.958673941</v>
      </c>
      <c r="L60" s="271"/>
    </row>
    <row r="61" spans="1:12" x14ac:dyDescent="0.2">
      <c r="A61" s="2">
        <f t="shared" si="0"/>
        <v>48</v>
      </c>
      <c r="B61" s="264"/>
      <c r="C61" s="21" t="s">
        <v>213</v>
      </c>
      <c r="D61" s="171">
        <v>2014</v>
      </c>
      <c r="E61" s="275">
        <f t="shared" si="8"/>
        <v>2.7000000000000006E-3</v>
      </c>
      <c r="F61" s="271">
        <f t="shared" si="14"/>
        <v>-33909173.000810869</v>
      </c>
      <c r="G61" s="7">
        <f t="shared" si="9"/>
        <v>8523085.958673941</v>
      </c>
      <c r="H61" s="7">
        <f t="shared" si="10"/>
        <v>-25386087.04213693</v>
      </c>
      <c r="I61" s="7">
        <f t="shared" si="11"/>
        <v>-80048.60105797954</v>
      </c>
      <c r="J61" s="7">
        <f t="shared" si="12"/>
        <v>-25466135.64319491</v>
      </c>
      <c r="K61" s="7">
        <f t="shared" si="13"/>
        <v>-8523085.958673941</v>
      </c>
      <c r="L61" s="271"/>
    </row>
    <row r="62" spans="1:12" x14ac:dyDescent="0.2">
      <c r="A62" s="2">
        <f t="shared" si="0"/>
        <v>49</v>
      </c>
      <c r="B62" s="264"/>
      <c r="C62" s="20" t="s">
        <v>214</v>
      </c>
      <c r="D62" s="171">
        <v>2014</v>
      </c>
      <c r="E62" s="275">
        <f t="shared" si="8"/>
        <v>2.7000000000000006E-3</v>
      </c>
      <c r="F62" s="271">
        <f t="shared" si="14"/>
        <v>-25466135.64319491</v>
      </c>
      <c r="G62" s="7">
        <f t="shared" si="9"/>
        <v>8523085.958673941</v>
      </c>
      <c r="H62" s="7">
        <f t="shared" si="10"/>
        <v>-16943049.684520967</v>
      </c>
      <c r="I62" s="7">
        <f t="shared" si="11"/>
        <v>-57252.40019241644</v>
      </c>
      <c r="J62" s="7">
        <f t="shared" si="12"/>
        <v>-17000302.084713385</v>
      </c>
      <c r="K62" s="7">
        <f t="shared" si="13"/>
        <v>-8523085.958673941</v>
      </c>
      <c r="L62" s="271"/>
    </row>
    <row r="63" spans="1:12" x14ac:dyDescent="0.2">
      <c r="A63" s="2">
        <f t="shared" si="0"/>
        <v>50</v>
      </c>
      <c r="B63" s="264"/>
      <c r="C63" s="21" t="s">
        <v>215</v>
      </c>
      <c r="D63" s="171">
        <v>2014</v>
      </c>
      <c r="E63" s="275">
        <f t="shared" si="8"/>
        <v>2.7000000000000006E-3</v>
      </c>
      <c r="F63" s="271">
        <f t="shared" si="14"/>
        <v>-17000302.084713385</v>
      </c>
      <c r="G63" s="7">
        <f t="shared" si="9"/>
        <v>8523085.958673941</v>
      </c>
      <c r="H63" s="7">
        <f t="shared" si="10"/>
        <v>-8477216.1260394435</v>
      </c>
      <c r="I63" s="7">
        <f t="shared" si="11"/>
        <v>-34394.64958451633</v>
      </c>
      <c r="J63" s="7">
        <f t="shared" si="12"/>
        <v>-8511610.7756239604</v>
      </c>
      <c r="K63" s="7">
        <f t="shared" si="13"/>
        <v>-8523085.958673941</v>
      </c>
      <c r="L63" s="271"/>
    </row>
    <row r="64" spans="1:12" ht="12.75" customHeight="1" x14ac:dyDescent="0.25">
      <c r="A64" s="2">
        <f t="shared" si="0"/>
        <v>51</v>
      </c>
      <c r="B64" s="264"/>
      <c r="C64" s="21" t="s">
        <v>216</v>
      </c>
      <c r="D64" s="171">
        <v>2014</v>
      </c>
      <c r="E64" s="275">
        <f t="shared" si="8"/>
        <v>2.7000000000000006E-3</v>
      </c>
      <c r="F64" s="271">
        <f t="shared" si="14"/>
        <v>-8511610.7756239604</v>
      </c>
      <c r="G64" s="107">
        <f t="shared" si="9"/>
        <v>8523085.958673941</v>
      </c>
      <c r="H64" s="7">
        <f t="shared" si="10"/>
        <v>11475.183049980551</v>
      </c>
      <c r="I64" s="7">
        <f t="shared" si="11"/>
        <v>-11475.183049974876</v>
      </c>
      <c r="J64" s="7">
        <f t="shared" si="12"/>
        <v>5.6752469390630722E-9</v>
      </c>
      <c r="K64" s="280">
        <f t="shared" si="13"/>
        <v>-8523085.958673941</v>
      </c>
      <c r="L64" s="271"/>
    </row>
    <row r="65" spans="1:12" x14ac:dyDescent="0.2">
      <c r="A65" s="2">
        <f t="shared" si="0"/>
        <v>52</v>
      </c>
      <c r="B65" s="264"/>
      <c r="C65" s="21"/>
      <c r="D65" s="24"/>
      <c r="E65" s="273"/>
      <c r="F65" s="273"/>
      <c r="G65" s="268">
        <f>SUM(G53:G64)</f>
        <v>102277031.50408728</v>
      </c>
      <c r="I65" s="275"/>
      <c r="J65" s="265" t="s">
        <v>1263</v>
      </c>
      <c r="K65" s="271">
        <f>SUM(K53:K64)</f>
        <v>-102277031.50408728</v>
      </c>
      <c r="L65" s="271"/>
    </row>
    <row r="66" spans="1:12" x14ac:dyDescent="0.2">
      <c r="A66" s="2">
        <f t="shared" si="0"/>
        <v>53</v>
      </c>
      <c r="B66" s="264"/>
      <c r="C66" s="21"/>
      <c r="D66" s="24"/>
      <c r="E66" s="273"/>
      <c r="F66" s="273"/>
      <c r="G66" s="274"/>
      <c r="H66" s="268"/>
      <c r="I66" s="275"/>
      <c r="J66" s="271"/>
      <c r="K66" s="271"/>
      <c r="L66" s="271"/>
    </row>
    <row r="67" spans="1:12" x14ac:dyDescent="0.2">
      <c r="A67" s="2">
        <f t="shared" si="0"/>
        <v>54</v>
      </c>
      <c r="B67" s="264"/>
      <c r="C67" s="21"/>
      <c r="D67" s="24"/>
      <c r="E67" s="273"/>
      <c r="F67" s="273"/>
      <c r="G67" s="274"/>
      <c r="H67" s="281" t="s">
        <v>1262</v>
      </c>
      <c r="I67" s="268">
        <v>102277031.50408728</v>
      </c>
      <c r="J67" s="271"/>
      <c r="K67" s="271"/>
      <c r="L67" s="271"/>
    </row>
    <row r="68" spans="1:12" x14ac:dyDescent="0.2">
      <c r="A68" s="2">
        <f t="shared" si="0"/>
        <v>55</v>
      </c>
      <c r="B68" s="264"/>
      <c r="C68" s="21"/>
      <c r="D68" s="24"/>
      <c r="E68" s="264"/>
      <c r="F68" s="282"/>
      <c r="G68" s="275"/>
      <c r="H68" s="446"/>
      <c r="I68" s="264"/>
      <c r="J68" s="264"/>
      <c r="K68" s="264"/>
      <c r="L68" s="264"/>
    </row>
    <row r="69" spans="1:12" x14ac:dyDescent="0.2">
      <c r="A69" s="2">
        <f t="shared" si="0"/>
        <v>56</v>
      </c>
      <c r="B69" s="1" t="s">
        <v>591</v>
      </c>
      <c r="C69" s="21"/>
      <c r="D69" s="24"/>
      <c r="E69" s="264"/>
      <c r="F69" s="282"/>
      <c r="G69" s="275"/>
      <c r="H69" s="282"/>
      <c r="I69" s="264"/>
      <c r="J69" s="264"/>
      <c r="K69" s="264"/>
      <c r="L69" s="264"/>
    </row>
    <row r="70" spans="1:12" x14ac:dyDescent="0.2">
      <c r="A70" s="2">
        <f t="shared" si="0"/>
        <v>57</v>
      </c>
      <c r="B70" s="1"/>
      <c r="C70" s="21"/>
      <c r="D70" s="24"/>
      <c r="E70" s="264"/>
      <c r="F70" s="722" t="s">
        <v>269</v>
      </c>
      <c r="G70" s="275"/>
      <c r="H70" s="282"/>
      <c r="I70" s="264"/>
      <c r="J70" s="264"/>
      <c r="K70" s="264"/>
      <c r="L70" s="264"/>
    </row>
    <row r="71" spans="1:12" x14ac:dyDescent="0.2">
      <c r="A71" s="2">
        <f t="shared" si="0"/>
        <v>58</v>
      </c>
      <c r="B71" s="264"/>
      <c r="C71" s="21"/>
      <c r="D71" s="100" t="s">
        <v>593</v>
      </c>
      <c r="E71" s="268">
        <f>G24</f>
        <v>-815706</v>
      </c>
      <c r="F71" s="139" t="str">
        <f>"Line "&amp;A24&amp;", Col. 4.  Also, see instruction 5."</f>
        <v>Line 11, Col. 4.  Also, see instruction 5.</v>
      </c>
      <c r="G71" s="275"/>
      <c r="H71" s="282"/>
      <c r="I71" s="264"/>
      <c r="J71" s="264"/>
      <c r="K71" s="264"/>
      <c r="L71" s="264"/>
    </row>
    <row r="72" spans="1:12" x14ac:dyDescent="0.2">
      <c r="A72" s="2">
        <f t="shared" si="0"/>
        <v>59</v>
      </c>
      <c r="B72" s="264"/>
      <c r="C72" s="21"/>
      <c r="D72" s="265" t="s">
        <v>1263</v>
      </c>
      <c r="E72" s="430">
        <f>K65</f>
        <v>-102277031.50408728</v>
      </c>
      <c r="F72" s="13" t="s">
        <v>1264</v>
      </c>
      <c r="G72" s="275"/>
      <c r="H72" s="282"/>
      <c r="I72" s="264"/>
      <c r="J72" s="264"/>
      <c r="K72" s="264"/>
      <c r="L72" s="264"/>
    </row>
    <row r="73" spans="1:12" x14ac:dyDescent="0.2">
      <c r="A73" s="2">
        <f t="shared" si="0"/>
        <v>60</v>
      </c>
      <c r="B73" s="264"/>
      <c r="C73" s="21"/>
      <c r="D73" s="100" t="s">
        <v>34</v>
      </c>
      <c r="E73" s="266">
        <f>SUM(E71:E72)</f>
        <v>-103092737.50408728</v>
      </c>
      <c r="F73" s="139" t="str">
        <f>"Line "&amp;A71&amp;" + Line "&amp;A72&amp;".  Positive amount is to be collected by SCE (included in Base TRR as a positive amount)."</f>
        <v>Line 58 + Line 59.  Positive amount is to be collected by SCE (included in Base TRR as a positive amount).</v>
      </c>
      <c r="G73" s="275"/>
      <c r="H73" s="282"/>
      <c r="I73" s="264"/>
      <c r="J73" s="264"/>
      <c r="K73" s="264"/>
      <c r="L73" s="264"/>
    </row>
    <row r="74" spans="1:12" x14ac:dyDescent="0.2">
      <c r="A74" s="2">
        <f t="shared" si="0"/>
        <v>61</v>
      </c>
      <c r="B74" s="264"/>
      <c r="C74" s="264"/>
      <c r="D74" s="264"/>
      <c r="E74" s="264"/>
      <c r="F74" s="721" t="s">
        <v>1925</v>
      </c>
      <c r="G74" s="264"/>
      <c r="H74" s="264"/>
      <c r="I74" s="264"/>
      <c r="J74" s="264"/>
      <c r="K74" s="264"/>
      <c r="L74" s="264"/>
    </row>
    <row r="75" spans="1:12" x14ac:dyDescent="0.2">
      <c r="A75" s="2">
        <f t="shared" si="0"/>
        <v>62</v>
      </c>
      <c r="B75" s="1" t="s">
        <v>1141</v>
      </c>
      <c r="C75" s="264"/>
      <c r="D75" s="264"/>
      <c r="E75" s="264"/>
      <c r="F75" s="284"/>
      <c r="G75" s="264"/>
      <c r="H75" s="264"/>
      <c r="I75" s="264"/>
      <c r="J75" s="264"/>
      <c r="K75" s="264"/>
      <c r="L75" s="264"/>
    </row>
    <row r="76" spans="1:12" x14ac:dyDescent="0.2">
      <c r="A76" s="2">
        <f t="shared" si="0"/>
        <v>63</v>
      </c>
      <c r="B76" s="13" t="s">
        <v>433</v>
      </c>
      <c r="C76" s="264"/>
      <c r="D76" s="264"/>
      <c r="E76" s="264"/>
      <c r="F76" s="264"/>
      <c r="G76" s="264"/>
      <c r="H76" s="264"/>
      <c r="I76" s="264"/>
      <c r="J76" s="264"/>
      <c r="K76" s="264"/>
      <c r="L76" s="264"/>
    </row>
    <row r="77" spans="1:12" x14ac:dyDescent="0.2">
      <c r="A77" s="2">
        <f t="shared" si="0"/>
        <v>64</v>
      </c>
      <c r="B77" s="13" t="s">
        <v>434</v>
      </c>
      <c r="C77" s="264"/>
      <c r="D77" s="264"/>
      <c r="E77" s="264"/>
      <c r="F77" s="264"/>
      <c r="G77" s="264"/>
      <c r="H77" s="264"/>
      <c r="I77" s="264"/>
      <c r="J77" s="264"/>
      <c r="K77" s="264"/>
      <c r="L77" s="264"/>
    </row>
    <row r="78" spans="1:12" x14ac:dyDescent="0.2">
      <c r="A78" s="2">
        <f t="shared" si="0"/>
        <v>65</v>
      </c>
      <c r="B78" s="13" t="s">
        <v>435</v>
      </c>
      <c r="C78" s="264"/>
      <c r="D78" s="264"/>
      <c r="E78" s="264"/>
      <c r="F78" s="264"/>
      <c r="G78" s="264"/>
      <c r="H78" s="264"/>
      <c r="I78" s="264"/>
      <c r="J78" s="264"/>
      <c r="K78" s="264"/>
      <c r="L78" s="264"/>
    </row>
    <row r="79" spans="1:12" x14ac:dyDescent="0.2">
      <c r="A79" s="2">
        <f t="shared" si="0"/>
        <v>66</v>
      </c>
      <c r="B79" s="264"/>
      <c r="C79" s="264"/>
      <c r="D79" s="264"/>
      <c r="E79" s="264"/>
      <c r="F79" s="264"/>
      <c r="G79" s="264"/>
      <c r="H79" s="264"/>
      <c r="I79" s="264"/>
      <c r="J79" s="264"/>
      <c r="K79" s="264"/>
      <c r="L79" s="264"/>
    </row>
    <row r="80" spans="1:12" x14ac:dyDescent="0.2">
      <c r="A80" s="2">
        <f t="shared" ref="A80:A120" si="15">A79+1</f>
        <v>67</v>
      </c>
      <c r="B80" s="1" t="s">
        <v>1470</v>
      </c>
      <c r="C80" s="264"/>
      <c r="D80" s="264"/>
      <c r="E80" s="264"/>
      <c r="F80" s="264"/>
      <c r="G80" s="264"/>
      <c r="H80" s="264"/>
      <c r="I80" s="264"/>
      <c r="J80" s="264"/>
      <c r="K80" s="264"/>
      <c r="L80" s="264"/>
    </row>
    <row r="81" spans="1:12" x14ac:dyDescent="0.2">
      <c r="A81" s="2">
        <f t="shared" si="15"/>
        <v>68</v>
      </c>
      <c r="B81" s="264"/>
      <c r="C81" s="264"/>
      <c r="D81" s="267" t="s">
        <v>1407</v>
      </c>
      <c r="E81" s="264"/>
      <c r="G81" s="264"/>
      <c r="H81" s="264"/>
      <c r="I81" s="264"/>
      <c r="J81" s="264"/>
      <c r="K81" s="264"/>
      <c r="L81" s="264"/>
    </row>
    <row r="82" spans="1:12" x14ac:dyDescent="0.2">
      <c r="A82" s="2">
        <f t="shared" si="15"/>
        <v>69</v>
      </c>
      <c r="B82" s="264"/>
      <c r="C82" s="25" t="s">
        <v>220</v>
      </c>
      <c r="D82" s="3" t="s">
        <v>1265</v>
      </c>
      <c r="E82" s="3" t="s">
        <v>275</v>
      </c>
      <c r="G82" s="274"/>
      <c r="H82" s="274"/>
      <c r="I82" s="274"/>
      <c r="J82" s="274"/>
      <c r="K82" s="274"/>
      <c r="L82" s="274"/>
    </row>
    <row r="83" spans="1:12" x14ac:dyDescent="0.2">
      <c r="A83" s="2">
        <f t="shared" si="15"/>
        <v>70</v>
      </c>
      <c r="B83" s="264"/>
      <c r="C83" s="20" t="s">
        <v>209</v>
      </c>
      <c r="D83" s="147">
        <v>6.3763211440757639E-2</v>
      </c>
      <c r="E83" s="13" t="s">
        <v>1479</v>
      </c>
      <c r="G83" s="274"/>
      <c r="H83" s="274"/>
      <c r="I83" s="274"/>
      <c r="J83" s="274"/>
      <c r="K83" s="274"/>
      <c r="L83" s="274"/>
    </row>
    <row r="84" spans="1:12" x14ac:dyDescent="0.2">
      <c r="A84" s="2">
        <f t="shared" si="15"/>
        <v>71</v>
      </c>
      <c r="B84" s="264"/>
      <c r="C84" s="21" t="s">
        <v>210</v>
      </c>
      <c r="D84" s="147">
        <v>5.6553289888256801E-2</v>
      </c>
      <c r="G84" s="274"/>
      <c r="H84" s="274"/>
      <c r="I84" s="274"/>
      <c r="J84" s="274"/>
      <c r="K84" s="274"/>
      <c r="L84" s="274"/>
    </row>
    <row r="85" spans="1:12" x14ac:dyDescent="0.2">
      <c r="A85" s="2">
        <f t="shared" si="15"/>
        <v>72</v>
      </c>
      <c r="B85" s="264"/>
      <c r="C85" s="21" t="s">
        <v>223</v>
      </c>
      <c r="D85" s="147">
        <v>7.1828142218240867E-2</v>
      </c>
      <c r="E85" s="13"/>
      <c r="G85" s="274"/>
      <c r="H85" s="274"/>
      <c r="I85" s="274"/>
      <c r="J85" s="274"/>
      <c r="K85" s="274"/>
      <c r="L85" s="274"/>
    </row>
    <row r="86" spans="1:12" x14ac:dyDescent="0.2">
      <c r="A86" s="2">
        <f t="shared" si="15"/>
        <v>73</v>
      </c>
      <c r="B86" s="264"/>
      <c r="C86" s="20" t="s">
        <v>211</v>
      </c>
      <c r="D86" s="147">
        <v>8.2236801934806855E-2</v>
      </c>
      <c r="E86" s="174"/>
      <c r="G86" s="274"/>
      <c r="H86" s="274"/>
      <c r="I86" s="274"/>
      <c r="J86" s="274"/>
      <c r="K86" s="274"/>
      <c r="L86" s="274"/>
    </row>
    <row r="87" spans="1:12" x14ac:dyDescent="0.2">
      <c r="A87" s="2">
        <f t="shared" si="15"/>
        <v>74</v>
      </c>
      <c r="B87" s="264"/>
      <c r="C87" s="21" t="s">
        <v>212</v>
      </c>
      <c r="D87" s="147">
        <v>8.01837425905748E-2</v>
      </c>
      <c r="E87" s="285"/>
      <c r="G87" s="274"/>
      <c r="H87" s="274"/>
      <c r="I87" s="274"/>
      <c r="J87" s="274"/>
      <c r="K87" s="274"/>
      <c r="L87" s="274"/>
    </row>
    <row r="88" spans="1:12" x14ac:dyDescent="0.2">
      <c r="A88" s="2">
        <f t="shared" si="15"/>
        <v>75</v>
      </c>
      <c r="B88" s="264"/>
      <c r="C88" s="21" t="s">
        <v>213</v>
      </c>
      <c r="D88" s="147">
        <v>8.9450501877561497E-2</v>
      </c>
      <c r="E88" s="285"/>
      <c r="G88" s="274"/>
      <c r="H88" s="274"/>
      <c r="I88" s="274"/>
      <c r="J88" s="274"/>
      <c r="K88" s="274"/>
      <c r="L88" s="274"/>
    </row>
    <row r="89" spans="1:12" x14ac:dyDescent="0.2">
      <c r="A89" s="2">
        <f t="shared" si="15"/>
        <v>76</v>
      </c>
      <c r="B89" s="264"/>
      <c r="C89" s="20" t="s">
        <v>214</v>
      </c>
      <c r="D89" s="147">
        <v>9.8908415854749826E-2</v>
      </c>
      <c r="E89" s="285"/>
      <c r="G89" s="274"/>
      <c r="H89" s="274"/>
      <c r="I89" s="274"/>
      <c r="J89" s="274"/>
      <c r="K89" s="274"/>
      <c r="L89" s="274"/>
    </row>
    <row r="90" spans="1:12" x14ac:dyDescent="0.2">
      <c r="A90" s="2">
        <f t="shared" si="15"/>
        <v>77</v>
      </c>
      <c r="B90" s="264"/>
      <c r="C90" s="21" t="s">
        <v>215</v>
      </c>
      <c r="D90" s="147">
        <v>0.10141004323318151</v>
      </c>
      <c r="E90" s="285"/>
      <c r="G90" s="274"/>
      <c r="H90" s="274"/>
      <c r="I90" s="274"/>
      <c r="J90" s="274"/>
      <c r="K90" s="274"/>
      <c r="L90" s="274"/>
    </row>
    <row r="91" spans="1:12" x14ac:dyDescent="0.2">
      <c r="A91" s="2">
        <f t="shared" si="15"/>
        <v>78</v>
      </c>
      <c r="B91" s="264"/>
      <c r="C91" s="21" t="s">
        <v>216</v>
      </c>
      <c r="D91" s="147">
        <v>0.10217900008822713</v>
      </c>
      <c r="E91" s="285"/>
      <c r="G91" s="274"/>
      <c r="H91" s="274"/>
      <c r="I91" s="274"/>
      <c r="J91" s="274"/>
      <c r="K91" s="274"/>
      <c r="L91" s="274"/>
    </row>
    <row r="92" spans="1:12" x14ac:dyDescent="0.2">
      <c r="A92" s="2">
        <f t="shared" si="15"/>
        <v>79</v>
      </c>
      <c r="B92" s="264"/>
      <c r="C92" s="20" t="s">
        <v>219</v>
      </c>
      <c r="D92" s="147">
        <v>9.1787269171678454E-2</v>
      </c>
      <c r="E92" s="285"/>
      <c r="G92" s="274"/>
      <c r="H92" s="274"/>
      <c r="I92" s="274"/>
      <c r="J92" s="274"/>
      <c r="K92" s="274"/>
      <c r="L92" s="274"/>
    </row>
    <row r="93" spans="1:12" x14ac:dyDescent="0.2">
      <c r="A93" s="2">
        <f t="shared" si="15"/>
        <v>80</v>
      </c>
      <c r="B93" s="264"/>
      <c r="C93" s="20" t="s">
        <v>218</v>
      </c>
      <c r="D93" s="147">
        <v>7.5296938318149625E-2</v>
      </c>
      <c r="E93" s="285"/>
      <c r="G93" s="264"/>
      <c r="H93" s="264"/>
      <c r="I93" s="264"/>
      <c r="J93" s="264"/>
      <c r="K93" s="264"/>
      <c r="L93" s="264"/>
    </row>
    <row r="94" spans="1:12" x14ac:dyDescent="0.2">
      <c r="A94" s="2">
        <f t="shared" si="15"/>
        <v>81</v>
      </c>
      <c r="B94" s="264"/>
      <c r="C94" s="21" t="s">
        <v>208</v>
      </c>
      <c r="D94" s="450">
        <v>8.640264338381512E-2</v>
      </c>
      <c r="E94" s="180"/>
      <c r="G94" s="264"/>
      <c r="H94" s="264"/>
      <c r="I94" s="264"/>
      <c r="J94" s="264"/>
      <c r="K94" s="264"/>
      <c r="L94" s="264"/>
    </row>
    <row r="95" spans="1:12" x14ac:dyDescent="0.2">
      <c r="A95" s="2">
        <f t="shared" si="15"/>
        <v>82</v>
      </c>
      <c r="B95" s="264"/>
      <c r="C95" s="34" t="s">
        <v>4</v>
      </c>
      <c r="D95" s="486">
        <f>SUM(D83:D94)</f>
        <v>1.0000000000000002</v>
      </c>
      <c r="E95" s="264"/>
      <c r="G95" s="264"/>
      <c r="H95" s="264"/>
      <c r="I95" s="264"/>
      <c r="J95" s="264"/>
      <c r="K95" s="264"/>
      <c r="L95" s="264"/>
    </row>
    <row r="96" spans="1:12" x14ac:dyDescent="0.2">
      <c r="A96" s="2">
        <f t="shared" si="15"/>
        <v>83</v>
      </c>
      <c r="B96" s="264"/>
      <c r="C96" s="264"/>
      <c r="D96" s="264"/>
      <c r="E96" s="264"/>
      <c r="F96" s="2"/>
      <c r="G96" s="264"/>
      <c r="H96" s="264"/>
      <c r="I96" s="264"/>
      <c r="J96" s="264"/>
      <c r="K96" s="264"/>
      <c r="L96" s="264"/>
    </row>
    <row r="97" spans="1:12" x14ac:dyDescent="0.2">
      <c r="A97" s="2">
        <f t="shared" si="15"/>
        <v>84</v>
      </c>
      <c r="B97" s="1" t="s">
        <v>1553</v>
      </c>
      <c r="C97" s="264"/>
      <c r="D97" s="264"/>
      <c r="E97" s="264"/>
      <c r="F97" s="2"/>
      <c r="G97" s="264"/>
      <c r="H97" s="264"/>
      <c r="I97" s="264"/>
      <c r="J97" s="264"/>
      <c r="K97" s="264"/>
      <c r="L97" s="264"/>
    </row>
    <row r="98" spans="1:12" x14ac:dyDescent="0.2">
      <c r="A98" s="2">
        <f t="shared" si="15"/>
        <v>85</v>
      </c>
      <c r="B98" s="264"/>
      <c r="C98" s="264"/>
      <c r="D98" s="264"/>
      <c r="E98" s="264"/>
      <c r="F98" s="2"/>
      <c r="G98" s="264"/>
      <c r="H98" s="264"/>
      <c r="I98" s="264"/>
      <c r="J98" s="264"/>
      <c r="K98" s="264"/>
      <c r="L98" s="264"/>
    </row>
    <row r="99" spans="1:12" x14ac:dyDescent="0.2">
      <c r="A99" s="2">
        <f t="shared" si="15"/>
        <v>86</v>
      </c>
      <c r="B99" s="264"/>
      <c r="C99" s="99" t="s">
        <v>417</v>
      </c>
      <c r="D99" s="99" t="s">
        <v>400</v>
      </c>
      <c r="E99" s="99" t="s">
        <v>401</v>
      </c>
      <c r="F99" s="99" t="s">
        <v>402</v>
      </c>
      <c r="G99" s="99" t="s">
        <v>403</v>
      </c>
      <c r="H99" s="99" t="s">
        <v>404</v>
      </c>
      <c r="I99" s="99" t="s">
        <v>405</v>
      </c>
      <c r="J99" s="264"/>
      <c r="K99" s="264"/>
      <c r="L99" s="264"/>
    </row>
    <row r="100" spans="1:12" x14ac:dyDescent="0.2">
      <c r="A100" s="2">
        <f t="shared" si="15"/>
        <v>87</v>
      </c>
      <c r="B100" s="264"/>
      <c r="C100" s="102" t="s">
        <v>1266</v>
      </c>
      <c r="D100" s="102" t="s">
        <v>1557</v>
      </c>
      <c r="E100" s="99"/>
      <c r="F100" s="99"/>
      <c r="G100" s="99"/>
      <c r="H100" s="99"/>
      <c r="I100" s="102" t="s">
        <v>645</v>
      </c>
      <c r="J100" s="264"/>
      <c r="K100" s="264"/>
      <c r="L100" s="264"/>
    </row>
    <row r="101" spans="1:12" x14ac:dyDescent="0.2">
      <c r="A101" s="2">
        <f t="shared" si="15"/>
        <v>88</v>
      </c>
      <c r="B101" s="264"/>
      <c r="C101" s="264"/>
      <c r="D101" s="264"/>
      <c r="E101" s="264"/>
      <c r="F101" s="2"/>
      <c r="G101" s="264"/>
      <c r="H101" s="264"/>
      <c r="I101" s="264"/>
      <c r="J101" s="264"/>
      <c r="K101" s="264"/>
      <c r="L101" s="264"/>
    </row>
    <row r="102" spans="1:12" x14ac:dyDescent="0.2">
      <c r="A102" s="2">
        <f t="shared" si="15"/>
        <v>89</v>
      </c>
      <c r="B102" s="264"/>
      <c r="C102" s="2" t="s">
        <v>613</v>
      </c>
      <c r="D102" s="264"/>
      <c r="E102" s="264"/>
      <c r="F102" s="2"/>
      <c r="G102" s="264"/>
      <c r="H102" s="264"/>
      <c r="I102" s="2" t="s">
        <v>21</v>
      </c>
      <c r="J102" s="264"/>
      <c r="K102" s="264"/>
      <c r="L102" s="264"/>
    </row>
    <row r="103" spans="1:12" x14ac:dyDescent="0.2">
      <c r="A103" s="2">
        <f t="shared" si="15"/>
        <v>90</v>
      </c>
      <c r="B103" s="267" t="s">
        <v>473</v>
      </c>
      <c r="C103" s="2" t="s">
        <v>636</v>
      </c>
      <c r="D103" s="264"/>
      <c r="E103" s="264"/>
      <c r="F103" s="99"/>
      <c r="G103" s="264"/>
      <c r="H103" s="264"/>
      <c r="I103" s="2" t="s">
        <v>225</v>
      </c>
      <c r="J103" s="264"/>
      <c r="K103" s="264"/>
      <c r="L103" s="264"/>
    </row>
    <row r="104" spans="1:12" x14ac:dyDescent="0.2">
      <c r="A104" s="2">
        <f t="shared" si="15"/>
        <v>91</v>
      </c>
      <c r="B104" s="267" t="s">
        <v>221</v>
      </c>
      <c r="C104" s="2" t="s">
        <v>356</v>
      </c>
      <c r="D104" s="2" t="s">
        <v>414</v>
      </c>
      <c r="E104" s="2"/>
      <c r="F104" s="2"/>
      <c r="G104" s="2" t="s">
        <v>634</v>
      </c>
      <c r="H104" s="2"/>
      <c r="I104" s="2" t="s">
        <v>22</v>
      </c>
      <c r="J104" s="264"/>
      <c r="K104" s="264"/>
      <c r="L104" s="264"/>
    </row>
    <row r="105" spans="1:12" x14ac:dyDescent="0.2">
      <c r="A105" s="2">
        <f t="shared" si="15"/>
        <v>92</v>
      </c>
      <c r="B105" s="3" t="s">
        <v>220</v>
      </c>
      <c r="C105" s="3" t="s">
        <v>23</v>
      </c>
      <c r="D105" s="3" t="s">
        <v>356</v>
      </c>
      <c r="E105" s="3" t="s">
        <v>355</v>
      </c>
      <c r="F105" s="3" t="s">
        <v>633</v>
      </c>
      <c r="G105" s="3" t="s">
        <v>635</v>
      </c>
      <c r="H105" s="3" t="s">
        <v>414</v>
      </c>
      <c r="I105" s="3" t="s">
        <v>93</v>
      </c>
      <c r="J105" s="264"/>
      <c r="K105" s="264"/>
      <c r="L105" s="264"/>
    </row>
    <row r="106" spans="1:12" x14ac:dyDescent="0.2">
      <c r="A106" s="2">
        <f t="shared" si="15"/>
        <v>93</v>
      </c>
      <c r="B106" s="286" t="s">
        <v>80</v>
      </c>
      <c r="C106" s="283">
        <v>61648050.289999999</v>
      </c>
      <c r="D106" s="283">
        <v>-11414788.5</v>
      </c>
      <c r="E106" s="283">
        <v>320216212.91000003</v>
      </c>
      <c r="F106" s="283">
        <v>371503556.31999999</v>
      </c>
      <c r="G106" s="283">
        <v>59483856</v>
      </c>
      <c r="H106" s="283">
        <v>13965943.630000001</v>
      </c>
      <c r="I106" s="266">
        <f>SUM(C106:H106)</f>
        <v>815402830.64999998</v>
      </c>
      <c r="J106" s="264"/>
      <c r="K106" s="264"/>
      <c r="L106" s="264"/>
    </row>
    <row r="107" spans="1:12" x14ac:dyDescent="0.2">
      <c r="A107" s="2">
        <f t="shared" si="15"/>
        <v>94</v>
      </c>
      <c r="B107" s="286" t="s">
        <v>81</v>
      </c>
      <c r="C107" s="283">
        <v>51826242.090000004</v>
      </c>
      <c r="D107" s="283">
        <v>-6286183.4899999928</v>
      </c>
      <c r="E107" s="283">
        <v>289014247.88999999</v>
      </c>
      <c r="F107" s="283">
        <v>341017247.08999997</v>
      </c>
      <c r="G107" s="283">
        <v>45573688.770000003</v>
      </c>
      <c r="H107" s="283">
        <v>12930683.109999999</v>
      </c>
      <c r="I107" s="266">
        <f t="shared" ref="I107:I116" si="16">SUM(C107:H107)</f>
        <v>734075925.45999992</v>
      </c>
      <c r="J107" s="264"/>
      <c r="K107" s="264"/>
      <c r="L107" s="264"/>
    </row>
    <row r="108" spans="1:12" x14ac:dyDescent="0.2">
      <c r="A108" s="2">
        <f t="shared" si="15"/>
        <v>95</v>
      </c>
      <c r="B108" s="286" t="s">
        <v>82</v>
      </c>
      <c r="C108" s="283">
        <v>55702506.579999998</v>
      </c>
      <c r="D108" s="283">
        <v>-6913825.04</v>
      </c>
      <c r="E108" s="283">
        <v>309615849.49000001</v>
      </c>
      <c r="F108" s="283">
        <v>364449216.79999995</v>
      </c>
      <c r="G108" s="283">
        <v>45038751.549999997</v>
      </c>
      <c r="H108" s="283">
        <v>13877418.52</v>
      </c>
      <c r="I108" s="266">
        <f t="shared" si="16"/>
        <v>781769917.89999986</v>
      </c>
      <c r="J108" s="264"/>
      <c r="K108" s="264"/>
      <c r="L108" s="264"/>
    </row>
    <row r="109" spans="1:12" x14ac:dyDescent="0.2">
      <c r="A109" s="2">
        <f t="shared" si="15"/>
        <v>96</v>
      </c>
      <c r="B109" s="286" t="s">
        <v>83</v>
      </c>
      <c r="C109" s="283">
        <v>53980571.460000001</v>
      </c>
      <c r="D109" s="283">
        <v>-6775005.1999999993</v>
      </c>
      <c r="E109" s="283">
        <v>296750725.43000001</v>
      </c>
      <c r="F109" s="283">
        <v>347143052.66000003</v>
      </c>
      <c r="G109" s="283">
        <v>41271264.969999999</v>
      </c>
      <c r="H109" s="283">
        <v>13273684.569999998</v>
      </c>
      <c r="I109" s="266">
        <f t="shared" si="16"/>
        <v>745644293.8900001</v>
      </c>
      <c r="J109" s="264"/>
      <c r="K109" s="264"/>
      <c r="L109" s="264"/>
    </row>
    <row r="110" spans="1:12" x14ac:dyDescent="0.2">
      <c r="A110" s="2">
        <f t="shared" si="15"/>
        <v>97</v>
      </c>
      <c r="B110" s="102" t="s">
        <v>212</v>
      </c>
      <c r="C110" s="283">
        <v>58823859.199999996</v>
      </c>
      <c r="D110" s="283">
        <v>-7411186.9900000002</v>
      </c>
      <c r="E110" s="283">
        <v>321131817.83999997</v>
      </c>
      <c r="F110" s="283">
        <v>374575513.87</v>
      </c>
      <c r="G110" s="283">
        <v>50658215.980000004</v>
      </c>
      <c r="H110" s="283">
        <v>14530883.42</v>
      </c>
      <c r="I110" s="266">
        <f t="shared" si="16"/>
        <v>812309103.31999993</v>
      </c>
      <c r="J110" s="264"/>
      <c r="K110" s="264"/>
      <c r="L110" s="264"/>
    </row>
    <row r="111" spans="1:12" x14ac:dyDescent="0.2">
      <c r="A111" s="2">
        <f t="shared" si="15"/>
        <v>98</v>
      </c>
      <c r="B111" s="286" t="s">
        <v>84</v>
      </c>
      <c r="C111" s="283">
        <v>57728900.649999999</v>
      </c>
      <c r="D111" s="283">
        <v>-7560259.0399999991</v>
      </c>
      <c r="E111" s="283">
        <v>344281163.29000002</v>
      </c>
      <c r="F111" s="283">
        <v>653862668.37</v>
      </c>
      <c r="G111" s="283">
        <v>45531380.619999997</v>
      </c>
      <c r="H111" s="283">
        <v>14419583.100000001</v>
      </c>
      <c r="I111" s="266">
        <f t="shared" si="16"/>
        <v>1108263436.9899998</v>
      </c>
      <c r="J111" s="264"/>
      <c r="K111" s="264"/>
      <c r="L111" s="264"/>
    </row>
    <row r="112" spans="1:12" x14ac:dyDescent="0.2">
      <c r="A112" s="2">
        <f t="shared" si="15"/>
        <v>99</v>
      </c>
      <c r="B112" s="286" t="s">
        <v>85</v>
      </c>
      <c r="C112" s="283">
        <v>66004496.909999996</v>
      </c>
      <c r="D112" s="283">
        <v>-8477078.5899999999</v>
      </c>
      <c r="E112" s="283">
        <v>281230545.75</v>
      </c>
      <c r="F112" s="283">
        <v>598110978.29999995</v>
      </c>
      <c r="G112" s="283">
        <v>57135375.509999998</v>
      </c>
      <c r="H112" s="283">
        <v>17467383.689999998</v>
      </c>
      <c r="I112" s="266">
        <f t="shared" si="16"/>
        <v>1011471701.5699999</v>
      </c>
      <c r="J112" s="264"/>
      <c r="K112" s="264"/>
      <c r="L112" s="264"/>
    </row>
    <row r="113" spans="1:12" x14ac:dyDescent="0.2">
      <c r="A113" s="2">
        <f t="shared" si="15"/>
        <v>100</v>
      </c>
      <c r="B113" s="286" t="s">
        <v>86</v>
      </c>
      <c r="C113" s="283">
        <v>80874514.109999999</v>
      </c>
      <c r="D113" s="283">
        <v>-9894154.3499999996</v>
      </c>
      <c r="E113" s="283">
        <v>425405324.75999999</v>
      </c>
      <c r="F113" s="283">
        <v>803027719.28999996</v>
      </c>
      <c r="G113" s="283">
        <v>111017614.75999999</v>
      </c>
      <c r="H113" s="283">
        <v>19298426.060000002</v>
      </c>
      <c r="I113" s="266">
        <f t="shared" si="16"/>
        <v>1429729444.6299999</v>
      </c>
      <c r="J113" s="264"/>
      <c r="K113" s="264"/>
      <c r="L113" s="264"/>
    </row>
    <row r="114" spans="1:12" x14ac:dyDescent="0.2">
      <c r="A114" s="2">
        <f t="shared" si="15"/>
        <v>101</v>
      </c>
      <c r="B114" s="286" t="s">
        <v>87</v>
      </c>
      <c r="C114" s="283">
        <v>69792980.290000007</v>
      </c>
      <c r="D114" s="283">
        <v>-8821336.4600000009</v>
      </c>
      <c r="E114" s="283">
        <v>386406472.56</v>
      </c>
      <c r="F114" s="283">
        <v>679540086.74000001</v>
      </c>
      <c r="G114" s="283">
        <v>106092548.42</v>
      </c>
      <c r="H114" s="283">
        <v>16593593.949999999</v>
      </c>
      <c r="I114" s="266">
        <f t="shared" si="16"/>
        <v>1249604345.5000002</v>
      </c>
      <c r="J114" s="264"/>
      <c r="K114" s="264"/>
      <c r="L114" s="264"/>
    </row>
    <row r="115" spans="1:12" x14ac:dyDescent="0.2">
      <c r="A115" s="2">
        <f t="shared" si="15"/>
        <v>102</v>
      </c>
      <c r="B115" s="286" t="s">
        <v>88</v>
      </c>
      <c r="C115" s="283">
        <v>68015238.829999998</v>
      </c>
      <c r="D115" s="283">
        <v>-7674907.5899999999</v>
      </c>
      <c r="E115" s="283">
        <v>344893628.13999999</v>
      </c>
      <c r="F115" s="283">
        <v>374233883.43000007</v>
      </c>
      <c r="G115" s="283">
        <v>75935894.170000002</v>
      </c>
      <c r="H115" s="283">
        <v>12162458.48</v>
      </c>
      <c r="I115" s="266">
        <f t="shared" si="16"/>
        <v>867566195.46000004</v>
      </c>
      <c r="J115" s="264"/>
      <c r="K115" s="264"/>
      <c r="L115" s="264"/>
    </row>
    <row r="116" spans="1:12" x14ac:dyDescent="0.2">
      <c r="A116" s="2">
        <f t="shared" si="15"/>
        <v>103</v>
      </c>
      <c r="B116" s="286" t="s">
        <v>89</v>
      </c>
      <c r="C116" s="283">
        <v>73991860.939999998</v>
      </c>
      <c r="D116" s="283">
        <v>-6815265.1300000008</v>
      </c>
      <c r="E116" s="283">
        <v>300027363.51999998</v>
      </c>
      <c r="F116" s="283">
        <v>333631887.90999997</v>
      </c>
      <c r="G116" s="283">
        <v>46659388.879999995</v>
      </c>
      <c r="H116" s="283">
        <v>12685995.379999999</v>
      </c>
      <c r="I116" s="266">
        <f t="shared" si="16"/>
        <v>760181231.5</v>
      </c>
      <c r="J116" s="264"/>
      <c r="K116" s="264"/>
      <c r="L116" s="264"/>
    </row>
    <row r="117" spans="1:12" x14ac:dyDescent="0.2">
      <c r="A117" s="2">
        <f t="shared" si="15"/>
        <v>104</v>
      </c>
      <c r="B117" s="286" t="s">
        <v>90</v>
      </c>
      <c r="C117" s="128">
        <v>70207368.730000004</v>
      </c>
      <c r="D117" s="128">
        <v>-7031444.6500000004</v>
      </c>
      <c r="E117" s="128">
        <v>327684040.89999998</v>
      </c>
      <c r="F117" s="128">
        <v>349509406.15999997</v>
      </c>
      <c r="G117" s="128">
        <v>52147706.629999995</v>
      </c>
      <c r="H117" s="128">
        <v>43686009.07</v>
      </c>
      <c r="I117" s="107">
        <f>SUM(C117:H117)</f>
        <v>836203086.83999991</v>
      </c>
      <c r="J117" s="264"/>
      <c r="K117" s="264"/>
      <c r="L117" s="264"/>
    </row>
    <row r="118" spans="1:12" x14ac:dyDescent="0.2">
      <c r="A118" s="2">
        <f t="shared" si="15"/>
        <v>105</v>
      </c>
      <c r="B118" s="102" t="s">
        <v>226</v>
      </c>
      <c r="C118" s="266">
        <f t="shared" ref="C118:I118" si="17">SUM(C106:C117)</f>
        <v>768596590.07999992</v>
      </c>
      <c r="D118" s="266">
        <f t="shared" si="17"/>
        <v>-95075435.030000001</v>
      </c>
      <c r="E118" s="266">
        <f t="shared" si="17"/>
        <v>3946657392.4799995</v>
      </c>
      <c r="F118" s="266">
        <f t="shared" si="17"/>
        <v>5590605216.9399996</v>
      </c>
      <c r="G118" s="266">
        <f t="shared" si="17"/>
        <v>736545686.25999987</v>
      </c>
      <c r="H118" s="266">
        <f t="shared" si="17"/>
        <v>204892062.97999996</v>
      </c>
      <c r="I118" s="266">
        <f t="shared" si="17"/>
        <v>11152221513.709999</v>
      </c>
      <c r="J118" s="264"/>
      <c r="K118" s="264"/>
      <c r="L118" s="264"/>
    </row>
    <row r="119" spans="1:12" x14ac:dyDescent="0.2">
      <c r="A119" s="2">
        <f t="shared" si="15"/>
        <v>106</v>
      </c>
      <c r="B119" s="264"/>
      <c r="C119" s="264"/>
      <c r="D119" s="264"/>
      <c r="E119" s="264"/>
      <c r="F119" s="264"/>
      <c r="G119" s="264"/>
      <c r="H119" s="110"/>
      <c r="I119" s="264"/>
      <c r="J119" s="264"/>
      <c r="K119" s="264"/>
      <c r="L119" s="264"/>
    </row>
    <row r="120" spans="1:12" x14ac:dyDescent="0.2">
      <c r="A120" s="2">
        <f t="shared" si="15"/>
        <v>107</v>
      </c>
      <c r="B120" s="264"/>
      <c r="C120" s="264"/>
      <c r="D120" s="264"/>
      <c r="E120" s="264"/>
      <c r="F120" s="264"/>
      <c r="G120" s="264"/>
      <c r="H120" s="110" t="s">
        <v>637</v>
      </c>
      <c r="I120" s="269">
        <v>11152221514</v>
      </c>
      <c r="J120" s="264"/>
      <c r="K120" s="264"/>
      <c r="L120" s="264"/>
    </row>
    <row r="121" spans="1:12" x14ac:dyDescent="0.2">
      <c r="A121" s="264"/>
      <c r="B121" s="264"/>
      <c r="C121" s="264"/>
      <c r="D121" s="264"/>
      <c r="E121" s="264"/>
      <c r="F121" s="264"/>
      <c r="G121" s="264"/>
      <c r="H121" s="264"/>
      <c r="I121" s="264"/>
      <c r="J121" s="264"/>
      <c r="K121" s="264"/>
      <c r="L121" s="264"/>
    </row>
    <row r="122" spans="1:12" x14ac:dyDescent="0.2">
      <c r="A122" s="2"/>
      <c r="B122" s="1" t="s">
        <v>445</v>
      </c>
      <c r="C122" s="264"/>
      <c r="D122" s="264"/>
      <c r="E122" s="264"/>
      <c r="F122" s="264"/>
      <c r="G122" s="264"/>
      <c r="H122" s="264"/>
      <c r="I122" s="266"/>
      <c r="J122" s="264"/>
      <c r="K122" s="264"/>
      <c r="L122" s="264"/>
    </row>
    <row r="123" spans="1:12" x14ac:dyDescent="0.2">
      <c r="A123" s="2"/>
      <c r="B123" s="13" t="s">
        <v>1267</v>
      </c>
      <c r="C123" s="264"/>
      <c r="D123" s="264"/>
      <c r="E123" s="264"/>
      <c r="F123" s="264"/>
      <c r="G123" s="264"/>
      <c r="H123" s="264"/>
      <c r="I123" s="264"/>
      <c r="J123" s="264"/>
      <c r="K123" s="264"/>
      <c r="L123" s="264"/>
    </row>
    <row r="124" spans="1:12" x14ac:dyDescent="0.2">
      <c r="A124" s="2"/>
      <c r="B124" s="13" t="s">
        <v>1268</v>
      </c>
      <c r="C124" s="264"/>
      <c r="D124" s="264"/>
      <c r="E124" s="264"/>
      <c r="F124" s="264"/>
      <c r="G124" s="264"/>
      <c r="H124" s="264"/>
      <c r="I124" s="264"/>
      <c r="J124" s="264"/>
      <c r="K124" s="264"/>
      <c r="L124" s="264"/>
    </row>
    <row r="125" spans="1:12" x14ac:dyDescent="0.2">
      <c r="A125" s="2"/>
      <c r="B125" s="177" t="s">
        <v>1269</v>
      </c>
      <c r="C125" s="264"/>
      <c r="D125" s="264"/>
      <c r="E125" s="264"/>
      <c r="F125" s="264"/>
      <c r="G125" s="264"/>
      <c r="H125" s="264"/>
      <c r="I125" s="264"/>
      <c r="J125" s="264"/>
      <c r="K125" s="264"/>
      <c r="L125" s="264"/>
    </row>
    <row r="126" spans="1:12" x14ac:dyDescent="0.2">
      <c r="A126" s="2"/>
      <c r="B126" s="13" t="s">
        <v>1142</v>
      </c>
      <c r="C126" s="264"/>
      <c r="D126" s="264"/>
      <c r="E126" s="264"/>
      <c r="F126" s="264"/>
      <c r="G126" s="264"/>
      <c r="H126" s="264"/>
      <c r="I126" s="264"/>
      <c r="J126" s="264"/>
      <c r="K126" s="264"/>
      <c r="L126" s="264"/>
    </row>
    <row r="127" spans="1:12" x14ac:dyDescent="0.2">
      <c r="A127" s="2"/>
      <c r="B127" s="712" t="s">
        <v>1926</v>
      </c>
      <c r="C127" s="264"/>
      <c r="D127" s="264"/>
      <c r="E127" s="264"/>
      <c r="F127" s="264"/>
      <c r="G127" s="264"/>
      <c r="H127" s="264"/>
      <c r="I127" s="264"/>
      <c r="J127" s="264"/>
      <c r="K127" s="264"/>
      <c r="L127" s="264"/>
    </row>
    <row r="128" spans="1:12" x14ac:dyDescent="0.2">
      <c r="A128" s="2"/>
      <c r="B128" s="13" t="s">
        <v>1270</v>
      </c>
      <c r="C128" s="264"/>
      <c r="D128" s="264"/>
      <c r="E128" s="264"/>
      <c r="F128" s="264"/>
      <c r="G128" s="264"/>
      <c r="H128" s="264"/>
      <c r="I128" s="264"/>
      <c r="J128" s="264"/>
      <c r="K128" s="264"/>
      <c r="L128" s="264"/>
    </row>
    <row r="129" spans="1:12" x14ac:dyDescent="0.2">
      <c r="A129" s="2"/>
      <c r="B129" s="426" t="s">
        <v>1271</v>
      </c>
      <c r="C129" s="264"/>
      <c r="D129" s="264"/>
      <c r="E129" s="264"/>
      <c r="F129" s="264"/>
      <c r="G129" s="264"/>
      <c r="H129" s="264"/>
      <c r="I129" s="264"/>
      <c r="J129" s="264"/>
      <c r="K129" s="264"/>
      <c r="L129" s="264"/>
    </row>
    <row r="130" spans="1:12" x14ac:dyDescent="0.2">
      <c r="A130" s="2"/>
      <c r="B130" s="13" t="s">
        <v>1272</v>
      </c>
      <c r="C130" s="264"/>
      <c r="D130" s="264"/>
      <c r="E130" s="264"/>
      <c r="F130" s="264"/>
      <c r="G130" s="264"/>
      <c r="H130" s="264"/>
      <c r="I130" s="264"/>
      <c r="J130" s="264"/>
      <c r="K130" s="264"/>
      <c r="L130" s="264"/>
    </row>
    <row r="131" spans="1:12" x14ac:dyDescent="0.2">
      <c r="A131" s="2"/>
      <c r="B131" s="447" t="s">
        <v>1273</v>
      </c>
      <c r="C131" s="264"/>
      <c r="D131" s="264"/>
      <c r="E131" s="264"/>
      <c r="F131" s="264"/>
      <c r="G131" s="264"/>
      <c r="H131" s="264"/>
      <c r="I131" s="264"/>
      <c r="J131" s="264"/>
      <c r="K131" s="264"/>
      <c r="L131" s="264"/>
    </row>
    <row r="132" spans="1:12" x14ac:dyDescent="0.2">
      <c r="A132" s="2"/>
      <c r="B132" s="448" t="s">
        <v>594</v>
      </c>
      <c r="C132" s="264"/>
      <c r="D132" s="264"/>
      <c r="E132" s="264"/>
      <c r="F132" s="264"/>
      <c r="G132" s="264"/>
      <c r="H132" s="264"/>
      <c r="I132" s="264"/>
      <c r="J132" s="264"/>
      <c r="K132" s="264"/>
      <c r="L132" s="264"/>
    </row>
    <row r="133" spans="1:12" x14ac:dyDescent="0.2">
      <c r="A133" s="2"/>
      <c r="B133" s="714" t="s">
        <v>1880</v>
      </c>
      <c r="C133" s="264"/>
      <c r="D133" s="264"/>
      <c r="E133" s="264"/>
      <c r="F133" s="264"/>
      <c r="G133" s="264"/>
      <c r="H133" s="264"/>
      <c r="I133" s="264"/>
      <c r="J133" s="264"/>
      <c r="K133" s="264"/>
      <c r="L133" s="264"/>
    </row>
    <row r="134" spans="1:12" x14ac:dyDescent="0.2">
      <c r="A134" s="2"/>
      <c r="B134" s="449" t="s">
        <v>1274</v>
      </c>
      <c r="C134" s="264"/>
      <c r="D134" s="264"/>
      <c r="E134" s="264"/>
      <c r="F134" s="264"/>
      <c r="G134" s="264"/>
      <c r="H134" s="264"/>
      <c r="I134" s="264"/>
      <c r="J134" s="264"/>
      <c r="K134" s="264"/>
      <c r="L134" s="264"/>
    </row>
    <row r="135" spans="1:12" x14ac:dyDescent="0.2">
      <c r="A135" s="2"/>
      <c r="B135" s="449" t="str">
        <f>"Entering on Line "&amp;A24&amp;" ensures these One time Adjustments are recovered from or returned to customers."</f>
        <v>Entering on Line 11 ensures these One time Adjustments are recovered from or returned to customers.</v>
      </c>
      <c r="C135" s="264"/>
      <c r="D135" s="264"/>
      <c r="E135" s="264"/>
      <c r="F135" s="264"/>
      <c r="G135" s="264"/>
      <c r="H135" s="264"/>
      <c r="I135" s="264"/>
      <c r="J135" s="264"/>
      <c r="K135" s="264"/>
      <c r="L135" s="264"/>
    </row>
    <row r="136" spans="1:12" x14ac:dyDescent="0.2">
      <c r="A136" s="2"/>
      <c r="B136" s="449" t="str">
        <f>"Entering on Line "&amp;A71&amp;" ensures that transmission rates for the Rate Effective Period will reflect these One Time Adjustments."</f>
        <v>Entering on Line 58 ensures that transmission rates for the Rate Effective Period will reflect these One Time Adjustments.</v>
      </c>
      <c r="C136" s="264"/>
      <c r="D136" s="264"/>
      <c r="E136" s="264"/>
      <c r="F136" s="264"/>
      <c r="G136" s="264"/>
      <c r="H136" s="264"/>
      <c r="I136" s="264"/>
      <c r="J136" s="264"/>
      <c r="K136" s="264"/>
      <c r="L136" s="264"/>
    </row>
    <row r="137" spans="1:12" x14ac:dyDescent="0.2">
      <c r="A137" s="2"/>
      <c r="B137" s="448" t="s">
        <v>1458</v>
      </c>
      <c r="C137" s="495"/>
      <c r="D137" s="264"/>
      <c r="E137" s="264"/>
      <c r="F137" s="264"/>
      <c r="G137" s="264"/>
      <c r="H137" s="264"/>
      <c r="I137" s="264"/>
      <c r="J137" s="264"/>
      <c r="K137" s="264"/>
      <c r="L137" s="264"/>
    </row>
    <row r="138" spans="1:12" x14ac:dyDescent="0.2">
      <c r="A138" s="2"/>
      <c r="B138" s="13" t="s">
        <v>1275</v>
      </c>
      <c r="C138" s="264"/>
      <c r="D138" s="264"/>
      <c r="E138" s="264"/>
      <c r="F138" s="264"/>
      <c r="G138" s="264"/>
      <c r="H138" s="264"/>
      <c r="I138" s="264"/>
      <c r="J138" s="264"/>
      <c r="K138" s="264"/>
      <c r="L138" s="264"/>
    </row>
    <row r="139" spans="1:12" x14ac:dyDescent="0.2">
      <c r="A139" s="2"/>
      <c r="B139" s="13" t="s">
        <v>1276</v>
      </c>
      <c r="C139" s="264"/>
      <c r="D139" s="264"/>
      <c r="E139" s="264"/>
      <c r="F139" s="264"/>
      <c r="G139" s="264"/>
      <c r="H139" s="264"/>
      <c r="I139" s="264"/>
      <c r="J139" s="264"/>
      <c r="K139" s="264"/>
      <c r="L139" s="264"/>
    </row>
    <row r="140" spans="1:12" x14ac:dyDescent="0.2">
      <c r="A140" s="2"/>
      <c r="B140" s="687" t="s">
        <v>1881</v>
      </c>
      <c r="C140" s="264"/>
      <c r="D140" s="264"/>
      <c r="E140" s="264"/>
      <c r="F140" s="264"/>
      <c r="G140" s="264"/>
      <c r="H140" s="264"/>
      <c r="I140" s="264"/>
      <c r="J140" s="264"/>
      <c r="K140" s="264"/>
      <c r="L140" s="264"/>
    </row>
    <row r="141" spans="1:12" x14ac:dyDescent="0.2">
      <c r="A141" s="2"/>
      <c r="B141" s="115" t="s">
        <v>1277</v>
      </c>
      <c r="C141" s="264"/>
      <c r="D141" s="264"/>
      <c r="E141" s="264"/>
      <c r="F141" s="264"/>
      <c r="G141" s="264"/>
      <c r="H141" s="264"/>
      <c r="I141" s="264"/>
      <c r="J141" s="264"/>
      <c r="K141" s="264"/>
      <c r="L141" s="264"/>
    </row>
    <row r="142" spans="1:12" x14ac:dyDescent="0.2">
      <c r="A142" s="2"/>
      <c r="B142" s="53" t="s">
        <v>269</v>
      </c>
      <c r="C142" s="264"/>
      <c r="D142" s="264"/>
      <c r="E142" s="264"/>
      <c r="F142" s="264"/>
      <c r="G142" s="264"/>
      <c r="H142" s="264"/>
      <c r="I142" s="264"/>
      <c r="J142" s="264"/>
      <c r="K142" s="264"/>
      <c r="L142" s="264"/>
    </row>
    <row r="143" spans="1:12" x14ac:dyDescent="0.2">
      <c r="A143" s="2"/>
      <c r="B143" s="687" t="s">
        <v>1878</v>
      </c>
      <c r="C143" s="264"/>
      <c r="D143" s="264"/>
      <c r="E143" s="264"/>
      <c r="F143" s="264"/>
      <c r="G143" s="264"/>
      <c r="H143" s="264"/>
      <c r="I143" s="264"/>
      <c r="J143" s="264"/>
      <c r="K143" s="264"/>
      <c r="L143" s="264"/>
    </row>
    <row r="144" spans="1:12" x14ac:dyDescent="0.2">
      <c r="A144" s="2"/>
      <c r="B144" s="713" t="s">
        <v>1879</v>
      </c>
      <c r="C144" s="264"/>
      <c r="D144" s="264"/>
      <c r="E144" s="264"/>
      <c r="F144" s="264"/>
      <c r="G144" s="264"/>
      <c r="H144" s="264"/>
      <c r="I144" s="264"/>
      <c r="J144" s="264"/>
      <c r="K144" s="264"/>
      <c r="L144" s="264"/>
    </row>
    <row r="145" spans="1:12" x14ac:dyDescent="0.2">
      <c r="A145" s="2"/>
      <c r="B145" s="177" t="str">
        <f>"a Partial Year True Up, use the Partial Year TRR Attribution Allocation Factors on Lines "&amp;A83&amp;" to "&amp;A94&amp;" for each month of Partial Year True Up  ."</f>
        <v>a Partial Year True Up, use the Partial Year TRR Attribution Allocation Factors on Lines 70 to 81 for each month of Partial Year True Up  .</v>
      </c>
      <c r="C145" s="264"/>
      <c r="D145" s="264"/>
      <c r="E145" s="264"/>
      <c r="F145" s="264"/>
      <c r="G145" s="264"/>
      <c r="H145" s="264"/>
      <c r="I145" s="264"/>
      <c r="J145" s="264"/>
      <c r="K145" s="264"/>
      <c r="L145" s="264"/>
    </row>
    <row r="146" spans="1:12" x14ac:dyDescent="0.2">
      <c r="A146" s="720"/>
      <c r="B146" s="177" t="str">
        <f>"Only enter in the Prior Year, Lines "&amp;A24&amp;" to "&amp;A35&amp;", or portion of year formula was in effect in case of Partial Year True Up."</f>
        <v>Only enter in the Prior Year, Lines 11 to 22, or portion of year formula was in effect in case of Partial Year True Up.</v>
      </c>
      <c r="C146" s="264"/>
      <c r="D146" s="264"/>
      <c r="E146" s="264"/>
      <c r="F146" s="264"/>
      <c r="G146" s="264"/>
      <c r="H146" s="264"/>
      <c r="I146" s="264"/>
      <c r="J146" s="264"/>
      <c r="K146" s="264"/>
      <c r="L146" s="264"/>
    </row>
    <row r="147" spans="1:12" x14ac:dyDescent="0.2">
      <c r="A147" s="2"/>
      <c r="B147" s="172" t="s">
        <v>1278</v>
      </c>
      <c r="C147" s="264"/>
      <c r="D147" s="264"/>
      <c r="E147" s="264"/>
      <c r="F147" s="264"/>
      <c r="G147" s="264"/>
      <c r="H147" s="264"/>
      <c r="I147" s="264"/>
      <c r="J147" s="264"/>
      <c r="K147" s="264"/>
      <c r="L147" s="264"/>
    </row>
    <row r="148" spans="1:12" x14ac:dyDescent="0.2">
      <c r="A148" s="2"/>
      <c r="B148" s="177" t="str">
        <f>"as shown on Lines "&amp;A106&amp;" to"&amp;A117&amp;", Column 1."</f>
        <v>as shown on Lines 93 to104, Column 1.</v>
      </c>
      <c r="C148" s="264"/>
      <c r="D148" s="264"/>
      <c r="E148" s="264"/>
      <c r="F148" s="264"/>
      <c r="G148" s="264"/>
      <c r="H148" s="264"/>
      <c r="I148" s="264"/>
      <c r="J148" s="264"/>
      <c r="K148" s="264"/>
      <c r="L148" s="264"/>
    </row>
    <row r="149" spans="1:12" x14ac:dyDescent="0.2">
      <c r="A149" s="2"/>
      <c r="B149" s="172" t="s">
        <v>1279</v>
      </c>
      <c r="C149" s="264"/>
      <c r="D149" s="264"/>
      <c r="E149" s="264"/>
      <c r="F149" s="264"/>
      <c r="G149" s="264"/>
      <c r="H149" s="264"/>
      <c r="I149" s="264"/>
      <c r="J149" s="264"/>
      <c r="K149" s="264"/>
      <c r="L149" s="264"/>
    </row>
    <row r="150" spans="1:12" x14ac:dyDescent="0.2">
      <c r="A150" s="2"/>
      <c r="B150" s="177" t="s">
        <v>1280</v>
      </c>
      <c r="C150" s="264"/>
      <c r="D150" s="264"/>
      <c r="E150" s="264"/>
      <c r="F150" s="264"/>
      <c r="G150" s="264"/>
      <c r="H150" s="264"/>
      <c r="I150" s="264"/>
      <c r="J150" s="264"/>
      <c r="K150" s="264"/>
      <c r="L150" s="264"/>
    </row>
    <row r="151" spans="1:12" x14ac:dyDescent="0.2">
      <c r="A151" s="2"/>
      <c r="B151" s="177" t="s">
        <v>1281</v>
      </c>
      <c r="C151" s="264"/>
      <c r="D151" s="264"/>
      <c r="E151" s="264"/>
      <c r="F151" s="264"/>
      <c r="G151" s="264"/>
      <c r="H151" s="264"/>
      <c r="I151" s="264"/>
      <c r="J151" s="264"/>
      <c r="K151" s="264"/>
      <c r="L151" s="264"/>
    </row>
    <row r="152" spans="1:12" x14ac:dyDescent="0.2">
      <c r="A152" s="2"/>
      <c r="B152" s="177" t="s">
        <v>1282</v>
      </c>
      <c r="C152" s="264"/>
      <c r="D152" s="264"/>
      <c r="E152" s="264"/>
      <c r="F152" s="264"/>
      <c r="G152" s="264"/>
      <c r="H152" s="264"/>
      <c r="I152" s="264"/>
      <c r="J152" s="264"/>
      <c r="K152" s="264"/>
      <c r="L152" s="264"/>
    </row>
    <row r="153" spans="1:12" x14ac:dyDescent="0.2">
      <c r="A153" s="2"/>
      <c r="B153" s="713" t="s">
        <v>2036</v>
      </c>
      <c r="C153" s="264"/>
      <c r="D153" s="264"/>
      <c r="E153" s="264"/>
      <c r="F153" s="264"/>
      <c r="G153" s="264"/>
      <c r="H153" s="264"/>
      <c r="I153" s="264"/>
      <c r="J153" s="264"/>
      <c r="K153" s="264"/>
      <c r="L153" s="264"/>
    </row>
    <row r="154" spans="1:12" x14ac:dyDescent="0.2">
      <c r="A154" s="2"/>
      <c r="B154" s="13" t="s">
        <v>1283</v>
      </c>
      <c r="C154" s="264"/>
      <c r="D154" s="264"/>
      <c r="E154" s="264"/>
      <c r="F154" s="264"/>
      <c r="G154" s="264"/>
      <c r="H154" s="264"/>
      <c r="I154" s="264"/>
      <c r="J154" s="264"/>
      <c r="K154" s="264"/>
      <c r="L154" s="264"/>
    </row>
    <row r="155" spans="1:12" x14ac:dyDescent="0.2">
      <c r="A155" s="2"/>
      <c r="B155" s="115" t="s">
        <v>1284</v>
      </c>
      <c r="C155" s="264"/>
      <c r="D155" s="264"/>
      <c r="E155" s="264"/>
      <c r="F155" s="264"/>
      <c r="G155" s="264"/>
      <c r="H155" s="264"/>
      <c r="I155" s="264"/>
      <c r="J155" s="264"/>
      <c r="K155" s="264"/>
      <c r="L155" s="264"/>
    </row>
    <row r="156" spans="1:12" x14ac:dyDescent="0.2">
      <c r="A156" s="2"/>
      <c r="B156" s="13" t="s">
        <v>1285</v>
      </c>
      <c r="C156" s="264"/>
      <c r="D156" s="264"/>
      <c r="E156" s="264"/>
      <c r="F156" s="264"/>
      <c r="G156" s="264"/>
      <c r="H156" s="264"/>
      <c r="I156" s="264"/>
      <c r="J156" s="264"/>
      <c r="K156" s="264"/>
      <c r="L156" s="264"/>
    </row>
    <row r="157" spans="1:12" x14ac:dyDescent="0.2">
      <c r="A157" s="2"/>
      <c r="B157" s="426" t="s">
        <v>1286</v>
      </c>
      <c r="C157" s="264"/>
      <c r="D157" s="264"/>
      <c r="E157" s="264"/>
      <c r="F157" s="264"/>
      <c r="G157" s="264"/>
      <c r="H157" s="264"/>
      <c r="I157" s="264"/>
      <c r="J157" s="264"/>
      <c r="K157" s="264"/>
      <c r="L157" s="264"/>
    </row>
    <row r="158" spans="1:12" x14ac:dyDescent="0.2">
      <c r="A158" s="2"/>
      <c r="B158" s="13" t="s">
        <v>1287</v>
      </c>
      <c r="C158" s="264"/>
      <c r="D158" s="264"/>
      <c r="E158" s="264"/>
      <c r="F158" s="264"/>
      <c r="G158" s="264"/>
      <c r="H158" s="264"/>
      <c r="I158" s="264"/>
      <c r="J158" s="264"/>
      <c r="K158" s="264"/>
      <c r="L158" s="264"/>
    </row>
    <row r="159" spans="1:12" x14ac:dyDescent="0.2">
      <c r="A159" s="2"/>
      <c r="B159" s="136" t="s">
        <v>1288</v>
      </c>
      <c r="C159" s="264"/>
      <c r="D159" s="264"/>
      <c r="E159" s="264"/>
      <c r="F159" s="264"/>
      <c r="G159" s="264"/>
      <c r="H159" s="264"/>
      <c r="I159" s="264"/>
      <c r="J159" s="264"/>
      <c r="K159" s="264"/>
      <c r="L159" s="264"/>
    </row>
    <row r="160" spans="1:12" x14ac:dyDescent="0.2">
      <c r="A160" s="2"/>
      <c r="B160" s="284" t="s">
        <v>1471</v>
      </c>
      <c r="C160" s="264"/>
      <c r="D160" s="264"/>
      <c r="E160" s="264"/>
      <c r="F160" s="264"/>
      <c r="G160" s="264"/>
      <c r="H160" s="264"/>
      <c r="I160" s="264"/>
      <c r="J160" s="264"/>
      <c r="K160" s="264"/>
      <c r="L160" s="264"/>
    </row>
    <row r="161" spans="1:12" x14ac:dyDescent="0.2">
      <c r="A161" s="264"/>
      <c r="B161" s="284" t="s">
        <v>1927</v>
      </c>
      <c r="C161" s="264"/>
      <c r="D161" s="264"/>
      <c r="E161" s="264"/>
      <c r="F161" s="264"/>
      <c r="G161" s="264"/>
      <c r="H161" s="264"/>
      <c r="I161" s="264"/>
      <c r="J161" s="264"/>
      <c r="K161" s="264"/>
      <c r="L161" s="264"/>
    </row>
    <row r="162" spans="1:12" x14ac:dyDescent="0.2">
      <c r="A162" s="264"/>
      <c r="B162" s="13" t="s">
        <v>1556</v>
      </c>
      <c r="C162" s="264"/>
      <c r="D162" s="264"/>
      <c r="E162" s="264"/>
      <c r="F162" s="264"/>
      <c r="G162" s="264"/>
      <c r="H162" s="264"/>
      <c r="I162" s="264"/>
      <c r="J162" s="264"/>
      <c r="K162" s="264"/>
      <c r="L162" s="264"/>
    </row>
    <row r="163" spans="1:12" x14ac:dyDescent="0.2">
      <c r="A163" s="264"/>
      <c r="B163" s="13" t="s">
        <v>1554</v>
      </c>
      <c r="C163" s="264"/>
      <c r="D163" s="264"/>
      <c r="E163" s="264"/>
      <c r="F163" s="264"/>
      <c r="G163" s="264"/>
      <c r="H163" s="264"/>
      <c r="I163" s="264"/>
      <c r="J163" s="264"/>
      <c r="K163" s="264"/>
      <c r="L163" s="264"/>
    </row>
    <row r="164" spans="1:12" x14ac:dyDescent="0.2">
      <c r="A164" s="264"/>
      <c r="B164" s="115" t="s">
        <v>644</v>
      </c>
      <c r="C164" s="264"/>
      <c r="D164" s="264"/>
      <c r="E164" s="264"/>
      <c r="F164" s="264"/>
      <c r="G164" s="264"/>
      <c r="H164" s="264"/>
      <c r="I164" s="264"/>
      <c r="J164" s="264"/>
      <c r="K164" s="264"/>
      <c r="L164" s="264"/>
    </row>
    <row r="165" spans="1:12" x14ac:dyDescent="0.2">
      <c r="A165" s="264"/>
      <c r="B165" s="13" t="s">
        <v>1555</v>
      </c>
      <c r="C165" s="264"/>
      <c r="D165" s="264"/>
      <c r="E165" s="264"/>
      <c r="F165" s="264"/>
      <c r="G165" s="264"/>
      <c r="H165" s="264"/>
      <c r="I165" s="264"/>
      <c r="J165" s="264"/>
      <c r="K165" s="264"/>
      <c r="L165" s="264"/>
    </row>
    <row r="166" spans="1:12" x14ac:dyDescent="0.2">
      <c r="A166" s="264"/>
      <c r="B166" s="115" t="s">
        <v>640</v>
      </c>
      <c r="C166" s="264"/>
      <c r="D166" s="264"/>
      <c r="E166" s="264"/>
      <c r="F166" s="264"/>
      <c r="G166" s="264"/>
      <c r="H166" s="264"/>
      <c r="I166" s="264"/>
      <c r="J166" s="264"/>
      <c r="K166" s="264"/>
      <c r="L166" s="264"/>
    </row>
    <row r="167" spans="1:12" x14ac:dyDescent="0.2">
      <c r="A167" s="264"/>
      <c r="B167" s="115" t="s">
        <v>641</v>
      </c>
      <c r="C167" s="264"/>
      <c r="D167" s="264"/>
      <c r="E167" s="264"/>
      <c r="F167" s="264"/>
      <c r="G167" s="264"/>
      <c r="H167" s="264"/>
      <c r="I167" s="264"/>
      <c r="J167" s="264"/>
      <c r="K167" s="264"/>
      <c r="L167" s="264"/>
    </row>
    <row r="168" spans="1:12" x14ac:dyDescent="0.2">
      <c r="A168" s="264"/>
      <c r="B168" s="115" t="s">
        <v>642</v>
      </c>
      <c r="C168" s="264"/>
      <c r="D168" s="264"/>
      <c r="E168" s="264"/>
      <c r="F168" s="264"/>
      <c r="G168" s="264"/>
      <c r="H168" s="264"/>
      <c r="I168" s="264"/>
      <c r="J168" s="264"/>
      <c r="K168" s="264"/>
      <c r="L168" s="264"/>
    </row>
    <row r="169" spans="1:12" x14ac:dyDescent="0.2">
      <c r="A169" s="264"/>
      <c r="B169" s="115" t="s">
        <v>1143</v>
      </c>
      <c r="C169" s="264"/>
      <c r="D169" s="264"/>
      <c r="E169" s="264"/>
      <c r="F169" s="264"/>
      <c r="G169" s="264"/>
      <c r="H169" s="264"/>
      <c r="I169" s="264"/>
      <c r="J169" s="264"/>
      <c r="K169" s="264"/>
      <c r="L169" s="264"/>
    </row>
    <row r="170" spans="1:12" x14ac:dyDescent="0.2">
      <c r="A170" s="264"/>
      <c r="C170" s="264"/>
      <c r="D170" s="264"/>
      <c r="E170" s="264"/>
      <c r="F170" s="264"/>
      <c r="G170" s="264"/>
      <c r="H170" s="264"/>
      <c r="I170" s="264"/>
      <c r="J170" s="264"/>
      <c r="K170" s="264"/>
      <c r="L170" s="264"/>
    </row>
    <row r="171" spans="1:12" x14ac:dyDescent="0.2">
      <c r="A171" s="264"/>
      <c r="C171" s="264"/>
      <c r="D171" s="264"/>
      <c r="E171" s="264"/>
      <c r="F171" s="264"/>
      <c r="G171" s="264"/>
      <c r="H171" s="264"/>
      <c r="I171" s="264"/>
      <c r="J171" s="264"/>
      <c r="K171" s="264"/>
      <c r="L171" s="264"/>
    </row>
    <row r="172" spans="1:12" x14ac:dyDescent="0.2">
      <c r="A172" s="264"/>
      <c r="C172" s="264"/>
      <c r="D172" s="264"/>
      <c r="E172" s="264"/>
      <c r="F172" s="264"/>
      <c r="G172" s="264"/>
      <c r="H172" s="264"/>
      <c r="I172" s="264"/>
      <c r="J172" s="264"/>
      <c r="K172" s="264"/>
      <c r="L172" s="264"/>
    </row>
    <row r="173" spans="1:12" x14ac:dyDescent="0.2">
      <c r="A173" s="264"/>
      <c r="B173" s="264"/>
      <c r="C173" s="264"/>
      <c r="D173" s="264"/>
      <c r="E173" s="264"/>
      <c r="F173" s="264"/>
      <c r="G173" s="264"/>
      <c r="H173" s="264"/>
      <c r="I173" s="264"/>
      <c r="J173" s="264"/>
      <c r="K173" s="264"/>
      <c r="L173" s="264"/>
    </row>
    <row r="174" spans="1:12" x14ac:dyDescent="0.2">
      <c r="A174" s="264"/>
      <c r="B174" s="264"/>
      <c r="C174" s="264"/>
      <c r="D174" s="264"/>
      <c r="E174" s="264"/>
      <c r="F174" s="264"/>
      <c r="G174" s="264"/>
      <c r="H174" s="264"/>
      <c r="I174" s="264"/>
      <c r="J174" s="264"/>
      <c r="K174" s="264"/>
      <c r="L174" s="264"/>
    </row>
    <row r="175" spans="1:12" x14ac:dyDescent="0.2">
      <c r="A175" s="264"/>
      <c r="B175" s="264"/>
      <c r="C175" s="264"/>
      <c r="D175" s="264"/>
      <c r="E175" s="264"/>
      <c r="F175" s="264"/>
      <c r="G175" s="264"/>
      <c r="H175" s="264"/>
      <c r="I175" s="264"/>
      <c r="J175" s="264"/>
      <c r="K175" s="264"/>
      <c r="L175" s="264"/>
    </row>
    <row r="176" spans="1:12" x14ac:dyDescent="0.2">
      <c r="A176" s="264"/>
      <c r="B176" s="264"/>
      <c r="C176" s="264"/>
      <c r="D176" s="264"/>
      <c r="E176" s="264"/>
      <c r="F176" s="264"/>
      <c r="G176" s="264"/>
      <c r="H176" s="264"/>
      <c r="I176" s="264"/>
      <c r="J176" s="264"/>
      <c r="K176" s="264"/>
      <c r="L176" s="264"/>
    </row>
    <row r="177" spans="1:12" x14ac:dyDescent="0.2">
      <c r="A177" s="264"/>
      <c r="B177" s="264"/>
      <c r="C177" s="264"/>
      <c r="D177" s="264"/>
      <c r="E177" s="264"/>
      <c r="F177" s="264"/>
      <c r="G177" s="264"/>
      <c r="H177" s="264"/>
      <c r="I177" s="264"/>
      <c r="J177" s="264"/>
      <c r="K177" s="264"/>
      <c r="L177" s="264"/>
    </row>
    <row r="178" spans="1:12" x14ac:dyDescent="0.2">
      <c r="A178" s="264"/>
      <c r="B178" s="264"/>
      <c r="C178" s="264"/>
      <c r="D178" s="264"/>
      <c r="E178" s="264"/>
      <c r="F178" s="264"/>
      <c r="G178" s="264"/>
      <c r="H178" s="264"/>
      <c r="I178" s="264"/>
      <c r="J178" s="264"/>
      <c r="K178" s="264"/>
      <c r="L178" s="264"/>
    </row>
    <row r="179" spans="1:12" x14ac:dyDescent="0.2">
      <c r="A179" s="264"/>
      <c r="B179" s="264"/>
      <c r="C179" s="264"/>
      <c r="D179" s="264"/>
      <c r="E179" s="264"/>
      <c r="F179" s="264"/>
      <c r="G179" s="264"/>
      <c r="H179" s="264"/>
      <c r="I179" s="264"/>
      <c r="J179" s="264"/>
      <c r="K179" s="264"/>
      <c r="L179" s="264"/>
    </row>
    <row r="180" spans="1:12" x14ac:dyDescent="0.2">
      <c r="A180" s="264"/>
      <c r="B180" s="264"/>
      <c r="C180" s="264"/>
      <c r="D180" s="264"/>
      <c r="E180" s="264"/>
      <c r="F180" s="264"/>
      <c r="G180" s="264"/>
      <c r="H180" s="264"/>
      <c r="I180" s="264"/>
      <c r="J180" s="264"/>
      <c r="K180" s="264"/>
      <c r="L180" s="264"/>
    </row>
    <row r="181" spans="1:12" x14ac:dyDescent="0.2">
      <c r="A181" s="264"/>
      <c r="B181" s="264"/>
      <c r="C181" s="264"/>
      <c r="D181" s="264"/>
      <c r="E181" s="264"/>
      <c r="F181" s="264"/>
      <c r="G181" s="264"/>
      <c r="H181" s="264"/>
      <c r="I181" s="264"/>
      <c r="J181" s="264"/>
      <c r="K181" s="264"/>
      <c r="L181" s="264"/>
    </row>
    <row r="182" spans="1:12" x14ac:dyDescent="0.2">
      <c r="A182" s="264"/>
      <c r="B182" s="264"/>
      <c r="C182" s="264"/>
      <c r="D182" s="264"/>
      <c r="E182" s="264"/>
      <c r="F182" s="264"/>
      <c r="G182" s="264"/>
      <c r="H182" s="264"/>
      <c r="I182" s="264"/>
      <c r="J182" s="264"/>
      <c r="K182" s="264"/>
      <c r="L182" s="264"/>
    </row>
    <row r="183" spans="1:12" x14ac:dyDescent="0.2">
      <c r="A183" s="264"/>
      <c r="B183" s="264"/>
      <c r="C183" s="264"/>
      <c r="D183" s="264"/>
      <c r="E183" s="264"/>
      <c r="F183" s="264"/>
      <c r="G183" s="264"/>
      <c r="H183" s="264"/>
      <c r="I183" s="264"/>
      <c r="J183" s="264"/>
      <c r="K183" s="264"/>
      <c r="L183" s="264"/>
    </row>
    <row r="184" spans="1:12" x14ac:dyDescent="0.2">
      <c r="A184" s="264"/>
      <c r="B184" s="264"/>
      <c r="C184" s="264"/>
      <c r="D184" s="264"/>
      <c r="E184" s="264"/>
      <c r="F184" s="264"/>
      <c r="G184" s="264"/>
      <c r="H184" s="264"/>
      <c r="I184" s="264"/>
      <c r="J184" s="264"/>
      <c r="K184" s="264"/>
      <c r="L184" s="264"/>
    </row>
    <row r="185" spans="1:12" x14ac:dyDescent="0.2">
      <c r="A185" s="264"/>
      <c r="B185" s="264"/>
      <c r="C185" s="264"/>
      <c r="D185" s="264"/>
      <c r="E185" s="264"/>
      <c r="F185" s="264"/>
      <c r="G185" s="264"/>
      <c r="H185" s="264"/>
      <c r="I185" s="264"/>
      <c r="J185" s="264"/>
      <c r="K185" s="264"/>
      <c r="L185" s="264"/>
    </row>
    <row r="186" spans="1:12" x14ac:dyDescent="0.2">
      <c r="A186" s="264"/>
      <c r="B186" s="264"/>
      <c r="C186" s="264"/>
      <c r="D186" s="264"/>
      <c r="E186" s="264"/>
      <c r="F186" s="264"/>
      <c r="G186" s="264"/>
      <c r="H186" s="264"/>
      <c r="I186" s="264"/>
      <c r="J186" s="264"/>
      <c r="K186" s="264"/>
      <c r="L186" s="264"/>
    </row>
    <row r="187" spans="1:12" x14ac:dyDescent="0.2">
      <c r="A187" s="264"/>
      <c r="B187" s="264"/>
      <c r="C187" s="264"/>
      <c r="D187" s="264"/>
      <c r="E187" s="264"/>
      <c r="F187" s="264"/>
      <c r="G187" s="264"/>
      <c r="H187" s="264"/>
      <c r="I187" s="264"/>
      <c r="J187" s="264"/>
      <c r="K187" s="264"/>
      <c r="L187" s="264"/>
    </row>
    <row r="188" spans="1:12" x14ac:dyDescent="0.2">
      <c r="A188" s="264"/>
      <c r="B188" s="264"/>
      <c r="C188" s="264"/>
      <c r="D188" s="264"/>
      <c r="E188" s="264"/>
      <c r="F188" s="264"/>
      <c r="G188" s="264"/>
      <c r="H188" s="264"/>
      <c r="I188" s="264"/>
      <c r="J188" s="264"/>
      <c r="K188" s="264"/>
      <c r="L188" s="264"/>
    </row>
    <row r="189" spans="1:12" x14ac:dyDescent="0.2">
      <c r="A189" s="264"/>
      <c r="B189" s="264"/>
      <c r="C189" s="264"/>
      <c r="D189" s="264"/>
      <c r="E189" s="264"/>
      <c r="F189" s="264"/>
      <c r="G189" s="264"/>
      <c r="H189" s="264"/>
      <c r="I189" s="264"/>
      <c r="J189" s="264"/>
      <c r="K189" s="264"/>
      <c r="L189" s="264"/>
    </row>
    <row r="190" spans="1:12" x14ac:dyDescent="0.2">
      <c r="A190" s="264"/>
      <c r="B190" s="264"/>
      <c r="C190" s="264"/>
      <c r="D190" s="264"/>
      <c r="E190" s="264"/>
      <c r="F190" s="264"/>
      <c r="G190" s="264"/>
      <c r="H190" s="264"/>
      <c r="I190" s="264"/>
      <c r="J190" s="264"/>
      <c r="K190" s="264"/>
      <c r="L190" s="264"/>
    </row>
    <row r="191" spans="1:12" x14ac:dyDescent="0.2">
      <c r="A191" s="264"/>
      <c r="B191" s="264"/>
      <c r="C191" s="264"/>
      <c r="D191" s="264"/>
      <c r="E191" s="264"/>
      <c r="F191" s="264"/>
      <c r="G191" s="264"/>
      <c r="H191" s="264"/>
      <c r="I191" s="264"/>
      <c r="J191" s="264"/>
      <c r="K191" s="264"/>
      <c r="L191" s="264"/>
    </row>
    <row r="192" spans="1:12" x14ac:dyDescent="0.2">
      <c r="A192" s="264"/>
      <c r="B192" s="264"/>
      <c r="C192" s="264"/>
      <c r="D192" s="264"/>
      <c r="E192" s="264"/>
      <c r="F192" s="264"/>
      <c r="G192" s="264"/>
      <c r="H192" s="264"/>
      <c r="I192" s="264"/>
      <c r="J192" s="264"/>
      <c r="K192" s="264"/>
      <c r="L192" s="264"/>
    </row>
    <row r="193" spans="1:12" x14ac:dyDescent="0.2">
      <c r="A193" s="264"/>
      <c r="B193" s="264"/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</row>
    <row r="194" spans="1:12" x14ac:dyDescent="0.2">
      <c r="A194" s="264"/>
      <c r="B194" s="264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</row>
    <row r="195" spans="1:12" x14ac:dyDescent="0.2">
      <c r="A195" s="264"/>
      <c r="B195" s="264"/>
      <c r="C195" s="264"/>
      <c r="D195" s="264"/>
      <c r="E195" s="264"/>
      <c r="F195" s="264"/>
      <c r="G195" s="264"/>
      <c r="H195" s="264"/>
      <c r="I195" s="264"/>
      <c r="J195" s="264"/>
      <c r="K195" s="264"/>
      <c r="L195" s="264"/>
    </row>
    <row r="196" spans="1:12" x14ac:dyDescent="0.2">
      <c r="A196" s="264"/>
      <c r="B196" s="264"/>
      <c r="C196" s="264"/>
      <c r="D196" s="264"/>
      <c r="E196" s="264"/>
      <c r="F196" s="264"/>
      <c r="G196" s="264"/>
      <c r="H196" s="264"/>
      <c r="I196" s="264"/>
      <c r="J196" s="264"/>
      <c r="K196" s="264"/>
      <c r="L196" s="264"/>
    </row>
    <row r="197" spans="1:12" x14ac:dyDescent="0.2">
      <c r="A197" s="264"/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  <c r="L197" s="264"/>
    </row>
  </sheetData>
  <pageMargins left="0.7" right="0.7" top="0.75" bottom="0.75" header="0.3" footer="0.3"/>
  <pageSetup scale="75" orientation="landscape" r:id="rId1"/>
  <headerFooter>
    <oddHeader xml:space="preserve">&amp;CSchedule 3
True Up Adjustment&amp;RDkt. No. ER11-3697
2014 Draft Informational Filing
</oddHeader>
    <oddFooter>&amp;RTrueUpAdjust</oddFooter>
  </headerFooter>
  <rowBreaks count="3" manualBreakCount="3">
    <brk id="45" max="16383" man="1"/>
    <brk id="79" max="16383" man="1"/>
    <brk id="12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D1" zoomScaleNormal="100" workbookViewId="0">
      <selection activeCell="J62" sqref="J62"/>
    </sheetView>
  </sheetViews>
  <sheetFormatPr defaultRowHeight="12.75" x14ac:dyDescent="0.2"/>
  <cols>
    <col min="1" max="2" width="4.7109375" customWidth="1"/>
    <col min="3" max="3" width="18.7109375" customWidth="1"/>
    <col min="4" max="4" width="10.28515625" bestFit="1" customWidth="1"/>
    <col min="5" max="7" width="15.7109375" customWidth="1"/>
    <col min="8" max="8" width="24.7109375" customWidth="1"/>
    <col min="9" max="9" width="4.5703125" customWidth="1"/>
    <col min="10" max="10" width="15.7109375" customWidth="1"/>
  </cols>
  <sheetData>
    <row r="1" spans="1:10" x14ac:dyDescent="0.2">
      <c r="A1" s="1" t="s">
        <v>2195</v>
      </c>
    </row>
    <row r="2" spans="1:10" x14ac:dyDescent="0.2">
      <c r="H2" s="14"/>
    </row>
    <row r="3" spans="1:10" x14ac:dyDescent="0.2">
      <c r="B3" s="79" t="s">
        <v>1867</v>
      </c>
    </row>
    <row r="4" spans="1:10" x14ac:dyDescent="0.2">
      <c r="B4" s="79"/>
      <c r="F4" s="2" t="s">
        <v>178</v>
      </c>
      <c r="G4" s="2"/>
      <c r="H4" s="2" t="s">
        <v>197</v>
      </c>
    </row>
    <row r="5" spans="1:10" x14ac:dyDescent="0.2">
      <c r="A5" s="55" t="s">
        <v>369</v>
      </c>
      <c r="B5" s="16"/>
      <c r="C5" s="53" t="s">
        <v>176</v>
      </c>
      <c r="F5" s="3" t="s">
        <v>177</v>
      </c>
      <c r="G5" s="3" t="s">
        <v>196</v>
      </c>
      <c r="H5" s="3" t="s">
        <v>198</v>
      </c>
      <c r="J5" s="3" t="s">
        <v>203</v>
      </c>
    </row>
    <row r="6" spans="1:10" x14ac:dyDescent="0.2">
      <c r="A6" s="2">
        <v>1</v>
      </c>
      <c r="C6" s="52" t="s">
        <v>1240</v>
      </c>
      <c r="F6" t="s">
        <v>10</v>
      </c>
      <c r="H6" s="52" t="str">
        <f>"PlantInService WS, Line "&amp;PlantInService!A43&amp;""</f>
        <v>PlantInService WS, Line 18</v>
      </c>
      <c r="J6" s="7">
        <f>PlantInService!D43</f>
        <v>3599028971.8622632</v>
      </c>
    </row>
    <row r="7" spans="1:10" x14ac:dyDescent="0.2">
      <c r="A7" s="2">
        <f>A6+1</f>
        <v>2</v>
      </c>
      <c r="C7" s="52" t="s">
        <v>1465</v>
      </c>
      <c r="F7" t="s">
        <v>179</v>
      </c>
      <c r="H7" s="52" t="str">
        <f>"PlantInService WS, Line "&amp;PlantInService!A59&amp;""</f>
        <v>PlantInService WS, Line 24</v>
      </c>
      <c r="J7" s="7">
        <f>PlantInService!F59</f>
        <v>152828164.10796624</v>
      </c>
    </row>
    <row r="8" spans="1:10" x14ac:dyDescent="0.2">
      <c r="A8" s="2">
        <f>A7+1</f>
        <v>3</v>
      </c>
      <c r="C8" s="52" t="s">
        <v>181</v>
      </c>
      <c r="F8" t="s">
        <v>179</v>
      </c>
      <c r="H8" t="str">
        <f>"PHFU WS, Line "&amp;PHFU!A41&amp;""</f>
        <v>PHFU WS, Line 9</v>
      </c>
      <c r="J8" s="7">
        <f>PHFU!D41</f>
        <v>14913232.5</v>
      </c>
    </row>
    <row r="9" spans="1:10" x14ac:dyDescent="0.2">
      <c r="A9" s="2">
        <f>A8+1</f>
        <v>4</v>
      </c>
      <c r="C9" s="130" t="s">
        <v>362</v>
      </c>
      <c r="D9" s="14"/>
      <c r="E9" s="14"/>
      <c r="F9" t="s">
        <v>179</v>
      </c>
      <c r="H9" s="12" t="str">
        <f>"AbandonedPlant WS Line "&amp;AbandonedPlant!A17&amp;""</f>
        <v>AbandonedPlant WS Line 4</v>
      </c>
      <c r="J9" s="7">
        <f>AbandonedPlant!G17</f>
        <v>5514000</v>
      </c>
    </row>
    <row r="10" spans="1:10" x14ac:dyDescent="0.2">
      <c r="A10" s="2"/>
      <c r="C10" s="130"/>
      <c r="D10" s="14"/>
      <c r="E10" s="14"/>
      <c r="F10" s="14"/>
      <c r="J10" s="7"/>
    </row>
    <row r="11" spans="1:10" x14ac:dyDescent="0.2">
      <c r="A11" s="2"/>
      <c r="C11" s="85" t="s">
        <v>321</v>
      </c>
      <c r="J11" s="7"/>
    </row>
    <row r="12" spans="1:10" x14ac:dyDescent="0.2">
      <c r="A12" s="2">
        <f>A9+1</f>
        <v>5</v>
      </c>
      <c r="C12" s="13" t="s">
        <v>109</v>
      </c>
      <c r="F12" t="s">
        <v>179</v>
      </c>
      <c r="H12" s="52" t="str">
        <f>"WorkCap WS, Line "&amp;WorkCap!A16&amp;""</f>
        <v>WorkCap WS, Line 6</v>
      </c>
      <c r="J12" s="7">
        <f>WorkCap!F16</f>
        <v>12690893.064370984</v>
      </c>
    </row>
    <row r="13" spans="1:10" x14ac:dyDescent="0.2">
      <c r="A13" s="2">
        <f>A12+1</f>
        <v>6</v>
      </c>
      <c r="C13" s="16" t="s">
        <v>110</v>
      </c>
      <c r="F13" t="s">
        <v>179</v>
      </c>
      <c r="H13" s="52" t="str">
        <f>"WorkCap WS, Line "&amp;WorkCap!A29&amp;""</f>
        <v>WorkCap WS, Line 11</v>
      </c>
      <c r="J13" s="7">
        <f>WorkCap!F29</f>
        <v>5721633.5998353288</v>
      </c>
    </row>
    <row r="14" spans="1:10" x14ac:dyDescent="0.2">
      <c r="A14" s="2">
        <f>A13+1</f>
        <v>7</v>
      </c>
      <c r="C14" s="13" t="s">
        <v>200</v>
      </c>
      <c r="F14" s="12" t="s">
        <v>344</v>
      </c>
      <c r="H14" t="str">
        <f>"Base TRR WS Line "&amp;BaseTRR!A17&amp;""</f>
        <v>Base TRR WS Line 7</v>
      </c>
      <c r="J14" s="59">
        <f>BaseTRR!K17</f>
        <v>15666472.767297152</v>
      </c>
    </row>
    <row r="15" spans="1:10" x14ac:dyDescent="0.2">
      <c r="A15" s="2">
        <f>A14+1</f>
        <v>8</v>
      </c>
      <c r="C15" s="13" t="s">
        <v>108</v>
      </c>
      <c r="H15" t="str">
        <f>"Line "&amp;A12&amp;" + Line "&amp;A13&amp;" + Line "&amp;A14&amp;""</f>
        <v>Line 5 + Line 6 + Line 7</v>
      </c>
      <c r="J15" s="7">
        <f>SUM(J12:J14)</f>
        <v>34078999.43150346</v>
      </c>
    </row>
    <row r="16" spans="1:10" x14ac:dyDescent="0.2">
      <c r="A16" s="2"/>
      <c r="C16" s="13"/>
      <c r="J16" s="7"/>
    </row>
    <row r="17" spans="1:10" x14ac:dyDescent="0.2">
      <c r="A17" s="2"/>
      <c r="C17" s="86" t="s">
        <v>322</v>
      </c>
      <c r="J17" s="7"/>
    </row>
    <row r="18" spans="1:10" x14ac:dyDescent="0.2">
      <c r="A18" s="2">
        <f>A15+1</f>
        <v>9</v>
      </c>
      <c r="C18" s="687" t="s">
        <v>2127</v>
      </c>
      <c r="F18" t="s">
        <v>10</v>
      </c>
      <c r="G18" t="s">
        <v>175</v>
      </c>
      <c r="H18" s="52" t="str">
        <f>"AccDep WS, Line "&amp;AccDep!A25&amp;", Col. 12"</f>
        <v>AccDep WS, Line 14, Col. 12</v>
      </c>
      <c r="J18" s="7">
        <f>-AccDep!N25</f>
        <v>-1001059758.9007404</v>
      </c>
    </row>
    <row r="19" spans="1:10" x14ac:dyDescent="0.2">
      <c r="A19" s="2">
        <f>A18+1</f>
        <v>10</v>
      </c>
      <c r="C19" s="687" t="s">
        <v>2128</v>
      </c>
      <c r="F19" t="s">
        <v>179</v>
      </c>
      <c r="G19" t="s">
        <v>175</v>
      </c>
      <c r="H19" s="52" t="str">
        <f>"AccDep WS, Line "&amp;AccDep!A36&amp;", Col. 5"</f>
        <v>AccDep WS, Line 17, Col. 5</v>
      </c>
      <c r="J19" s="7">
        <f>-AccDep!G36</f>
        <v>-1125774.0858334703</v>
      </c>
    </row>
    <row r="20" spans="1:10" x14ac:dyDescent="0.2">
      <c r="A20" s="2">
        <f>A19+1</f>
        <v>11</v>
      </c>
      <c r="C20" s="13" t="s">
        <v>357</v>
      </c>
      <c r="D20" s="22"/>
      <c r="F20" t="s">
        <v>179</v>
      </c>
      <c r="G20" t="s">
        <v>175</v>
      </c>
      <c r="H20" s="52" t="str">
        <f>"AccDep WS, Line "&amp;AccDep!A53&amp;""</f>
        <v>AccDep WS, Line 23</v>
      </c>
      <c r="J20" s="59">
        <f>-AccDep!F53</f>
        <v>-55614889.852486588</v>
      </c>
    </row>
    <row r="21" spans="1:10" x14ac:dyDescent="0.2">
      <c r="A21" s="2">
        <f>A20+1</f>
        <v>12</v>
      </c>
      <c r="C21" s="87" t="s">
        <v>190</v>
      </c>
      <c r="D21" s="22"/>
      <c r="H21" t="str">
        <f>"Line "&amp;A18&amp;" + Line "&amp;A19&amp;" + Line "&amp;A20&amp;""</f>
        <v>Line 9 + Line 10 + Line 11</v>
      </c>
      <c r="J21" s="7">
        <f>SUM(J18:J20)</f>
        <v>-1057800422.8390604</v>
      </c>
    </row>
    <row r="22" spans="1:10" x14ac:dyDescent="0.2">
      <c r="A22" s="2"/>
      <c r="C22" s="12"/>
      <c r="J22" s="7"/>
    </row>
    <row r="23" spans="1:10" x14ac:dyDescent="0.2">
      <c r="A23" s="2">
        <f>A21+1</f>
        <v>13</v>
      </c>
      <c r="C23" s="69" t="s">
        <v>191</v>
      </c>
      <c r="F23" t="s">
        <v>10</v>
      </c>
      <c r="H23" s="52" t="str">
        <f>"ADIT WS, Line "&amp;ADIT!A24&amp;""</f>
        <v>ADIT WS, Line 15</v>
      </c>
      <c r="J23" s="7">
        <f>ADIT!D24</f>
        <v>-552897600.4179318</v>
      </c>
    </row>
    <row r="24" spans="1:10" x14ac:dyDescent="0.2">
      <c r="A24" s="2">
        <f>A23+1</f>
        <v>14</v>
      </c>
      <c r="C24" s="52" t="s">
        <v>279</v>
      </c>
      <c r="F24" t="s">
        <v>10</v>
      </c>
      <c r="H24" s="52" t="str">
        <f>"IncentivePlant WS, L "&amp;IncentivePlant!A37&amp;", C2"</f>
        <v>IncentivePlant WS, L 12, C2</v>
      </c>
      <c r="J24" s="7">
        <f>IncentivePlant!F37</f>
        <v>1419476950.0603337</v>
      </c>
    </row>
    <row r="25" spans="1:10" x14ac:dyDescent="0.2">
      <c r="A25" s="2">
        <f>A24+1</f>
        <v>15</v>
      </c>
      <c r="C25" s="69" t="s">
        <v>70</v>
      </c>
      <c r="F25" t="s">
        <v>179</v>
      </c>
      <c r="G25" t="s">
        <v>175</v>
      </c>
      <c r="H25" s="52" t="str">
        <f>"NUCs WS, Line "&amp;NUCs!A17&amp;""</f>
        <v>NUCs WS, Line 9</v>
      </c>
      <c r="J25" s="7">
        <f>-NUCs!E17</f>
        <v>-15595540</v>
      </c>
    </row>
    <row r="26" spans="1:10" x14ac:dyDescent="0.2">
      <c r="A26" s="2">
        <v>16</v>
      </c>
      <c r="C26" s="69" t="s">
        <v>421</v>
      </c>
      <c r="F26" t="s">
        <v>179</v>
      </c>
      <c r="H26" s="52" t="str">
        <f>"RegAssets WS, Line "&amp;RegAssets!A18&amp;""</f>
        <v>RegAssets WS, Line 15</v>
      </c>
      <c r="J26" s="7">
        <f>RegAssets!E18</f>
        <v>0</v>
      </c>
    </row>
    <row r="27" spans="1:10" x14ac:dyDescent="0.2">
      <c r="A27" s="2"/>
      <c r="C27" s="69"/>
    </row>
    <row r="28" spans="1:10" x14ac:dyDescent="0.2">
      <c r="A28" s="2">
        <v>17</v>
      </c>
      <c r="C28" t="s">
        <v>201</v>
      </c>
      <c r="H28" t="str">
        <f>"L"&amp;A6&amp;"+L"&amp;A7&amp;"+L"&amp;A8&amp;"+L"&amp;A9&amp;"+L"&amp;A15&amp;"+L"&amp;A21&amp;"+"</f>
        <v>L1+L2+L3+L4+L8+L12+</v>
      </c>
      <c r="J28" s="7">
        <f>J6+ J7+J8+J9+J15+J21+J23+J24+J25+J26</f>
        <v>3599546754.7050748</v>
      </c>
    </row>
    <row r="29" spans="1:10" x14ac:dyDescent="0.2">
      <c r="A29" s="2"/>
      <c r="H29" t="str">
        <f>"L"&amp;A23&amp;"+L"&amp;A24&amp;"+L"&amp;A25&amp;"+L"&amp;A26&amp;""</f>
        <v>L13+L14+L15+L16</v>
      </c>
      <c r="J29" s="7"/>
    </row>
    <row r="30" spans="1:10" x14ac:dyDescent="0.2">
      <c r="A30" s="2"/>
      <c r="C30" s="1" t="s">
        <v>102</v>
      </c>
      <c r="J30" s="7"/>
    </row>
    <row r="31" spans="1:10" x14ac:dyDescent="0.2">
      <c r="A31" s="55" t="s">
        <v>369</v>
      </c>
      <c r="C31" s="1"/>
      <c r="J31" s="7"/>
    </row>
    <row r="32" spans="1:10" x14ac:dyDescent="0.2">
      <c r="A32" s="2">
        <f>A28+1</f>
        <v>18</v>
      </c>
      <c r="C32" t="s">
        <v>67</v>
      </c>
      <c r="H32" t="str">
        <f>"Base TRR WS L "&amp;BaseTRR!A91&amp;""</f>
        <v>Base TRR WS L 53</v>
      </c>
      <c r="J32" s="8">
        <f>BaseTRR!K91</f>
        <v>7.9883096434750375E-2</v>
      </c>
    </row>
    <row r="33" spans="1:10" x14ac:dyDescent="0.2">
      <c r="A33" s="2">
        <f>A32+1</f>
        <v>19</v>
      </c>
      <c r="C33" s="15" t="s">
        <v>69</v>
      </c>
      <c r="D33" s="15"/>
      <c r="E33" s="15"/>
      <c r="F33" s="15"/>
      <c r="G33" s="15"/>
      <c r="H33" t="str">
        <f>"Line "&amp;A28&amp;" * Line "&amp;A32&amp;""</f>
        <v>Line 17 * Line 18</v>
      </c>
      <c r="J33" s="48">
        <f>J28*J32</f>
        <v>287542940.52749825</v>
      </c>
    </row>
    <row r="34" spans="1:10" x14ac:dyDescent="0.2">
      <c r="A34" s="2"/>
      <c r="B34" s="16"/>
    </row>
    <row r="35" spans="1:10" x14ac:dyDescent="0.2">
      <c r="A35" s="2"/>
      <c r="B35" s="16"/>
      <c r="C35" s="1" t="s">
        <v>103</v>
      </c>
    </row>
    <row r="36" spans="1:10" x14ac:dyDescent="0.2">
      <c r="A36" s="2"/>
      <c r="B36" s="16"/>
    </row>
    <row r="37" spans="1:10" x14ac:dyDescent="0.2">
      <c r="A37" s="2">
        <f>A33+1</f>
        <v>20</v>
      </c>
      <c r="C37" s="683" t="s">
        <v>2116</v>
      </c>
      <c r="J37" s="7">
        <f>((J28*J41)*(J42/(1-J42)))+(J43/(1-J42))</f>
        <v>136738229.39288589</v>
      </c>
    </row>
    <row r="38" spans="1:10" x14ac:dyDescent="0.2">
      <c r="A38" s="2"/>
      <c r="J38" s="12"/>
    </row>
    <row r="39" spans="1:10" x14ac:dyDescent="0.2">
      <c r="A39" s="2"/>
      <c r="D39" t="s">
        <v>251</v>
      </c>
    </row>
    <row r="40" spans="1:10" x14ac:dyDescent="0.2">
      <c r="A40" s="2">
        <f>A37+1</f>
        <v>21</v>
      </c>
      <c r="D40" s="16" t="s">
        <v>252</v>
      </c>
      <c r="H40" t="str">
        <f>"Line "&amp;A28&amp;""</f>
        <v>Line 17</v>
      </c>
      <c r="J40" s="7">
        <f>J28</f>
        <v>3599546754.7050748</v>
      </c>
    </row>
    <row r="41" spans="1:10" x14ac:dyDescent="0.2">
      <c r="A41" s="2">
        <f>A40+1</f>
        <v>22</v>
      </c>
      <c r="D41" s="13" t="s">
        <v>323</v>
      </c>
      <c r="H41" t="str">
        <f>"Base TRR WS L "&amp;BaseTRR!A93&amp;""</f>
        <v>Base TRR WS L 54</v>
      </c>
      <c r="J41" s="8">
        <f>BaseTRR!K93</f>
        <v>5.5682309717842722E-2</v>
      </c>
    </row>
    <row r="42" spans="1:10" x14ac:dyDescent="0.2">
      <c r="A42" s="2">
        <f>A41+1</f>
        <v>23</v>
      </c>
      <c r="D42" s="16" t="s">
        <v>253</v>
      </c>
      <c r="H42" t="str">
        <f>"Base TRR WS L "&amp;BaseTRR!A102&amp;""</f>
        <v>Base TRR WS L 58</v>
      </c>
      <c r="J42" s="8">
        <f>BaseTRR!K102</f>
        <v>0.39936028204298801</v>
      </c>
    </row>
    <row r="43" spans="1:10" x14ac:dyDescent="0.2">
      <c r="A43" s="2">
        <f>A42+1</f>
        <v>24</v>
      </c>
      <c r="D43" s="16" t="s">
        <v>254</v>
      </c>
      <c r="H43" t="str">
        <f>"Base TRR WS L "&amp;BaseTRR!A108&amp;""</f>
        <v>Base TRR WS L 62</v>
      </c>
      <c r="J43" s="7">
        <f>BaseTRR!K108</f>
        <v>2086200</v>
      </c>
    </row>
    <row r="44" spans="1:10" x14ac:dyDescent="0.2">
      <c r="A44" s="2"/>
      <c r="B44" s="16"/>
    </row>
    <row r="45" spans="1:10" x14ac:dyDescent="0.2">
      <c r="A45" s="2"/>
      <c r="B45" s="16"/>
      <c r="C45" s="1" t="s">
        <v>1868</v>
      </c>
    </row>
    <row r="46" spans="1:10" x14ac:dyDescent="0.2">
      <c r="A46" s="2"/>
      <c r="B46" s="16"/>
      <c r="C46" s="1"/>
    </row>
    <row r="47" spans="1:10" x14ac:dyDescent="0.2">
      <c r="A47" s="2">
        <f>A43+1</f>
        <v>25</v>
      </c>
      <c r="B47" s="16"/>
      <c r="C47" t="s">
        <v>119</v>
      </c>
      <c r="H47" t="str">
        <f>"Base TRR WS L "&amp;BaseTRR!A123&amp;""</f>
        <v>Base TRR WS L 65</v>
      </c>
      <c r="J47" s="7">
        <f>BaseTRR!K123</f>
        <v>90226737.837657154</v>
      </c>
    </row>
    <row r="48" spans="1:10" x14ac:dyDescent="0.2">
      <c r="A48" s="2">
        <f t="shared" ref="A48:A58" si="0">A47+1</f>
        <v>26</v>
      </c>
      <c r="B48" s="16"/>
      <c r="C48" s="12" t="s">
        <v>306</v>
      </c>
      <c r="H48" t="str">
        <f>"Base TRR WS L "&amp;BaseTRR!A124&amp;""</f>
        <v>Base TRR WS L 66</v>
      </c>
      <c r="J48" s="7">
        <f>BaseTRR!K124</f>
        <v>35105044.300720058</v>
      </c>
    </row>
    <row r="49" spans="1:10" x14ac:dyDescent="0.2">
      <c r="A49" s="2">
        <f t="shared" si="0"/>
        <v>27</v>
      </c>
      <c r="B49" s="16"/>
      <c r="C49" t="s">
        <v>71</v>
      </c>
      <c r="H49" t="str">
        <f>"Base TRR WS L "&amp;BaseTRR!A125&amp;""</f>
        <v>Base TRR WS L 67</v>
      </c>
      <c r="J49" s="7">
        <f>BaseTRR!K125</f>
        <v>617891</v>
      </c>
    </row>
    <row r="50" spans="1:10" x14ac:dyDescent="0.2">
      <c r="A50" s="2">
        <f t="shared" si="0"/>
        <v>28</v>
      </c>
      <c r="B50" s="16"/>
      <c r="C50" s="12" t="s">
        <v>290</v>
      </c>
      <c r="H50" t="str">
        <f>"Base TRR WS L "&amp;BaseTRR!A126&amp;""</f>
        <v>Base TRR WS L 68</v>
      </c>
      <c r="J50" s="7">
        <f>BaseTRR!K126</f>
        <v>109572089.44492379</v>
      </c>
    </row>
    <row r="51" spans="1:10" x14ac:dyDescent="0.2">
      <c r="A51" s="2">
        <f t="shared" si="0"/>
        <v>29</v>
      </c>
      <c r="B51" s="16"/>
      <c r="C51" s="12" t="s">
        <v>339</v>
      </c>
      <c r="H51" t="str">
        <f>"Base TRR WS L "&amp;BaseTRR!A127&amp;""</f>
        <v>Base TRR WS L 69</v>
      </c>
      <c r="J51" s="7">
        <f>BaseTRR!K127</f>
        <v>11028000</v>
      </c>
    </row>
    <row r="52" spans="1:10" x14ac:dyDescent="0.2">
      <c r="A52" s="2">
        <f t="shared" si="0"/>
        <v>30</v>
      </c>
      <c r="B52" s="16"/>
      <c r="C52" s="12" t="s">
        <v>95</v>
      </c>
      <c r="H52" t="str">
        <f>"Base TRR WS L "&amp;BaseTRR!A128&amp;""</f>
        <v>Base TRR WS L 70</v>
      </c>
      <c r="J52" s="7">
        <f>BaseTRR!K128</f>
        <v>24850168.295183785</v>
      </c>
    </row>
    <row r="53" spans="1:10" x14ac:dyDescent="0.2">
      <c r="A53" s="2">
        <f t="shared" si="0"/>
        <v>31</v>
      </c>
      <c r="B53" s="16"/>
      <c r="C53" t="s">
        <v>11</v>
      </c>
      <c r="G53" s="15"/>
      <c r="H53" t="str">
        <f>"Base TRR WS L "&amp;BaseTRR!A129&amp;""</f>
        <v>Base TRR WS L 71</v>
      </c>
      <c r="J53" s="7">
        <f>BaseTRR!K129</f>
        <v>-49609866.430026509</v>
      </c>
    </row>
    <row r="54" spans="1:10" x14ac:dyDescent="0.2">
      <c r="A54" s="2">
        <f t="shared" si="0"/>
        <v>32</v>
      </c>
      <c r="B54" s="16"/>
      <c r="C54" t="s">
        <v>104</v>
      </c>
      <c r="H54" t="str">
        <f>"Line "&amp;A33&amp;""</f>
        <v>Line 19</v>
      </c>
      <c r="J54" s="7">
        <f>J33</f>
        <v>287542940.52749825</v>
      </c>
    </row>
    <row r="55" spans="1:10" x14ac:dyDescent="0.2">
      <c r="A55" s="2">
        <f t="shared" si="0"/>
        <v>33</v>
      </c>
      <c r="B55" s="16"/>
      <c r="C55" t="s">
        <v>5</v>
      </c>
      <c r="H55" t="str">
        <f>"Line "&amp;A37&amp;""</f>
        <v>Line 20</v>
      </c>
      <c r="J55" s="120">
        <f>J37</f>
        <v>136738229.39288589</v>
      </c>
    </row>
    <row r="56" spans="1:10" x14ac:dyDescent="0.2">
      <c r="A56" s="2">
        <f t="shared" si="0"/>
        <v>34</v>
      </c>
      <c r="B56" s="16"/>
      <c r="C56" s="12" t="s">
        <v>415</v>
      </c>
      <c r="H56" t="str">
        <f>"Base TRR WS L "&amp;BaseTRR!A132&amp;""</f>
        <v>Base TRR WS L 74</v>
      </c>
      <c r="J56" s="120">
        <f>BaseTRR!K132</f>
        <v>0</v>
      </c>
    </row>
    <row r="57" spans="1:10" x14ac:dyDescent="0.2">
      <c r="A57" s="2">
        <f t="shared" si="0"/>
        <v>35</v>
      </c>
      <c r="B57" s="16"/>
      <c r="C57" s="12" t="s">
        <v>416</v>
      </c>
      <c r="H57" t="str">
        <f>"Base TRR WS L "&amp;BaseTRR!A133&amp;""</f>
        <v>Base TRR WS L 75</v>
      </c>
      <c r="J57" s="59">
        <f>BaseTRR!K133</f>
        <v>0</v>
      </c>
    </row>
    <row r="58" spans="1:10" x14ac:dyDescent="0.2">
      <c r="A58" s="2">
        <f t="shared" si="0"/>
        <v>36</v>
      </c>
      <c r="B58" s="16"/>
      <c r="C58" s="683" t="s">
        <v>1870</v>
      </c>
      <c r="H58" t="str">
        <f>"Sum Line "&amp;A47&amp;" to Line "&amp;A57&amp;""</f>
        <v>Sum Line 25 to Line 35</v>
      </c>
      <c r="J58" s="7">
        <f>SUM(J47:J57)</f>
        <v>646071234.36884248</v>
      </c>
    </row>
    <row r="59" spans="1:10" x14ac:dyDescent="0.2">
      <c r="A59" s="2"/>
      <c r="B59" s="16"/>
      <c r="J59" s="7"/>
    </row>
    <row r="60" spans="1:10" ht="12.75" customHeight="1" x14ac:dyDescent="0.2">
      <c r="A60" s="2">
        <f>A58+1</f>
        <v>37</v>
      </c>
      <c r="B60" s="16"/>
      <c r="C60" s="683" t="s">
        <v>1837</v>
      </c>
      <c r="H60" t="str">
        <f>"IncentiveAdder WS L "&amp;IncentiveAdder!A59&amp;""</f>
        <v>IncentiveAdder WS L 20</v>
      </c>
      <c r="J60" s="7">
        <f>IncentiveAdder!G59</f>
        <v>19898778.70253098</v>
      </c>
    </row>
    <row r="61" spans="1:10" x14ac:dyDescent="0.2">
      <c r="A61" s="2"/>
      <c r="B61" s="16"/>
      <c r="C61" s="12"/>
      <c r="J61" s="7"/>
    </row>
    <row r="62" spans="1:10" x14ac:dyDescent="0.2">
      <c r="A62" s="2">
        <f>A60+1</f>
        <v>38</v>
      </c>
      <c r="B62" s="16"/>
      <c r="C62" s="683" t="s">
        <v>1869</v>
      </c>
      <c r="H62" t="str">
        <f>"Line "&amp;A58&amp;" + Line "&amp;A60&amp;""</f>
        <v>Line 36 + Line 37</v>
      </c>
      <c r="J62" s="7">
        <f>J58+J60</f>
        <v>665970013.07137346</v>
      </c>
    </row>
    <row r="63" spans="1:10" x14ac:dyDescent="0.2">
      <c r="A63" s="2"/>
      <c r="B63" s="16"/>
      <c r="C63" s="12"/>
      <c r="J63" s="7"/>
    </row>
    <row r="64" spans="1:10" x14ac:dyDescent="0.2">
      <c r="A64" s="2"/>
      <c r="B64" s="98" t="s">
        <v>1871</v>
      </c>
      <c r="C64" s="12"/>
      <c r="J64" s="7"/>
    </row>
    <row r="65" spans="1:8" x14ac:dyDescent="0.2">
      <c r="A65" s="55" t="s">
        <v>369</v>
      </c>
      <c r="B65" s="69"/>
      <c r="G65" s="53" t="s">
        <v>1380</v>
      </c>
    </row>
    <row r="66" spans="1:8" x14ac:dyDescent="0.2">
      <c r="A66" s="2">
        <f>A62+1</f>
        <v>39</v>
      </c>
      <c r="B66" s="69"/>
      <c r="D66" s="681" t="s">
        <v>1872</v>
      </c>
      <c r="E66" s="7">
        <f>J62</f>
        <v>665970013.07137346</v>
      </c>
      <c r="G66" t="str">
        <f>"Line "&amp;A62&amp;""</f>
        <v>Line 38</v>
      </c>
    </row>
    <row r="67" spans="1:8" x14ac:dyDescent="0.2">
      <c r="A67" s="2">
        <f>A66+1</f>
        <v>40</v>
      </c>
      <c r="B67" s="69"/>
      <c r="D67" s="110" t="s">
        <v>1379</v>
      </c>
      <c r="E67" s="72">
        <f>FFU!D20</f>
        <v>9.1427999999999995E-3</v>
      </c>
      <c r="G67" t="str">
        <f>"FFU WS, L "&amp;FFU!A20&amp;""</f>
        <v>FFU WS, L 5</v>
      </c>
    </row>
    <row r="68" spans="1:8" x14ac:dyDescent="0.2">
      <c r="A68" s="2">
        <f>A67+1</f>
        <v>41</v>
      </c>
      <c r="B68" s="69"/>
      <c r="D68" s="37" t="s">
        <v>270</v>
      </c>
      <c r="E68" s="7">
        <f>E66*FFU!D20</f>
        <v>6088830.6355089527</v>
      </c>
      <c r="G68" t="str">
        <f>"Line "&amp;A66&amp;" * Line "&amp;A67&amp;""</f>
        <v>Line 39 * Line 40</v>
      </c>
    </row>
    <row r="69" spans="1:8" x14ac:dyDescent="0.2">
      <c r="A69" s="2">
        <f>A68+1</f>
        <v>42</v>
      </c>
      <c r="B69" s="69"/>
      <c r="D69" s="681" t="s">
        <v>1873</v>
      </c>
      <c r="E69" s="7">
        <f>E66+E68</f>
        <v>672058843.70688236</v>
      </c>
      <c r="G69" t="str">
        <f>"Line "&amp;A66&amp;" + Line "&amp;A68&amp;""</f>
        <v>Line 39 + Line 41</v>
      </c>
    </row>
    <row r="70" spans="1:8" x14ac:dyDescent="0.2">
      <c r="A70" s="2"/>
      <c r="B70" s="69"/>
      <c r="D70" s="37"/>
      <c r="E70" s="7"/>
      <c r="G70" s="119"/>
    </row>
    <row r="71" spans="1:8" x14ac:dyDescent="0.2">
      <c r="A71" s="2"/>
      <c r="B71" s="98"/>
      <c r="D71" s="37"/>
      <c r="E71" s="7"/>
    </row>
    <row r="72" spans="1:8" x14ac:dyDescent="0.2">
      <c r="A72" s="2"/>
      <c r="C72" s="98"/>
      <c r="D72" s="37"/>
      <c r="E72" s="7"/>
    </row>
    <row r="73" spans="1:8" x14ac:dyDescent="0.2">
      <c r="A73" s="2"/>
      <c r="C73" s="98"/>
      <c r="D73" s="37"/>
      <c r="E73" s="7"/>
    </row>
    <row r="74" spans="1:8" x14ac:dyDescent="0.2">
      <c r="A74" s="2"/>
      <c r="B74" s="13"/>
      <c r="C74" s="12"/>
      <c r="D74" s="37"/>
      <c r="E74" s="7"/>
    </row>
    <row r="75" spans="1:8" x14ac:dyDescent="0.2">
      <c r="A75" s="2"/>
      <c r="B75" s="13"/>
      <c r="D75" s="37"/>
      <c r="E75" s="7"/>
    </row>
    <row r="76" spans="1:8" x14ac:dyDescent="0.2">
      <c r="A76" s="2"/>
      <c r="B76" s="98"/>
      <c r="E76" s="102"/>
      <c r="F76" s="102"/>
      <c r="G76" s="102"/>
      <c r="H76" s="7"/>
    </row>
    <row r="77" spans="1:8" x14ac:dyDescent="0.2">
      <c r="A77" s="2"/>
    </row>
    <row r="78" spans="1:8" x14ac:dyDescent="0.2">
      <c r="A78" s="2"/>
      <c r="D78" s="2"/>
      <c r="E78" s="2"/>
      <c r="F78" s="2"/>
      <c r="G78" s="2"/>
      <c r="H78" s="2"/>
    </row>
    <row r="79" spans="1:8" x14ac:dyDescent="0.2">
      <c r="A79" s="2"/>
      <c r="D79" s="2"/>
      <c r="E79" s="2"/>
      <c r="F79" s="2"/>
      <c r="G79" s="2"/>
      <c r="H79" s="2"/>
    </row>
    <row r="80" spans="1:8" x14ac:dyDescent="0.2">
      <c r="A80" s="55"/>
      <c r="C80" s="25"/>
      <c r="D80" s="25"/>
      <c r="E80" s="3"/>
      <c r="F80" s="3"/>
      <c r="G80" s="3"/>
      <c r="H80" s="3"/>
    </row>
    <row r="81" spans="1:10" x14ac:dyDescent="0.2">
      <c r="A81" s="2"/>
      <c r="C81" s="20"/>
      <c r="D81" s="24"/>
      <c r="E81" s="67"/>
      <c r="F81" s="67"/>
      <c r="G81" s="67"/>
      <c r="H81" s="7"/>
      <c r="J81" s="97"/>
    </row>
    <row r="82" spans="1:10" x14ac:dyDescent="0.2">
      <c r="A82" s="2"/>
      <c r="C82" s="21"/>
      <c r="D82" s="24"/>
      <c r="E82" s="67"/>
      <c r="F82" s="67"/>
      <c r="G82" s="102"/>
      <c r="H82" s="7"/>
      <c r="J82" s="97"/>
    </row>
    <row r="83" spans="1:10" x14ac:dyDescent="0.2">
      <c r="A83" s="2"/>
      <c r="C83" s="21"/>
      <c r="D83" s="24"/>
      <c r="E83" s="67"/>
      <c r="F83" s="67"/>
      <c r="G83" s="102"/>
      <c r="H83" s="7"/>
      <c r="J83" s="97"/>
    </row>
    <row r="84" spans="1:10" x14ac:dyDescent="0.2">
      <c r="A84" s="2"/>
      <c r="C84" s="20"/>
      <c r="D84" s="24"/>
      <c r="E84" s="67"/>
      <c r="F84" s="67"/>
      <c r="G84" s="102"/>
      <c r="H84" s="7"/>
      <c r="J84" s="97"/>
    </row>
    <row r="85" spans="1:10" x14ac:dyDescent="0.2">
      <c r="A85" s="2"/>
      <c r="C85" s="21"/>
      <c r="D85" s="24"/>
      <c r="E85" s="67"/>
      <c r="F85" s="67"/>
      <c r="G85" s="102"/>
      <c r="H85" s="7"/>
      <c r="J85" s="97"/>
    </row>
    <row r="86" spans="1:10" x14ac:dyDescent="0.2">
      <c r="A86" s="2"/>
      <c r="C86" s="21"/>
      <c r="D86" s="24"/>
      <c r="E86" s="67"/>
      <c r="F86" s="67"/>
      <c r="G86" s="102"/>
      <c r="H86" s="7"/>
      <c r="J86" s="97"/>
    </row>
    <row r="87" spans="1:10" x14ac:dyDescent="0.2">
      <c r="A87" s="2"/>
      <c r="C87" s="20"/>
      <c r="D87" s="24"/>
      <c r="E87" s="67"/>
      <c r="F87" s="67"/>
      <c r="G87" s="102"/>
      <c r="H87" s="7"/>
      <c r="J87" s="97"/>
    </row>
    <row r="88" spans="1:10" x14ac:dyDescent="0.2">
      <c r="A88" s="2"/>
      <c r="C88" s="21"/>
      <c r="D88" s="24"/>
      <c r="E88" s="67"/>
      <c r="F88" s="67"/>
      <c r="G88" s="102"/>
      <c r="H88" s="7"/>
      <c r="J88" s="97"/>
    </row>
    <row r="89" spans="1:10" x14ac:dyDescent="0.2">
      <c r="A89" s="2"/>
      <c r="C89" s="21"/>
      <c r="D89" s="24"/>
      <c r="E89" s="67"/>
      <c r="F89" s="67"/>
      <c r="G89" s="102"/>
      <c r="H89" s="7"/>
      <c r="J89" s="97"/>
    </row>
    <row r="90" spans="1:10" x14ac:dyDescent="0.2">
      <c r="A90" s="2"/>
      <c r="C90" s="20"/>
      <c r="D90" s="24"/>
      <c r="E90" s="67"/>
      <c r="F90" s="67"/>
      <c r="G90" s="102"/>
      <c r="H90" s="7"/>
      <c r="J90" s="97"/>
    </row>
    <row r="91" spans="1:10" x14ac:dyDescent="0.2">
      <c r="A91" s="2"/>
      <c r="C91" s="20"/>
      <c r="D91" s="24"/>
      <c r="E91" s="67"/>
      <c r="F91" s="67"/>
      <c r="G91" s="102"/>
      <c r="H91" s="7"/>
      <c r="J91" s="97"/>
    </row>
    <row r="92" spans="1:10" x14ac:dyDescent="0.2">
      <c r="A92" s="2"/>
      <c r="C92" s="21"/>
      <c r="D92" s="24"/>
      <c r="E92" s="121"/>
      <c r="F92" s="121"/>
      <c r="G92" s="140"/>
      <c r="H92" s="59"/>
      <c r="J92" s="97"/>
    </row>
    <row r="93" spans="1:10" x14ac:dyDescent="0.2">
      <c r="A93" s="2"/>
      <c r="E93" s="67"/>
      <c r="F93" s="67"/>
      <c r="H93" s="7"/>
      <c r="J93" s="97"/>
    </row>
    <row r="94" spans="1:10" x14ac:dyDescent="0.2">
      <c r="A94" s="2"/>
      <c r="E94" s="67"/>
      <c r="F94" s="67"/>
      <c r="H94" s="7"/>
      <c r="J94" s="97"/>
    </row>
    <row r="95" spans="1:10" x14ac:dyDescent="0.2">
      <c r="A95" s="2"/>
      <c r="C95" s="21"/>
      <c r="E95" s="67"/>
      <c r="F95" s="67"/>
      <c r="H95" s="7"/>
      <c r="J95" s="97"/>
    </row>
    <row r="96" spans="1:10" x14ac:dyDescent="0.2">
      <c r="A96" s="2"/>
      <c r="C96" s="21"/>
      <c r="E96" s="67"/>
      <c r="F96" s="67"/>
      <c r="H96" s="7"/>
      <c r="J96" s="97"/>
    </row>
    <row r="97" spans="1:10" x14ac:dyDescent="0.2">
      <c r="A97" s="2"/>
      <c r="C97" s="21"/>
      <c r="E97" s="67"/>
      <c r="F97" s="67"/>
      <c r="H97" s="7"/>
      <c r="J97" s="97"/>
    </row>
    <row r="98" spans="1:10" x14ac:dyDescent="0.2">
      <c r="A98" s="2"/>
      <c r="C98" s="21"/>
      <c r="E98" s="67"/>
      <c r="F98" s="67"/>
      <c r="H98" s="7"/>
      <c r="J98" s="97"/>
    </row>
    <row r="99" spans="1:10" x14ac:dyDescent="0.2">
      <c r="A99" s="2"/>
      <c r="C99" s="21"/>
      <c r="E99" s="67"/>
      <c r="F99" s="67"/>
      <c r="H99" s="7"/>
      <c r="J99" s="97"/>
    </row>
    <row r="100" spans="1:10" x14ac:dyDescent="0.2">
      <c r="A100" s="55"/>
      <c r="C100" s="21"/>
      <c r="E100" s="67"/>
      <c r="F100" s="67"/>
      <c r="H100" s="7"/>
      <c r="J100" s="97"/>
    </row>
    <row r="101" spans="1:10" x14ac:dyDescent="0.2">
      <c r="A101" s="2"/>
      <c r="D101" s="34"/>
      <c r="E101" s="67"/>
      <c r="F101" s="67"/>
      <c r="G101" s="12"/>
      <c r="H101" s="7"/>
      <c r="J101" s="97"/>
    </row>
    <row r="102" spans="1:10" x14ac:dyDescent="0.2">
      <c r="A102" s="2"/>
      <c r="C102" s="21"/>
      <c r="D102" s="110"/>
      <c r="E102" s="107"/>
      <c r="F102" s="7"/>
      <c r="G102" s="12"/>
      <c r="H102" s="7"/>
      <c r="J102" s="97"/>
    </row>
    <row r="103" spans="1:10" x14ac:dyDescent="0.2">
      <c r="A103" s="2"/>
      <c r="C103" s="21"/>
      <c r="D103" s="110"/>
      <c r="E103" s="7"/>
      <c r="F103" s="7"/>
      <c r="G103" s="12"/>
      <c r="H103" s="7"/>
      <c r="J103" s="97"/>
    </row>
    <row r="104" spans="1:10" x14ac:dyDescent="0.2">
      <c r="A104" s="2"/>
    </row>
    <row r="105" spans="1:10" x14ac:dyDescent="0.2">
      <c r="A105" s="2"/>
      <c r="B105" s="1"/>
    </row>
    <row r="106" spans="1:10" x14ac:dyDescent="0.2">
      <c r="A106" s="2"/>
    </row>
    <row r="107" spans="1:10" x14ac:dyDescent="0.2">
      <c r="A107" s="2"/>
    </row>
    <row r="108" spans="1:10" x14ac:dyDescent="0.2">
      <c r="A108" s="2"/>
      <c r="F108" s="2"/>
    </row>
    <row r="109" spans="1:10" x14ac:dyDescent="0.2">
      <c r="A109" s="2"/>
      <c r="F109" s="2"/>
    </row>
    <row r="110" spans="1:10" x14ac:dyDescent="0.2">
      <c r="A110" s="2"/>
      <c r="D110" s="2"/>
      <c r="E110" s="2"/>
      <c r="F110" s="2"/>
      <c r="H110" s="2"/>
    </row>
    <row r="111" spans="1:10" x14ac:dyDescent="0.2">
      <c r="A111" s="2"/>
      <c r="D111" s="2"/>
      <c r="E111" s="2"/>
      <c r="F111" s="2"/>
      <c r="G111" s="2"/>
      <c r="H111" s="4"/>
    </row>
    <row r="112" spans="1:10" x14ac:dyDescent="0.2">
      <c r="A112" s="55"/>
      <c r="C112" s="25"/>
      <c r="D112" s="25"/>
      <c r="E112" s="3"/>
      <c r="F112" s="99"/>
      <c r="G112" s="3"/>
      <c r="H112" s="4"/>
    </row>
    <row r="113" spans="1:8" x14ac:dyDescent="0.2">
      <c r="A113" s="2"/>
      <c r="C113" s="20"/>
      <c r="D113" s="24"/>
      <c r="E113" s="67"/>
      <c r="F113" s="67"/>
      <c r="G113" s="88"/>
      <c r="H113" s="7"/>
    </row>
    <row r="114" spans="1:8" x14ac:dyDescent="0.2">
      <c r="A114" s="2"/>
      <c r="C114" s="21"/>
      <c r="D114" s="24"/>
      <c r="E114" s="67"/>
      <c r="F114" s="67"/>
      <c r="G114" s="88"/>
      <c r="H114" s="7"/>
    </row>
    <row r="115" spans="1:8" x14ac:dyDescent="0.2">
      <c r="A115" s="2"/>
      <c r="C115" s="21"/>
      <c r="D115" s="24"/>
      <c r="E115" s="67"/>
      <c r="F115" s="67"/>
      <c r="G115" s="88"/>
      <c r="H115" s="7"/>
    </row>
    <row r="116" spans="1:8" x14ac:dyDescent="0.2">
      <c r="A116" s="2"/>
      <c r="C116" s="20"/>
      <c r="D116" s="24"/>
      <c r="E116" s="67"/>
      <c r="F116" s="67"/>
      <c r="G116" s="88"/>
      <c r="H116" s="7"/>
    </row>
    <row r="117" spans="1:8" x14ac:dyDescent="0.2">
      <c r="A117" s="2"/>
      <c r="C117" s="21"/>
      <c r="D117" s="24"/>
      <c r="E117" s="67"/>
      <c r="F117" s="67"/>
      <c r="G117" s="88"/>
      <c r="H117" s="7"/>
    </row>
    <row r="118" spans="1:8" x14ac:dyDescent="0.2">
      <c r="A118" s="2"/>
      <c r="C118" s="21"/>
      <c r="D118" s="24"/>
      <c r="E118" s="67"/>
      <c r="F118" s="67"/>
      <c r="G118" s="88"/>
      <c r="H118" s="7"/>
    </row>
    <row r="119" spans="1:8" x14ac:dyDescent="0.2">
      <c r="A119" s="2"/>
      <c r="C119" s="20"/>
      <c r="D119" s="24"/>
      <c r="E119" s="67"/>
      <c r="F119" s="67"/>
      <c r="G119" s="88"/>
      <c r="H119" s="7"/>
    </row>
    <row r="120" spans="1:8" x14ac:dyDescent="0.2">
      <c r="A120" s="2"/>
      <c r="C120" s="21"/>
      <c r="D120" s="24"/>
      <c r="E120" s="67"/>
      <c r="F120" s="67"/>
      <c r="G120" s="88"/>
      <c r="H120" s="7"/>
    </row>
    <row r="121" spans="1:8" x14ac:dyDescent="0.2">
      <c r="A121" s="2"/>
      <c r="C121" s="21"/>
      <c r="D121" s="24"/>
      <c r="E121" s="67"/>
      <c r="F121" s="67"/>
      <c r="G121" s="88"/>
      <c r="H121" s="7"/>
    </row>
    <row r="122" spans="1:8" x14ac:dyDescent="0.2">
      <c r="A122" s="2"/>
      <c r="C122" s="20"/>
      <c r="D122" s="24"/>
      <c r="E122" s="67"/>
      <c r="F122" s="67"/>
      <c r="G122" s="88"/>
      <c r="H122" s="7"/>
    </row>
    <row r="123" spans="1:8" x14ac:dyDescent="0.2">
      <c r="A123" s="2"/>
      <c r="C123" s="20"/>
      <c r="D123" s="24"/>
      <c r="E123" s="67"/>
      <c r="F123" s="67"/>
      <c r="G123" s="88"/>
      <c r="H123" s="7"/>
    </row>
    <row r="124" spans="1:8" x14ac:dyDescent="0.2">
      <c r="A124" s="2"/>
      <c r="C124" s="21"/>
      <c r="D124" s="24"/>
      <c r="E124" s="67"/>
      <c r="F124" s="67"/>
      <c r="G124" s="88"/>
      <c r="H124" s="59"/>
    </row>
    <row r="125" spans="1:8" x14ac:dyDescent="0.2">
      <c r="A125" s="2"/>
      <c r="E125" s="14"/>
      <c r="F125" s="14"/>
      <c r="G125" s="14"/>
      <c r="H125" s="7"/>
    </row>
    <row r="126" spans="1:8" x14ac:dyDescent="0.2">
      <c r="A126" s="2"/>
      <c r="C126" s="21"/>
      <c r="D126" s="24"/>
      <c r="E126" s="14"/>
      <c r="F126" s="169"/>
      <c r="G126" s="88"/>
      <c r="H126" s="80"/>
    </row>
    <row r="127" spans="1:8" x14ac:dyDescent="0.2">
      <c r="A127" s="2"/>
      <c r="B127" s="1"/>
      <c r="C127" s="21"/>
      <c r="D127" s="24"/>
      <c r="E127" s="14"/>
      <c r="F127" s="169"/>
      <c r="G127" s="88"/>
      <c r="H127" s="80"/>
    </row>
    <row r="128" spans="1:8" x14ac:dyDescent="0.2">
      <c r="A128" s="55"/>
      <c r="B128" s="1"/>
      <c r="C128" s="21"/>
      <c r="D128" s="24"/>
      <c r="E128" s="14"/>
      <c r="F128" s="169"/>
      <c r="G128" s="88"/>
      <c r="H128" s="80"/>
    </row>
    <row r="129" spans="1:10" x14ac:dyDescent="0.2">
      <c r="A129" s="2"/>
      <c r="C129" s="21"/>
      <c r="D129" s="100"/>
      <c r="E129" s="67"/>
      <c r="F129" s="170"/>
      <c r="G129" s="88"/>
      <c r="H129" s="80"/>
    </row>
    <row r="130" spans="1:10" x14ac:dyDescent="0.2">
      <c r="A130" s="2"/>
      <c r="C130" s="21"/>
      <c r="D130" s="37"/>
      <c r="E130" s="67"/>
      <c r="F130" s="170"/>
      <c r="G130" s="88"/>
      <c r="H130" s="80"/>
    </row>
    <row r="131" spans="1:10" x14ac:dyDescent="0.2">
      <c r="A131" s="2"/>
      <c r="C131" s="21"/>
      <c r="D131" s="37"/>
      <c r="E131" s="59"/>
      <c r="F131" s="139"/>
      <c r="G131" s="88"/>
      <c r="H131" s="80"/>
    </row>
    <row r="132" spans="1:10" x14ac:dyDescent="0.2">
      <c r="A132" s="2"/>
      <c r="C132" s="21"/>
      <c r="D132" s="100"/>
      <c r="E132" s="7"/>
      <c r="F132" s="80"/>
      <c r="G132" s="88"/>
      <c r="H132" s="80"/>
    </row>
    <row r="133" spans="1:10" x14ac:dyDescent="0.2">
      <c r="A133" s="2"/>
      <c r="C133" s="21"/>
      <c r="D133" s="24"/>
      <c r="F133" s="80"/>
      <c r="G133" s="88"/>
      <c r="H133" s="80"/>
    </row>
    <row r="134" spans="1:10" x14ac:dyDescent="0.2">
      <c r="A134" s="2"/>
    </row>
    <row r="135" spans="1:10" x14ac:dyDescent="0.2">
      <c r="A135" s="2"/>
    </row>
    <row r="136" spans="1:10" x14ac:dyDescent="0.2">
      <c r="A136" s="2"/>
    </row>
    <row r="137" spans="1:10" x14ac:dyDescent="0.2">
      <c r="A137" s="2"/>
      <c r="B137" s="1"/>
    </row>
    <row r="138" spans="1:10" x14ac:dyDescent="0.2">
      <c r="A138" s="2"/>
      <c r="B138" s="12"/>
    </row>
    <row r="139" spans="1:10" x14ac:dyDescent="0.2">
      <c r="A139" s="2"/>
      <c r="B139" s="12"/>
    </row>
    <row r="140" spans="1:10" x14ac:dyDescent="0.2">
      <c r="A140" s="2"/>
      <c r="B140" s="12"/>
    </row>
    <row r="141" spans="1:10" x14ac:dyDescent="0.2">
      <c r="A141" s="2"/>
    </row>
    <row r="142" spans="1:10" x14ac:dyDescent="0.2">
      <c r="A142" s="2"/>
      <c r="B142" s="1"/>
    </row>
    <row r="143" spans="1:10" x14ac:dyDescent="0.2">
      <c r="A143" s="2"/>
    </row>
    <row r="144" spans="1:10" x14ac:dyDescent="0.2">
      <c r="A144" s="55"/>
      <c r="C144" s="25"/>
      <c r="D144" s="3"/>
      <c r="G144" s="14"/>
      <c r="H144" s="14"/>
      <c r="I144" s="14"/>
      <c r="J144" s="14"/>
    </row>
    <row r="145" spans="1:10" x14ac:dyDescent="0.2">
      <c r="A145" s="2"/>
      <c r="C145" s="20"/>
      <c r="D145" s="167"/>
      <c r="F145" s="8"/>
      <c r="G145" s="14"/>
      <c r="H145" s="14"/>
      <c r="I145" s="14"/>
      <c r="J145" s="14"/>
    </row>
    <row r="146" spans="1:10" x14ac:dyDescent="0.2">
      <c r="A146" s="2"/>
      <c r="C146" s="21"/>
      <c r="D146" s="167"/>
      <c r="F146" s="8"/>
      <c r="G146" s="14"/>
      <c r="H146" s="14"/>
      <c r="I146" s="14"/>
      <c r="J146" s="14"/>
    </row>
    <row r="147" spans="1:10" x14ac:dyDescent="0.2">
      <c r="A147" s="2"/>
      <c r="C147" s="21"/>
      <c r="D147" s="167"/>
      <c r="F147" s="8"/>
      <c r="G147" s="14"/>
      <c r="H147" s="14"/>
      <c r="I147" s="14"/>
      <c r="J147" s="14"/>
    </row>
    <row r="148" spans="1:10" x14ac:dyDescent="0.2">
      <c r="A148" s="2"/>
      <c r="C148" s="20"/>
      <c r="D148" s="167"/>
      <c r="F148" s="8"/>
      <c r="G148" s="14"/>
      <c r="H148" s="14"/>
      <c r="I148" s="14"/>
      <c r="J148" s="14"/>
    </row>
    <row r="149" spans="1:10" x14ac:dyDescent="0.2">
      <c r="A149" s="2"/>
      <c r="C149" s="21"/>
      <c r="D149" s="167"/>
      <c r="F149" s="8"/>
      <c r="G149" s="14"/>
      <c r="H149" s="14"/>
      <c r="I149" s="14"/>
      <c r="J149" s="14"/>
    </row>
    <row r="150" spans="1:10" x14ac:dyDescent="0.2">
      <c r="A150" s="2"/>
      <c r="C150" s="21"/>
      <c r="D150" s="167"/>
      <c r="F150" s="8"/>
      <c r="G150" s="14"/>
      <c r="H150" s="14"/>
      <c r="I150" s="14"/>
      <c r="J150" s="14"/>
    </row>
    <row r="151" spans="1:10" x14ac:dyDescent="0.2">
      <c r="A151" s="2"/>
      <c r="C151" s="20"/>
      <c r="D151" s="167"/>
      <c r="F151" s="8"/>
      <c r="G151" s="14"/>
      <c r="H151" s="14"/>
      <c r="I151" s="14"/>
      <c r="J151" s="14"/>
    </row>
    <row r="152" spans="1:10" x14ac:dyDescent="0.2">
      <c r="A152" s="2"/>
      <c r="C152" s="21"/>
      <c r="D152" s="167"/>
      <c r="F152" s="8"/>
      <c r="G152" s="14"/>
      <c r="H152" s="14"/>
      <c r="I152" s="14"/>
      <c r="J152" s="14"/>
    </row>
    <row r="153" spans="1:10" x14ac:dyDescent="0.2">
      <c r="A153" s="2"/>
      <c r="C153" s="21"/>
      <c r="D153" s="167"/>
      <c r="F153" s="8"/>
      <c r="G153" s="14"/>
      <c r="H153" s="14"/>
      <c r="I153" s="14"/>
      <c r="J153" s="14"/>
    </row>
    <row r="154" spans="1:10" x14ac:dyDescent="0.2">
      <c r="A154" s="2"/>
      <c r="C154" s="20"/>
      <c r="D154" s="167"/>
      <c r="F154" s="8"/>
      <c r="G154" s="14"/>
      <c r="H154" s="14"/>
      <c r="I154" s="14"/>
      <c r="J154" s="14"/>
    </row>
    <row r="155" spans="1:10" x14ac:dyDescent="0.2">
      <c r="A155" s="2"/>
      <c r="C155" s="20"/>
      <c r="D155" s="167"/>
      <c r="F155" s="8"/>
    </row>
    <row r="156" spans="1:10" x14ac:dyDescent="0.2">
      <c r="A156" s="2"/>
      <c r="C156" s="21"/>
      <c r="D156" s="168"/>
      <c r="F156" s="96"/>
    </row>
    <row r="157" spans="1:10" x14ac:dyDescent="0.2">
      <c r="A157" s="2"/>
      <c r="C157" s="34"/>
      <c r="D157" s="167"/>
    </row>
  </sheetData>
  <phoneticPr fontId="8" type="noConversion"/>
  <pageMargins left="0.75" right="0.75" top="1" bottom="1" header="0.5" footer="0.5"/>
  <pageSetup scale="90" orientation="landscape" r:id="rId1"/>
  <headerFooter alignWithMargins="0">
    <oddHeader>&amp;CSchedule 4
True Up Prior Year TRR&amp;RDkt. No. ER11-3697
2014 Draft Informational Filing</oddHeader>
    <oddFooter>&amp;R&amp;A</oddFooter>
  </headerFooter>
  <rowBreaks count="3" manualBreakCount="3">
    <brk id="29" max="9" man="1"/>
    <brk id="104" max="9" man="1"/>
    <brk id="1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opLeftCell="F1" zoomScaleNormal="100" workbookViewId="0">
      <selection activeCell="J68" sqref="J68"/>
    </sheetView>
  </sheetViews>
  <sheetFormatPr defaultRowHeight="12.75" x14ac:dyDescent="0.2"/>
  <cols>
    <col min="1" max="1" width="4.7109375" customWidth="1"/>
    <col min="2" max="2" width="3.7109375" customWidth="1"/>
    <col min="4" max="4" width="13.7109375" customWidth="1"/>
    <col min="6" max="7" width="10.7109375" customWidth="1"/>
    <col min="9" max="9" width="27.7109375" customWidth="1"/>
    <col min="10" max="10" width="30.7109375" customWidth="1"/>
    <col min="11" max="11" width="2.7109375" customWidth="1"/>
    <col min="12" max="12" width="16.7109375" customWidth="1"/>
    <col min="13" max="13" width="1.7109375" customWidth="1"/>
    <col min="14" max="14" width="4.7109375" style="14" customWidth="1"/>
    <col min="15" max="28" width="14.7109375" style="14" customWidth="1"/>
  </cols>
  <sheetData>
    <row r="1" spans="1:28" x14ac:dyDescent="0.2">
      <c r="A1" s="1" t="s">
        <v>26</v>
      </c>
      <c r="J1" s="113" t="s">
        <v>351</v>
      </c>
      <c r="K1" s="14"/>
      <c r="L1" s="14"/>
    </row>
    <row r="2" spans="1:28" x14ac:dyDescent="0.2">
      <c r="B2" s="1"/>
    </row>
    <row r="3" spans="1:28" x14ac:dyDescent="0.2">
      <c r="B3" s="1"/>
      <c r="I3" s="812"/>
      <c r="J3" s="812" t="s">
        <v>197</v>
      </c>
      <c r="L3" s="290">
        <v>2012</v>
      </c>
    </row>
    <row r="4" spans="1:28" x14ac:dyDescent="0.2">
      <c r="I4" s="3" t="s">
        <v>196</v>
      </c>
      <c r="J4" s="3" t="s">
        <v>198</v>
      </c>
      <c r="L4" s="3" t="s">
        <v>199</v>
      </c>
    </row>
    <row r="6" spans="1:28" x14ac:dyDescent="0.2">
      <c r="A6" s="10" t="s">
        <v>205</v>
      </c>
      <c r="B6" s="142"/>
      <c r="C6" s="11"/>
      <c r="D6" s="11"/>
      <c r="E6" s="11"/>
      <c r="F6" s="11"/>
      <c r="G6" s="11"/>
      <c r="H6" s="11"/>
      <c r="I6" s="9"/>
      <c r="J6" s="9"/>
      <c r="K6" s="9"/>
      <c r="L6" s="9"/>
      <c r="N6" s="826"/>
      <c r="O6" s="827"/>
      <c r="P6" s="827"/>
      <c r="Q6" s="827"/>
      <c r="R6" s="827"/>
      <c r="S6" s="827"/>
      <c r="T6" s="827"/>
    </row>
    <row r="7" spans="1:28" x14ac:dyDescent="0.2">
      <c r="B7" s="45"/>
      <c r="C7" s="685"/>
      <c r="D7" s="685"/>
      <c r="E7" s="685"/>
      <c r="F7" s="685"/>
      <c r="G7" s="685"/>
      <c r="H7" s="685"/>
      <c r="I7" s="685"/>
      <c r="J7" s="685"/>
      <c r="K7" s="685"/>
      <c r="L7" s="685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</row>
    <row r="8" spans="1:28" x14ac:dyDescent="0.2">
      <c r="A8" s="55" t="s">
        <v>369</v>
      </c>
      <c r="B8" s="45"/>
      <c r="C8" s="46" t="s">
        <v>310</v>
      </c>
      <c r="D8" s="685"/>
      <c r="E8" s="685"/>
      <c r="F8" s="685"/>
      <c r="G8" s="685"/>
      <c r="H8" s="685"/>
      <c r="I8" s="685"/>
      <c r="J8" s="683"/>
      <c r="K8" s="685"/>
      <c r="L8" s="685"/>
      <c r="N8" s="828"/>
      <c r="O8" s="90"/>
      <c r="P8" s="829"/>
      <c r="Q8" s="788"/>
      <c r="R8" s="788"/>
      <c r="S8" s="788"/>
      <c r="T8" s="788"/>
      <c r="U8" s="788"/>
      <c r="V8" s="788"/>
      <c r="W8" s="788"/>
      <c r="X8" s="788"/>
      <c r="Y8" s="788"/>
      <c r="Z8" s="788"/>
      <c r="AA8" s="788"/>
      <c r="AB8" s="788"/>
    </row>
    <row r="9" spans="1:28" x14ac:dyDescent="0.2">
      <c r="A9" s="131">
        <v>1</v>
      </c>
      <c r="B9" s="45"/>
      <c r="C9" s="685" t="s">
        <v>236</v>
      </c>
      <c r="D9" s="685"/>
      <c r="E9" s="685"/>
      <c r="F9" s="685"/>
      <c r="G9" s="685"/>
      <c r="H9" s="685"/>
      <c r="I9" s="685" t="s">
        <v>2047</v>
      </c>
      <c r="J9" s="682" t="str">
        <f>"ROR-2 WS, Line "&amp;'ROR-2'!A8&amp;""</f>
        <v>ROR-2 WS, Line 1</v>
      </c>
      <c r="K9" s="685"/>
      <c r="L9" s="700">
        <f>'ROR-2'!C8</f>
        <v>8622092307.6923084</v>
      </c>
      <c r="N9" s="131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</row>
    <row r="10" spans="1:28" x14ac:dyDescent="0.2">
      <c r="A10" s="812">
        <f>A9+1</f>
        <v>2</v>
      </c>
      <c r="B10" s="45"/>
      <c r="C10" s="685" t="s">
        <v>237</v>
      </c>
      <c r="D10" s="685"/>
      <c r="E10" s="685"/>
      <c r="F10" s="685"/>
      <c r="G10" s="685"/>
      <c r="H10" s="685"/>
      <c r="I10" s="685" t="s">
        <v>2048</v>
      </c>
      <c r="J10" s="682" t="str">
        <f>"ROR-2 WS, Line "&amp;'ROR-2'!A10&amp;""</f>
        <v>ROR-2 WS, Line 2</v>
      </c>
      <c r="K10" s="685"/>
      <c r="L10" s="700">
        <f>'ROR-2'!C10</f>
        <v>-160540000</v>
      </c>
      <c r="N10" s="131"/>
      <c r="O10" s="700"/>
      <c r="P10" s="700"/>
      <c r="Q10" s="700"/>
      <c r="R10" s="700"/>
      <c r="S10" s="700"/>
      <c r="T10" s="700"/>
      <c r="U10" s="700"/>
      <c r="V10" s="700"/>
      <c r="W10" s="700"/>
      <c r="X10" s="700"/>
      <c r="Y10" s="700"/>
      <c r="Z10" s="700"/>
      <c r="AA10" s="700"/>
      <c r="AB10" s="700"/>
    </row>
    <row r="11" spans="1:28" x14ac:dyDescent="0.2">
      <c r="A11" s="812">
        <f>A10+1</f>
        <v>3</v>
      </c>
      <c r="B11" s="45"/>
      <c r="C11" s="685" t="s">
        <v>238</v>
      </c>
      <c r="D11" s="685"/>
      <c r="E11" s="685"/>
      <c r="F11" s="685"/>
      <c r="G11" s="685"/>
      <c r="H11" s="685"/>
      <c r="I11" s="685" t="s">
        <v>2047</v>
      </c>
      <c r="J11" s="682" t="str">
        <f>"ROR-2 WS, Line "&amp;'ROR-2'!A12&amp;""</f>
        <v>ROR-2 WS, Line 3</v>
      </c>
      <c r="K11" s="685"/>
      <c r="L11" s="700">
        <f>'ROR-2'!C12</f>
        <v>306872047.30769229</v>
      </c>
      <c r="N11" s="131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0"/>
      <c r="Z11" s="700"/>
      <c r="AA11" s="700"/>
      <c r="AB11" s="700"/>
    </row>
    <row r="12" spans="1:28" x14ac:dyDescent="0.2">
      <c r="A12" s="812">
        <f>A11+1</f>
        <v>4</v>
      </c>
      <c r="B12" s="45"/>
      <c r="C12" s="685" t="s">
        <v>431</v>
      </c>
      <c r="D12" s="685"/>
      <c r="E12" s="685"/>
      <c r="F12" s="685"/>
      <c r="G12" s="685"/>
      <c r="H12" s="685"/>
      <c r="I12" s="685" t="s">
        <v>2047</v>
      </c>
      <c r="J12" s="682" t="str">
        <f>"ROR-2 WS, Line "&amp;'ROR-2'!A14&amp;""</f>
        <v>ROR-2 WS, Line 4</v>
      </c>
      <c r="K12" s="685"/>
      <c r="L12" s="700">
        <f>'ROR-2'!C14</f>
        <v>0</v>
      </c>
      <c r="N12" s="131"/>
      <c r="O12" s="700"/>
      <c r="P12" s="700"/>
      <c r="Q12" s="700"/>
      <c r="R12" s="700"/>
      <c r="S12" s="700"/>
      <c r="T12" s="700"/>
      <c r="U12" s="700"/>
      <c r="V12" s="700"/>
      <c r="W12" s="700"/>
      <c r="X12" s="700"/>
      <c r="Y12" s="700"/>
      <c r="Z12" s="700"/>
      <c r="AA12" s="700"/>
      <c r="AB12" s="700"/>
    </row>
    <row r="13" spans="1:28" x14ac:dyDescent="0.2">
      <c r="A13" s="812">
        <f>A12+1</f>
        <v>5</v>
      </c>
      <c r="B13" s="45"/>
      <c r="C13" s="685" t="s">
        <v>52</v>
      </c>
      <c r="D13" s="685"/>
      <c r="E13" s="685"/>
      <c r="F13" s="685"/>
      <c r="G13" s="685"/>
      <c r="H13" s="685"/>
      <c r="I13" s="685" t="s">
        <v>2048</v>
      </c>
      <c r="J13" s="682" t="str">
        <f>"ROR-2 WS, Line "&amp;'ROR-2'!A16&amp;""</f>
        <v>ROR-2 WS, Line 5</v>
      </c>
      <c r="K13" s="685"/>
      <c r="L13" s="700">
        <f>'ROR-2'!C16</f>
        <v>-32396369.076923076</v>
      </c>
      <c r="N13" s="131"/>
      <c r="O13" s="700"/>
      <c r="P13" s="700"/>
      <c r="Q13" s="700"/>
      <c r="R13" s="700"/>
      <c r="S13" s="700"/>
      <c r="T13" s="700"/>
      <c r="U13" s="700"/>
      <c r="V13" s="700"/>
      <c r="W13" s="700"/>
      <c r="X13" s="700"/>
      <c r="Y13" s="700"/>
      <c r="Z13" s="700"/>
      <c r="AA13" s="700"/>
      <c r="AB13" s="700"/>
    </row>
    <row r="14" spans="1:28" x14ac:dyDescent="0.2">
      <c r="A14" s="812">
        <f t="shared" ref="A14:A20" si="0">A13+1</f>
        <v>6</v>
      </c>
      <c r="B14" s="45"/>
      <c r="C14" s="685" t="s">
        <v>1408</v>
      </c>
      <c r="D14" s="685"/>
      <c r="E14" s="685"/>
      <c r="F14" s="685"/>
      <c r="G14" s="685"/>
      <c r="H14" s="685"/>
      <c r="I14" s="685" t="s">
        <v>2048</v>
      </c>
      <c r="J14" s="682" t="str">
        <f>"ROR-2 WS, Line "&amp;'ROR-2'!A18&amp;""</f>
        <v>ROR-2 WS, Line 6</v>
      </c>
      <c r="K14" s="685"/>
      <c r="L14" s="700">
        <f>'ROR-2'!C18</f>
        <v>-65904631.230769232</v>
      </c>
      <c r="N14" s="131"/>
      <c r="O14" s="700"/>
      <c r="P14" s="700"/>
      <c r="Q14" s="700"/>
      <c r="R14" s="700"/>
      <c r="S14" s="700"/>
      <c r="T14" s="700"/>
      <c r="U14" s="700"/>
      <c r="V14" s="700"/>
      <c r="W14" s="700"/>
      <c r="X14" s="700"/>
      <c r="Y14" s="700"/>
      <c r="Z14" s="700"/>
      <c r="AA14" s="700"/>
      <c r="AB14" s="700"/>
    </row>
    <row r="15" spans="1:28" x14ac:dyDescent="0.2">
      <c r="A15" s="812">
        <f t="shared" si="0"/>
        <v>7</v>
      </c>
      <c r="B15" s="45"/>
      <c r="C15" s="685" t="s">
        <v>1409</v>
      </c>
      <c r="D15" s="685"/>
      <c r="E15" s="685"/>
      <c r="F15" s="685"/>
      <c r="G15" s="685"/>
      <c r="H15" s="685"/>
      <c r="I15" s="685" t="s">
        <v>2048</v>
      </c>
      <c r="J15" s="682" t="str">
        <f>"ROR-2 WS, Line "&amp;'ROR-2'!A20&amp;""</f>
        <v>ROR-2 WS, Line 7</v>
      </c>
      <c r="K15" s="685"/>
      <c r="L15" s="700">
        <f>'ROR-2'!C20</f>
        <v>-238414184.07692307</v>
      </c>
      <c r="N15" s="131"/>
      <c r="O15" s="700"/>
      <c r="P15" s="700"/>
      <c r="Q15" s="700"/>
      <c r="R15" s="700"/>
      <c r="S15" s="700"/>
      <c r="T15" s="700"/>
      <c r="U15" s="700"/>
      <c r="V15" s="700"/>
      <c r="W15" s="700"/>
      <c r="X15" s="700"/>
      <c r="Y15" s="700"/>
      <c r="Z15" s="700"/>
      <c r="AA15" s="700"/>
      <c r="AB15" s="700"/>
    </row>
    <row r="16" spans="1:28" x14ac:dyDescent="0.2">
      <c r="A16" s="812">
        <f t="shared" si="0"/>
        <v>8</v>
      </c>
      <c r="B16" s="45"/>
      <c r="C16" s="685" t="s">
        <v>297</v>
      </c>
      <c r="D16" s="685"/>
      <c r="E16" s="685"/>
      <c r="F16" s="685"/>
      <c r="G16" s="685"/>
      <c r="H16" s="685"/>
      <c r="I16" s="685"/>
      <c r="J16" s="682" t="str">
        <f>"BaseTRR WS, Line "&amp;BaseTRR!A102&amp;""</f>
        <v>BaseTRR WS, Line 58</v>
      </c>
      <c r="K16" s="685"/>
      <c r="L16" s="702">
        <f>BaseTRR!K102</f>
        <v>0.39936028204298801</v>
      </c>
      <c r="O16" s="700"/>
    </row>
    <row r="17" spans="1:28" x14ac:dyDescent="0.2">
      <c r="A17" s="812">
        <f t="shared" si="0"/>
        <v>9</v>
      </c>
      <c r="B17" s="45"/>
      <c r="C17" s="685" t="s">
        <v>1410</v>
      </c>
      <c r="D17" s="685"/>
      <c r="E17" s="685"/>
      <c r="F17" s="685"/>
      <c r="G17" s="685"/>
      <c r="H17" s="685"/>
      <c r="I17" s="685"/>
      <c r="J17" s="682" t="str">
        <f>"Line "&amp;A15&amp;" * (1 - Line "&amp;A16&amp;")"</f>
        <v>Line 7 * (1 - Line 8)</v>
      </c>
      <c r="K17" s="685"/>
      <c r="L17" s="700">
        <f>L15*(1-L16)</f>
        <v>-143201028.28091422</v>
      </c>
      <c r="O17" s="700"/>
    </row>
    <row r="18" spans="1:28" x14ac:dyDescent="0.2">
      <c r="A18" s="812">
        <f t="shared" si="0"/>
        <v>10</v>
      </c>
      <c r="B18" s="45"/>
      <c r="C18" s="685" t="s">
        <v>1411</v>
      </c>
      <c r="D18" s="685"/>
      <c r="E18" s="685"/>
      <c r="F18" s="685"/>
      <c r="G18" s="685"/>
      <c r="H18" s="685"/>
      <c r="I18" s="685" t="s">
        <v>2048</v>
      </c>
      <c r="J18" s="682" t="str">
        <f>"ROR-2 WS, Line "&amp;'ROR-2'!A22&amp;""</f>
        <v>ROR-2 WS, Line 10</v>
      </c>
      <c r="K18" s="685"/>
      <c r="L18" s="700">
        <f>'ROR-2'!C22</f>
        <v>-400000000</v>
      </c>
      <c r="N18" s="131"/>
      <c r="O18" s="700"/>
      <c r="P18" s="700"/>
      <c r="Q18" s="700"/>
      <c r="R18" s="700"/>
      <c r="S18" s="700"/>
      <c r="T18" s="700"/>
      <c r="U18" s="700"/>
      <c r="V18" s="700"/>
      <c r="W18" s="700"/>
      <c r="X18" s="700"/>
      <c r="Y18" s="700"/>
      <c r="Z18" s="700"/>
      <c r="AA18" s="700"/>
      <c r="AB18" s="700"/>
    </row>
    <row r="19" spans="1:28" x14ac:dyDescent="0.2">
      <c r="A19" s="812">
        <f t="shared" si="0"/>
        <v>11</v>
      </c>
      <c r="B19" s="45"/>
      <c r="C19" s="685" t="s">
        <v>1412</v>
      </c>
      <c r="D19" s="685"/>
      <c r="E19" s="685"/>
      <c r="F19" s="685"/>
      <c r="G19" s="685"/>
      <c r="H19" s="685"/>
      <c r="I19" s="685"/>
      <c r="J19" s="682" t="str">
        <f>"ROR-2 WS, Line "&amp;'ROR-2'!A24&amp;""</f>
        <v>ROR-2 WS, Line 11</v>
      </c>
      <c r="K19" s="685"/>
      <c r="L19" s="700">
        <f>'ROR-2'!C24</f>
        <v>1461061.5384615385</v>
      </c>
      <c r="N19" s="131"/>
      <c r="O19" s="700"/>
      <c r="P19" s="700"/>
      <c r="Q19" s="700"/>
      <c r="R19" s="700"/>
      <c r="S19" s="700"/>
      <c r="T19" s="700"/>
      <c r="U19" s="700"/>
      <c r="V19" s="700"/>
      <c r="W19" s="700"/>
      <c r="X19" s="700"/>
      <c r="Y19" s="700"/>
      <c r="Z19" s="700"/>
      <c r="AA19" s="700"/>
      <c r="AB19" s="700"/>
    </row>
    <row r="20" spans="1:28" x14ac:dyDescent="0.2">
      <c r="A20" s="812">
        <f t="shared" si="0"/>
        <v>12</v>
      </c>
      <c r="B20" s="45"/>
      <c r="C20" s="682" t="s">
        <v>239</v>
      </c>
      <c r="D20" s="685"/>
      <c r="E20" s="685"/>
      <c r="F20" s="685"/>
      <c r="G20" s="685"/>
      <c r="H20" s="685"/>
      <c r="J20" s="682" t="str">
        <f>"L"&amp;A9&amp;" + L"&amp;A10&amp;" + L"&amp;A11&amp;" + L"&amp;A12&amp;" + L"&amp;A13&amp;" +"</f>
        <v>L1 + L2 + L3 + L4 + L5 +</v>
      </c>
      <c r="K20" s="685"/>
      <c r="L20" s="703">
        <f>SUM(L9:L14)+L17+L18+L19</f>
        <v>8128383387.9498539</v>
      </c>
    </row>
    <row r="21" spans="1:28" x14ac:dyDescent="0.2">
      <c r="B21" s="45"/>
      <c r="C21" s="685"/>
      <c r="D21" s="685"/>
      <c r="E21" s="685"/>
      <c r="F21" s="685"/>
      <c r="G21" s="685"/>
      <c r="H21" s="685"/>
      <c r="I21" s="685"/>
      <c r="J21" s="682" t="str">
        <f>"L"&amp;A14&amp;" + L"&amp;A17&amp;" + L"&amp;A18&amp;" + L"&amp;A19&amp;""</f>
        <v>L6 + L9 + L10 + L11</v>
      </c>
      <c r="K21" s="685"/>
      <c r="L21" s="685"/>
    </row>
    <row r="22" spans="1:28" x14ac:dyDescent="0.2">
      <c r="A22" s="812"/>
      <c r="B22" s="45"/>
      <c r="C22" s="46" t="s">
        <v>311</v>
      </c>
      <c r="D22" s="685"/>
      <c r="E22" s="685"/>
      <c r="F22" s="685"/>
      <c r="G22" s="685"/>
      <c r="H22" s="685"/>
      <c r="I22" s="685"/>
      <c r="J22" s="682"/>
      <c r="K22" s="685"/>
      <c r="L22" s="685"/>
    </row>
    <row r="23" spans="1:28" x14ac:dyDescent="0.2">
      <c r="A23" s="812">
        <f>A20+1</f>
        <v>13</v>
      </c>
      <c r="B23" s="45"/>
      <c r="C23" s="685" t="s">
        <v>241</v>
      </c>
      <c r="D23" s="685"/>
      <c r="E23" s="685"/>
      <c r="F23" s="685"/>
      <c r="G23" s="685"/>
      <c r="H23" s="685"/>
      <c r="I23" s="685"/>
      <c r="J23" s="682" t="s">
        <v>425</v>
      </c>
      <c r="K23" s="685"/>
      <c r="L23" s="701">
        <v>439796519</v>
      </c>
    </row>
    <row r="24" spans="1:28" x14ac:dyDescent="0.2">
      <c r="A24" s="812">
        <f>A23+1</f>
        <v>14</v>
      </c>
      <c r="B24" s="45"/>
      <c r="C24" s="685" t="s">
        <v>240</v>
      </c>
      <c r="D24" s="685"/>
      <c r="E24" s="685"/>
      <c r="F24" s="685"/>
      <c r="G24" s="685"/>
      <c r="H24" s="685"/>
      <c r="I24" s="685"/>
      <c r="J24" s="682" t="s">
        <v>426</v>
      </c>
      <c r="K24" s="685"/>
      <c r="L24" s="701">
        <v>31015878</v>
      </c>
    </row>
    <row r="25" spans="1:28" x14ac:dyDescent="0.2">
      <c r="A25" s="812">
        <f t="shared" ref="A25:A30" si="1">A24+1</f>
        <v>15</v>
      </c>
      <c r="B25" s="45"/>
      <c r="C25" s="685" t="s">
        <v>242</v>
      </c>
      <c r="D25" s="685"/>
      <c r="E25" s="685"/>
      <c r="F25" s="685"/>
      <c r="G25" s="685"/>
      <c r="H25" s="685"/>
      <c r="I25" s="685"/>
      <c r="J25" s="682" t="s">
        <v>427</v>
      </c>
      <c r="K25" s="685"/>
      <c r="L25" s="701">
        <v>-9</v>
      </c>
    </row>
    <row r="26" spans="1:28" x14ac:dyDescent="0.2">
      <c r="A26" s="812">
        <f t="shared" si="1"/>
        <v>16</v>
      </c>
      <c r="B26" s="45"/>
      <c r="C26" s="685" t="s">
        <v>313</v>
      </c>
      <c r="D26" s="685"/>
      <c r="E26" s="685"/>
      <c r="F26" s="685"/>
      <c r="G26" s="685"/>
      <c r="H26" s="685"/>
      <c r="I26" s="685" t="s">
        <v>243</v>
      </c>
      <c r="J26" s="682" t="s">
        <v>428</v>
      </c>
      <c r="K26" s="685"/>
      <c r="L26" s="701">
        <v>0</v>
      </c>
    </row>
    <row r="27" spans="1:28" x14ac:dyDescent="0.2">
      <c r="A27" s="812">
        <f t="shared" si="1"/>
        <v>17</v>
      </c>
      <c r="B27" s="45"/>
      <c r="C27" s="685" t="s">
        <v>244</v>
      </c>
      <c r="D27" s="685"/>
      <c r="E27" s="685"/>
      <c r="F27" s="685"/>
      <c r="G27" s="685"/>
      <c r="H27" s="685"/>
      <c r="I27" s="685" t="s">
        <v>243</v>
      </c>
      <c r="J27" s="682" t="s">
        <v>429</v>
      </c>
      <c r="K27" s="685"/>
      <c r="L27" s="701">
        <v>0</v>
      </c>
    </row>
    <row r="28" spans="1:28" x14ac:dyDescent="0.2">
      <c r="A28" s="812">
        <f t="shared" si="1"/>
        <v>18</v>
      </c>
      <c r="B28" s="45"/>
      <c r="C28" s="685" t="s">
        <v>1413</v>
      </c>
      <c r="D28" s="685"/>
      <c r="E28" s="685"/>
      <c r="F28" s="685"/>
      <c r="G28" s="685"/>
      <c r="H28" s="685"/>
      <c r="I28" s="685" t="s">
        <v>243</v>
      </c>
      <c r="J28" s="682" t="s">
        <v>247</v>
      </c>
      <c r="K28" s="685"/>
      <c r="L28" s="725">
        <v>-11780017</v>
      </c>
    </row>
    <row r="29" spans="1:28" x14ac:dyDescent="0.2">
      <c r="A29" s="812">
        <f t="shared" si="1"/>
        <v>19</v>
      </c>
      <c r="B29" s="45"/>
      <c r="C29" s="685" t="s">
        <v>1414</v>
      </c>
      <c r="D29" s="685"/>
      <c r="E29" s="685"/>
      <c r="F29" s="685"/>
      <c r="G29" s="685"/>
      <c r="H29" s="685"/>
      <c r="I29" s="685"/>
      <c r="J29" s="682" t="s">
        <v>246</v>
      </c>
      <c r="K29" s="685"/>
      <c r="L29" s="800">
        <v>-662890</v>
      </c>
    </row>
    <row r="30" spans="1:28" x14ac:dyDescent="0.2">
      <c r="A30" s="812">
        <f t="shared" si="1"/>
        <v>20</v>
      </c>
      <c r="B30" s="45"/>
      <c r="C30" s="682" t="s">
        <v>293</v>
      </c>
      <c r="D30" s="685"/>
      <c r="E30" s="685"/>
      <c r="F30" s="685"/>
      <c r="G30" s="685"/>
      <c r="H30" s="685"/>
      <c r="J30" s="682" t="str">
        <f>"Sum of Lines "&amp;A23&amp;" to "&amp;A29&amp;""</f>
        <v>Sum of Lines 13 to 19</v>
      </c>
      <c r="K30" s="685"/>
      <c r="L30" s="703">
        <f>SUM(L23:L29)</f>
        <v>458369481</v>
      </c>
    </row>
    <row r="31" spans="1:28" x14ac:dyDescent="0.2">
      <c r="B31" s="45"/>
      <c r="C31" s="685"/>
      <c r="D31" s="685"/>
      <c r="E31" s="685"/>
      <c r="F31" s="685"/>
      <c r="G31" s="685"/>
      <c r="H31" s="685"/>
      <c r="I31" s="685"/>
      <c r="J31" s="682"/>
      <c r="K31" s="685"/>
      <c r="L31" s="685"/>
    </row>
    <row r="32" spans="1:28" x14ac:dyDescent="0.2">
      <c r="A32" s="812">
        <f>A30+1</f>
        <v>21</v>
      </c>
      <c r="B32" s="45"/>
      <c r="C32" s="685" t="s">
        <v>53</v>
      </c>
      <c r="D32" s="685"/>
      <c r="E32" s="685"/>
      <c r="F32" s="685"/>
      <c r="G32" s="685"/>
      <c r="H32" s="685"/>
      <c r="J32" s="682" t="str">
        <f>"Line "&amp;A30&amp;" / Line "&amp;A20&amp;""</f>
        <v>Line 20 / Line 12</v>
      </c>
      <c r="K32" s="685"/>
      <c r="L32" s="500">
        <f>L30/L20</f>
        <v>5.6391223091115814E-2</v>
      </c>
    </row>
    <row r="33" spans="1:28" x14ac:dyDescent="0.2">
      <c r="A33" s="812"/>
      <c r="B33" s="45"/>
      <c r="C33" s="685"/>
      <c r="D33" s="685"/>
      <c r="E33" s="685"/>
      <c r="F33" s="685"/>
      <c r="G33" s="685"/>
      <c r="H33" s="685"/>
      <c r="J33" s="682"/>
      <c r="K33" s="685"/>
      <c r="L33" s="500"/>
    </row>
    <row r="34" spans="1:28" x14ac:dyDescent="0.2">
      <c r="B34" s="45"/>
      <c r="C34" s="46" t="s">
        <v>1846</v>
      </c>
      <c r="D34" s="685"/>
      <c r="E34" s="685"/>
      <c r="F34" s="685"/>
      <c r="G34" s="685"/>
      <c r="H34" s="685"/>
      <c r="I34" s="685"/>
      <c r="J34" s="682"/>
      <c r="K34" s="685"/>
      <c r="L34" s="685"/>
    </row>
    <row r="35" spans="1:28" x14ac:dyDescent="0.2">
      <c r="A35" s="812">
        <f>A32+1</f>
        <v>22</v>
      </c>
      <c r="B35" s="45"/>
      <c r="C35" s="685" t="s">
        <v>54</v>
      </c>
      <c r="D35" s="685"/>
      <c r="E35" s="685"/>
      <c r="F35" s="685"/>
      <c r="G35" s="685"/>
      <c r="H35" s="685"/>
      <c r="I35" s="685" t="s">
        <v>2047</v>
      </c>
      <c r="J35" s="682" t="str">
        <f>"ROR-2 WS, Line "&amp;'ROR-2'!A26&amp;""</f>
        <v>ROR-2 WS, Line 22</v>
      </c>
      <c r="K35" s="685"/>
      <c r="L35" s="700">
        <f>'ROR-2'!C26</f>
        <v>1612297950</v>
      </c>
      <c r="N35" s="131"/>
      <c r="O35" s="700"/>
      <c r="P35" s="700"/>
      <c r="Q35" s="700"/>
      <c r="R35" s="700"/>
      <c r="S35" s="700"/>
      <c r="T35" s="700"/>
      <c r="U35" s="700"/>
      <c r="V35" s="700"/>
      <c r="W35" s="700"/>
      <c r="X35" s="700"/>
      <c r="Y35" s="700"/>
      <c r="Z35" s="700"/>
      <c r="AA35" s="700"/>
      <c r="AB35" s="700"/>
    </row>
    <row r="36" spans="1:28" x14ac:dyDescent="0.2">
      <c r="A36" s="812">
        <f t="shared" ref="A36:A37" si="2">A35+1</f>
        <v>23</v>
      </c>
      <c r="B36" s="45"/>
      <c r="C36" s="685" t="s">
        <v>1842</v>
      </c>
      <c r="D36" s="685"/>
      <c r="E36" s="685"/>
      <c r="F36" s="685"/>
      <c r="G36" s="685"/>
      <c r="H36" s="685"/>
      <c r="I36" s="685" t="s">
        <v>2047</v>
      </c>
      <c r="J36" s="682" t="str">
        <f>"ROR-2 WS, Line "&amp;'ROR-2'!A28&amp;""</f>
        <v>ROR-2 WS, Line 23</v>
      </c>
      <c r="K36" s="685"/>
      <c r="L36" s="700">
        <f>'ROR-2'!C28</f>
        <v>-22628839.46153846</v>
      </c>
      <c r="N36" s="131"/>
      <c r="O36" s="700"/>
      <c r="P36" s="700"/>
      <c r="Q36" s="700"/>
      <c r="R36" s="700"/>
      <c r="S36" s="700"/>
      <c r="T36" s="700"/>
      <c r="U36" s="700"/>
      <c r="V36" s="700"/>
      <c r="W36" s="700"/>
      <c r="X36" s="700"/>
      <c r="Y36" s="700"/>
      <c r="Z36" s="700"/>
      <c r="AA36" s="700"/>
      <c r="AB36" s="700"/>
    </row>
    <row r="37" spans="1:28" x14ac:dyDescent="0.2">
      <c r="A37" s="812">
        <f t="shared" si="2"/>
        <v>24</v>
      </c>
      <c r="B37" s="45"/>
      <c r="C37" s="685" t="s">
        <v>1415</v>
      </c>
      <c r="D37" s="685"/>
      <c r="E37" s="685"/>
      <c r="F37" s="685"/>
      <c r="G37" s="685"/>
      <c r="H37" s="685"/>
      <c r="I37" s="685" t="s">
        <v>2047</v>
      </c>
      <c r="J37" s="682" t="str">
        <f>"ROR-2 WS, Line "&amp;'ROR-2'!A30&amp;""</f>
        <v>ROR-2 WS, Line 24</v>
      </c>
      <c r="K37" s="685"/>
      <c r="L37" s="704">
        <f>'ROR-2'!C30</f>
        <v>-1560237</v>
      </c>
      <c r="N37" s="131"/>
      <c r="O37" s="700"/>
      <c r="P37" s="700"/>
      <c r="Q37" s="700"/>
      <c r="R37" s="700"/>
      <c r="S37" s="700"/>
      <c r="T37" s="700"/>
      <c r="U37" s="700"/>
      <c r="V37" s="700"/>
      <c r="W37" s="700"/>
      <c r="X37" s="700"/>
      <c r="Y37" s="700"/>
      <c r="Z37" s="700"/>
      <c r="AA37" s="700"/>
      <c r="AB37" s="700"/>
    </row>
    <row r="38" spans="1:28" x14ac:dyDescent="0.2">
      <c r="A38" s="812">
        <f>A37+1</f>
        <v>25</v>
      </c>
      <c r="B38" s="45"/>
      <c r="C38" s="682" t="s">
        <v>60</v>
      </c>
      <c r="D38" s="685"/>
      <c r="E38" s="685"/>
      <c r="F38" s="685"/>
      <c r="G38" s="685"/>
      <c r="H38" s="685"/>
      <c r="I38" s="685"/>
      <c r="J38" s="682" t="str">
        <f>"Sum of Lines "&amp;A35&amp;" to "&amp;A37&amp;""</f>
        <v>Sum of Lines 22 to 24</v>
      </c>
      <c r="K38" s="685"/>
      <c r="L38" s="700">
        <f>SUM(L35:L37)</f>
        <v>1588108873.5384614</v>
      </c>
    </row>
    <row r="39" spans="1:28" x14ac:dyDescent="0.2">
      <c r="A39" s="812"/>
      <c r="B39" s="45"/>
      <c r="C39" s="685"/>
      <c r="D39" s="685"/>
      <c r="E39" s="685"/>
      <c r="F39" s="685"/>
      <c r="G39" s="685"/>
      <c r="H39" s="685"/>
      <c r="I39" s="685"/>
      <c r="J39" s="682"/>
      <c r="K39" s="685"/>
      <c r="L39" s="700"/>
    </row>
    <row r="40" spans="1:28" x14ac:dyDescent="0.2">
      <c r="A40" s="812"/>
      <c r="B40" s="45"/>
      <c r="C40" s="46" t="s">
        <v>1847</v>
      </c>
      <c r="D40" s="685"/>
      <c r="E40" s="685"/>
      <c r="F40" s="685"/>
      <c r="G40" s="685"/>
      <c r="H40" s="685"/>
      <c r="I40" s="685"/>
      <c r="J40" s="682"/>
      <c r="K40" s="685"/>
      <c r="L40" s="700"/>
    </row>
    <row r="41" spans="1:28" x14ac:dyDescent="0.2">
      <c r="A41" s="812">
        <f>A38+1</f>
        <v>26</v>
      </c>
      <c r="B41" s="45"/>
      <c r="C41" s="685" t="s">
        <v>55</v>
      </c>
      <c r="D41" s="685"/>
      <c r="E41" s="685"/>
      <c r="F41" s="685"/>
      <c r="G41" s="685"/>
      <c r="H41" s="685"/>
      <c r="I41" s="685" t="s">
        <v>105</v>
      </c>
      <c r="J41" s="682" t="s">
        <v>430</v>
      </c>
      <c r="K41" s="685"/>
      <c r="L41" s="701">
        <v>91215826</v>
      </c>
    </row>
    <row r="42" spans="1:28" x14ac:dyDescent="0.2">
      <c r="A42" s="812">
        <f>A41+1</f>
        <v>27</v>
      </c>
      <c r="B42" s="45"/>
      <c r="C42" s="685" t="s">
        <v>1416</v>
      </c>
      <c r="D42" s="685"/>
      <c r="E42" s="685"/>
      <c r="F42" s="685"/>
      <c r="G42" s="685"/>
      <c r="H42" s="685"/>
      <c r="I42" s="685"/>
      <c r="J42" s="682" t="s">
        <v>328</v>
      </c>
      <c r="K42" s="685"/>
      <c r="L42" s="701">
        <v>205468</v>
      </c>
    </row>
    <row r="43" spans="1:28" x14ac:dyDescent="0.2">
      <c r="A43" s="812">
        <f>A42+1</f>
        <v>28</v>
      </c>
      <c r="B43" s="45"/>
      <c r="C43" s="685" t="s">
        <v>1417</v>
      </c>
      <c r="D43" s="685"/>
      <c r="E43" s="685"/>
      <c r="F43" s="685"/>
      <c r="G43" s="685"/>
      <c r="H43" s="685"/>
      <c r="I43" s="685"/>
      <c r="J43" s="682" t="s">
        <v>1130</v>
      </c>
      <c r="K43" s="685"/>
      <c r="L43" s="701">
        <v>1176575</v>
      </c>
    </row>
    <row r="44" spans="1:28" x14ac:dyDescent="0.2">
      <c r="A44" s="812">
        <f t="shared" ref="A44" si="3">A43+1</f>
        <v>29</v>
      </c>
      <c r="B44" s="45"/>
      <c r="C44" s="682" t="s">
        <v>55</v>
      </c>
      <c r="D44" s="685"/>
      <c r="E44" s="685"/>
      <c r="F44" s="685"/>
      <c r="G44" s="685"/>
      <c r="H44" s="685"/>
      <c r="J44" s="682" t="str">
        <f>"Sum of Lines "&amp;A41&amp;" to "&amp;A43&amp;""</f>
        <v>Sum of Lines 26 to 28</v>
      </c>
      <c r="K44" s="685"/>
      <c r="L44" s="703">
        <f>SUM(L41:L43)</f>
        <v>92597869</v>
      </c>
    </row>
    <row r="45" spans="1:28" x14ac:dyDescent="0.2">
      <c r="B45" s="45"/>
      <c r="C45" s="685"/>
      <c r="D45" s="685"/>
      <c r="E45" s="685"/>
      <c r="F45" s="685"/>
      <c r="G45" s="685"/>
      <c r="H45" s="685"/>
      <c r="I45" s="685"/>
      <c r="J45" s="682"/>
      <c r="K45" s="685"/>
      <c r="L45" s="700"/>
    </row>
    <row r="46" spans="1:28" x14ac:dyDescent="0.2">
      <c r="A46" s="812">
        <f>A44+1</f>
        <v>30</v>
      </c>
      <c r="B46" s="45"/>
      <c r="C46" s="685" t="s">
        <v>56</v>
      </c>
      <c r="D46" s="685"/>
      <c r="E46" s="685"/>
      <c r="F46" s="685"/>
      <c r="G46" s="685"/>
      <c r="H46" s="685"/>
      <c r="J46" s="682" t="str">
        <f>"Line "&amp;A44&amp;" / Line "&amp;A38&amp;""</f>
        <v>Line 29 / Line 25</v>
      </c>
      <c r="K46" s="685"/>
      <c r="L46" s="500">
        <f>L44/L38</f>
        <v>5.8307003092100934E-2</v>
      </c>
    </row>
    <row r="47" spans="1:28" x14ac:dyDescent="0.2">
      <c r="B47" s="45"/>
      <c r="C47" s="685"/>
      <c r="D47" s="685"/>
      <c r="E47" s="685"/>
      <c r="F47" s="685"/>
      <c r="G47" s="685"/>
      <c r="H47" s="685"/>
      <c r="I47" s="685"/>
      <c r="J47" s="682"/>
      <c r="K47" s="685"/>
      <c r="L47" s="685"/>
    </row>
    <row r="48" spans="1:28" x14ac:dyDescent="0.2">
      <c r="B48" s="45"/>
      <c r="C48" s="46" t="s">
        <v>312</v>
      </c>
      <c r="D48" s="685"/>
      <c r="E48" s="685"/>
      <c r="F48" s="685"/>
      <c r="G48" s="685"/>
      <c r="H48" s="685"/>
      <c r="I48" s="705"/>
      <c r="J48" s="682"/>
      <c r="K48" s="685"/>
      <c r="L48" s="685"/>
    </row>
    <row r="49" spans="1:28" x14ac:dyDescent="0.2">
      <c r="A49" s="812">
        <f>A46+1</f>
        <v>31</v>
      </c>
      <c r="B49" s="45"/>
      <c r="C49" s="685" t="s">
        <v>245</v>
      </c>
      <c r="D49" s="685"/>
      <c r="E49" s="685"/>
      <c r="F49" s="685"/>
      <c r="G49" s="685"/>
      <c r="H49" s="685"/>
      <c r="I49" s="685" t="s">
        <v>1841</v>
      </c>
      <c r="J49" s="682" t="str">
        <f>"ROR-2 WS, Line "&amp;'ROR-2'!A32&amp;""</f>
        <v>ROR-2 WS, Line 31</v>
      </c>
      <c r="K49" s="685"/>
      <c r="L49" s="700">
        <f>'ROR-2'!C32</f>
        <v>10815018382.76923</v>
      </c>
      <c r="N49" s="131"/>
      <c r="O49" s="700"/>
      <c r="P49" s="700"/>
      <c r="Q49" s="700"/>
      <c r="R49" s="700"/>
      <c r="S49" s="700"/>
      <c r="T49" s="700"/>
      <c r="U49" s="700"/>
      <c r="V49" s="700"/>
      <c r="W49" s="700"/>
      <c r="X49" s="700"/>
      <c r="Y49" s="700"/>
      <c r="Z49" s="700"/>
      <c r="AA49" s="700"/>
      <c r="AB49" s="700"/>
    </row>
    <row r="50" spans="1:28" x14ac:dyDescent="0.2">
      <c r="A50" s="812">
        <f>A49+1</f>
        <v>32</v>
      </c>
      <c r="B50" s="45"/>
      <c r="C50" s="685" t="s">
        <v>58</v>
      </c>
      <c r="D50" s="685"/>
      <c r="E50" s="685"/>
      <c r="F50" s="685"/>
      <c r="G50" s="685"/>
      <c r="H50" s="685"/>
      <c r="I50" s="685" t="str">
        <f>"Same as L "&amp;A35&amp;", but negative"</f>
        <v>Same as L 22, but negative</v>
      </c>
      <c r="J50" s="682" t="str">
        <f>"ROR-2 WS, Line "&amp;'ROR-2'!A26&amp;""</f>
        <v>ROR-2 WS, Line 22</v>
      </c>
      <c r="K50" s="685"/>
      <c r="L50" s="700">
        <f>-'ROR-2'!C26</f>
        <v>-1612297950</v>
      </c>
      <c r="N50" s="131"/>
      <c r="O50" s="700"/>
      <c r="P50" s="700"/>
      <c r="Q50" s="700"/>
      <c r="R50" s="700"/>
      <c r="S50" s="700"/>
      <c r="T50" s="700"/>
      <c r="U50" s="700"/>
      <c r="V50" s="700"/>
      <c r="W50" s="700"/>
      <c r="X50" s="700"/>
      <c r="Y50" s="700"/>
      <c r="Z50" s="700"/>
      <c r="AA50" s="700"/>
      <c r="AB50" s="700"/>
    </row>
    <row r="51" spans="1:28" x14ac:dyDescent="0.2">
      <c r="A51" s="812">
        <f t="shared" ref="A51:A53" si="4">A50+1</f>
        <v>33</v>
      </c>
      <c r="B51" s="45"/>
      <c r="C51" s="685" t="s">
        <v>1843</v>
      </c>
      <c r="D51" s="685"/>
      <c r="E51" s="685"/>
      <c r="F51" s="685"/>
      <c r="G51" s="685"/>
      <c r="H51" s="685"/>
      <c r="I51" s="685" t="str">
        <f>"Same as L "&amp;A37&amp;", but reverse sign"</f>
        <v>Same as L 24, but reverse sign</v>
      </c>
      <c r="J51" s="682" t="s">
        <v>1131</v>
      </c>
      <c r="K51" s="685"/>
      <c r="L51" s="700">
        <f>-L37</f>
        <v>1560237</v>
      </c>
      <c r="N51" s="131"/>
      <c r="O51" s="700"/>
      <c r="P51" s="700"/>
      <c r="Q51" s="700"/>
      <c r="R51" s="700"/>
      <c r="S51" s="700"/>
      <c r="T51" s="700"/>
      <c r="U51" s="700"/>
      <c r="V51" s="700"/>
      <c r="W51" s="700"/>
      <c r="X51" s="700"/>
      <c r="Y51" s="700"/>
      <c r="Z51" s="700"/>
      <c r="AA51" s="700"/>
      <c r="AB51" s="700"/>
    </row>
    <row r="52" spans="1:28" x14ac:dyDescent="0.2">
      <c r="A52" s="812">
        <f t="shared" si="4"/>
        <v>34</v>
      </c>
      <c r="B52" s="45"/>
      <c r="C52" s="685" t="s">
        <v>1844</v>
      </c>
      <c r="D52" s="685"/>
      <c r="E52" s="685"/>
      <c r="F52" s="685"/>
      <c r="G52" s="685"/>
      <c r="H52" s="685"/>
      <c r="I52" s="685" t="s">
        <v>2048</v>
      </c>
      <c r="J52" s="682" t="str">
        <f>"ROR-2 WS, Line "&amp;'ROR-2'!A34&amp;""</f>
        <v>ROR-2 WS, Line 34</v>
      </c>
      <c r="K52" s="685"/>
      <c r="L52" s="700">
        <f>'ROR-2'!C34</f>
        <v>-4255833.769230769</v>
      </c>
      <c r="N52" s="131"/>
      <c r="O52" s="700"/>
      <c r="P52" s="700"/>
      <c r="Q52" s="700"/>
      <c r="R52" s="700"/>
      <c r="S52" s="700"/>
      <c r="T52" s="700"/>
      <c r="U52" s="700"/>
      <c r="V52" s="700"/>
      <c r="W52" s="700"/>
      <c r="X52" s="700"/>
      <c r="Y52" s="700"/>
      <c r="Z52" s="700"/>
      <c r="AA52" s="700"/>
      <c r="AB52" s="700"/>
    </row>
    <row r="53" spans="1:28" x14ac:dyDescent="0.2">
      <c r="A53" s="812">
        <f t="shared" si="4"/>
        <v>35</v>
      </c>
      <c r="B53" s="45"/>
      <c r="C53" s="685" t="s">
        <v>1845</v>
      </c>
      <c r="D53" s="685"/>
      <c r="E53" s="685"/>
      <c r="F53" s="685"/>
      <c r="G53" s="685"/>
      <c r="H53" s="685"/>
      <c r="I53" s="685" t="s">
        <v>2049</v>
      </c>
      <c r="J53" s="682" t="str">
        <f>"ROR-2 WS, Line "&amp;'ROR-2'!A36&amp;""</f>
        <v>ROR-2 WS, Line 35</v>
      </c>
      <c r="K53" s="685"/>
      <c r="L53" s="700">
        <f>'ROR-2'!C36</f>
        <v>23754818.53846154</v>
      </c>
      <c r="N53" s="131"/>
      <c r="O53" s="700"/>
      <c r="P53" s="700"/>
      <c r="Q53" s="700"/>
      <c r="R53" s="700"/>
      <c r="S53" s="700"/>
      <c r="T53" s="700"/>
      <c r="U53" s="700"/>
      <c r="V53" s="700"/>
      <c r="W53" s="700"/>
      <c r="X53" s="700"/>
      <c r="Y53" s="700"/>
      <c r="Z53" s="700"/>
      <c r="AA53" s="700"/>
      <c r="AB53" s="700"/>
    </row>
    <row r="54" spans="1:28" x14ac:dyDescent="0.2">
      <c r="A54" s="812">
        <f>A53+1</f>
        <v>36</v>
      </c>
      <c r="B54" s="45"/>
      <c r="C54" s="685" t="s">
        <v>57</v>
      </c>
      <c r="D54" s="685"/>
      <c r="E54" s="685"/>
      <c r="F54" s="685"/>
      <c r="G54" s="685"/>
      <c r="H54" s="685"/>
      <c r="I54" s="685"/>
      <c r="J54" s="682" t="str">
        <f>"Sum of Lines "&amp;A49&amp;" to "&amp;A53&amp;""</f>
        <v>Sum of Lines 31 to 35</v>
      </c>
      <c r="K54" s="685"/>
      <c r="L54" s="703">
        <f>SUM(L49:L53)</f>
        <v>9223779654.5384617</v>
      </c>
    </row>
    <row r="55" spans="1:28" x14ac:dyDescent="0.2">
      <c r="B55" s="45"/>
      <c r="C55" s="685"/>
      <c r="D55" s="685"/>
      <c r="E55" s="685"/>
      <c r="F55" s="685"/>
      <c r="G55" s="685"/>
      <c r="H55" s="685"/>
      <c r="I55" s="685"/>
      <c r="J55" s="705"/>
      <c r="K55" s="685"/>
      <c r="L55" s="685"/>
    </row>
    <row r="56" spans="1:28" x14ac:dyDescent="0.2">
      <c r="B56" s="53" t="s">
        <v>269</v>
      </c>
      <c r="C56" s="683"/>
      <c r="D56" s="683"/>
      <c r="E56" s="683"/>
      <c r="F56" s="683"/>
      <c r="G56" s="683"/>
      <c r="H56" s="683"/>
      <c r="I56" s="683"/>
      <c r="J56" s="683"/>
      <c r="K56" s="683"/>
      <c r="L56" s="683"/>
    </row>
    <row r="57" spans="1:28" x14ac:dyDescent="0.2">
      <c r="B57" s="683" t="s">
        <v>2162</v>
      </c>
      <c r="J57" s="685"/>
    </row>
    <row r="58" spans="1:28" x14ac:dyDescent="0.2">
      <c r="B58" s="683" t="s">
        <v>2164</v>
      </c>
      <c r="J58" s="685"/>
    </row>
    <row r="59" spans="1:28" x14ac:dyDescent="0.2">
      <c r="B59" s="683" t="s">
        <v>2163</v>
      </c>
      <c r="J59" s="685"/>
    </row>
    <row r="60" spans="1:28" x14ac:dyDescent="0.2">
      <c r="B60" s="683" t="s">
        <v>2164</v>
      </c>
      <c r="J60" s="685"/>
    </row>
    <row r="61" spans="1:28" x14ac:dyDescent="0.2">
      <c r="B61" s="683" t="s">
        <v>2165</v>
      </c>
      <c r="J61" s="685"/>
    </row>
    <row r="62" spans="1:28" x14ac:dyDescent="0.2">
      <c r="B62" s="683" t="s">
        <v>2166</v>
      </c>
    </row>
    <row r="63" spans="1:28" x14ac:dyDescent="0.2">
      <c r="B63" s="706" t="str">
        <f>"5) Negative of Line "&amp;A37&amp;""&amp;", charge to common equity reversed for ratemaking."</f>
        <v>5) Negative of Line 24, charge to common equity reversed for ratemaking.</v>
      </c>
    </row>
    <row r="64" spans="1:28" x14ac:dyDescent="0.2">
      <c r="B64" s="683"/>
    </row>
    <row r="65" spans="2:2" x14ac:dyDescent="0.2">
      <c r="B65" s="687"/>
    </row>
    <row r="66" spans="2:2" x14ac:dyDescent="0.2">
      <c r="B66" s="683"/>
    </row>
    <row r="67" spans="2:2" x14ac:dyDescent="0.2">
      <c r="B67" s="687"/>
    </row>
  </sheetData>
  <phoneticPr fontId="8" type="noConversion"/>
  <pageMargins left="0.75" right="0.75" top="1" bottom="1" header="0.5" footer="0.5"/>
  <pageSetup scale="55" orientation="landscape" r:id="rId1"/>
  <headerFooter alignWithMargins="0">
    <oddHeader>&amp;CSchedule 5
Return and Capitalization
&amp;RDkt. No. ER11-3697
2014 Draft Informational Filing</oddHeader>
    <oddFooter>&amp;R&amp;A</oddFooter>
  </headerFooter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zoomScaleNormal="100" workbookViewId="0">
      <selection activeCell="F40" sqref="F40"/>
    </sheetView>
  </sheetViews>
  <sheetFormatPr defaultRowHeight="12.75" x14ac:dyDescent="0.2"/>
  <cols>
    <col min="1" max="1" width="4.7109375" customWidth="1"/>
    <col min="2" max="2" width="3.7109375" customWidth="1"/>
    <col min="3" max="7" width="14.7109375" customWidth="1"/>
    <col min="8" max="8" width="15.7109375" customWidth="1"/>
    <col min="9" max="16" width="14.7109375" customWidth="1"/>
    <col min="17" max="17" width="9.140625" customWidth="1"/>
  </cols>
  <sheetData>
    <row r="1" spans="1:16" x14ac:dyDescent="0.2">
      <c r="A1" s="1" t="s">
        <v>2088</v>
      </c>
      <c r="B1" s="1"/>
    </row>
    <row r="3" spans="1:16" x14ac:dyDescent="0.2">
      <c r="C3" s="99" t="s">
        <v>417</v>
      </c>
      <c r="D3" s="99" t="s">
        <v>400</v>
      </c>
      <c r="E3" s="99" t="s">
        <v>401</v>
      </c>
      <c r="F3" s="99" t="s">
        <v>402</v>
      </c>
      <c r="G3" s="99" t="s">
        <v>403</v>
      </c>
      <c r="H3" s="99" t="s">
        <v>404</v>
      </c>
      <c r="I3" s="99" t="s">
        <v>405</v>
      </c>
      <c r="J3" s="99" t="s">
        <v>654</v>
      </c>
      <c r="K3" s="99" t="s">
        <v>1128</v>
      </c>
      <c r="L3" s="99" t="s">
        <v>1145</v>
      </c>
      <c r="M3" s="99" t="s">
        <v>1148</v>
      </c>
      <c r="N3" s="99" t="s">
        <v>1166</v>
      </c>
      <c r="O3" s="99" t="s">
        <v>1849</v>
      </c>
      <c r="P3" s="99" t="s">
        <v>1850</v>
      </c>
    </row>
    <row r="4" spans="1:16" x14ac:dyDescent="0.2">
      <c r="A4" s="3" t="s">
        <v>369</v>
      </c>
      <c r="B4" s="3" t="s">
        <v>2089</v>
      </c>
      <c r="C4" s="37" t="s">
        <v>10</v>
      </c>
      <c r="D4" s="707" t="s">
        <v>208</v>
      </c>
      <c r="E4" s="693" t="s">
        <v>209</v>
      </c>
      <c r="F4" s="693" t="s">
        <v>210</v>
      </c>
      <c r="G4" s="693" t="s">
        <v>223</v>
      </c>
      <c r="H4" s="693" t="s">
        <v>211</v>
      </c>
      <c r="I4" s="693" t="s">
        <v>212</v>
      </c>
      <c r="J4" s="693" t="s">
        <v>1848</v>
      </c>
      <c r="K4" s="693" t="s">
        <v>214</v>
      </c>
      <c r="L4" s="693" t="s">
        <v>215</v>
      </c>
      <c r="M4" s="693" t="s">
        <v>216</v>
      </c>
      <c r="N4" s="693" t="s">
        <v>219</v>
      </c>
      <c r="O4" s="693" t="s">
        <v>218</v>
      </c>
      <c r="P4" s="693" t="s">
        <v>208</v>
      </c>
    </row>
    <row r="5" spans="1:16" x14ac:dyDescent="0.2">
      <c r="A5" s="3"/>
      <c r="B5" s="3"/>
      <c r="C5" s="693" t="s">
        <v>2090</v>
      </c>
      <c r="D5" s="707"/>
      <c r="E5" s="693"/>
      <c r="F5" s="693"/>
      <c r="G5" s="693"/>
      <c r="H5" s="693"/>
      <c r="I5" s="693"/>
      <c r="J5" s="693"/>
      <c r="K5" s="693"/>
      <c r="L5" s="693"/>
      <c r="M5" s="693"/>
      <c r="N5" s="693"/>
      <c r="O5" s="693"/>
      <c r="P5" s="693"/>
    </row>
    <row r="6" spans="1:16" x14ac:dyDescent="0.2">
      <c r="A6" s="55"/>
      <c r="B6" s="55"/>
      <c r="C6" s="37"/>
      <c r="D6" s="707"/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  <c r="P6" s="693"/>
    </row>
    <row r="7" spans="1:16" x14ac:dyDescent="0.2">
      <c r="B7" s="45" t="s">
        <v>2091</v>
      </c>
      <c r="D7" s="707"/>
      <c r="E7" s="693"/>
      <c r="F7" s="693"/>
      <c r="G7" s="693"/>
      <c r="H7" s="693"/>
      <c r="I7" s="693"/>
      <c r="J7" s="693"/>
      <c r="K7" s="693"/>
      <c r="L7" s="693"/>
      <c r="M7" s="693"/>
      <c r="N7" s="693"/>
      <c r="O7" s="693"/>
      <c r="P7" s="693"/>
    </row>
    <row r="8" spans="1:16" x14ac:dyDescent="0.2">
      <c r="A8" s="131">
        <v>1</v>
      </c>
      <c r="B8" s="131"/>
      <c r="C8" s="700">
        <f>SUM(D8:P8)/13</f>
        <v>8622092307.6923084</v>
      </c>
      <c r="D8" s="701">
        <v>8314400000</v>
      </c>
      <c r="E8" s="701">
        <v>8314400000</v>
      </c>
      <c r="F8" s="701">
        <v>8314400000</v>
      </c>
      <c r="G8" s="701">
        <v>8714400000</v>
      </c>
      <c r="H8" s="701">
        <v>8714400000</v>
      </c>
      <c r="I8" s="701">
        <v>8714400000</v>
      </c>
      <c r="J8" s="701">
        <v>8714400000</v>
      </c>
      <c r="K8" s="701">
        <v>8714400000</v>
      </c>
      <c r="L8" s="701">
        <v>8714400000</v>
      </c>
      <c r="M8" s="701">
        <v>8714400000</v>
      </c>
      <c r="N8" s="701">
        <v>8714400000</v>
      </c>
      <c r="O8" s="701">
        <v>8714400000</v>
      </c>
      <c r="P8" s="701">
        <v>8714400000</v>
      </c>
    </row>
    <row r="9" spans="1:16" x14ac:dyDescent="0.2">
      <c r="A9" s="131"/>
      <c r="B9" s="45" t="s">
        <v>2092</v>
      </c>
      <c r="C9" s="7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</row>
    <row r="10" spans="1:16" x14ac:dyDescent="0.2">
      <c r="A10" s="131">
        <f>A8+1</f>
        <v>2</v>
      </c>
      <c r="B10" s="131"/>
      <c r="C10" s="700">
        <f t="shared" ref="C10:C24" si="0">SUM(D10:P10)/13</f>
        <v>-160540000</v>
      </c>
      <c r="D10" s="701">
        <v>-160540000</v>
      </c>
      <c r="E10" s="701">
        <v>-160540000</v>
      </c>
      <c r="F10" s="701">
        <v>-160540000</v>
      </c>
      <c r="G10" s="701">
        <v>-160540000</v>
      </c>
      <c r="H10" s="701">
        <v>-160540000</v>
      </c>
      <c r="I10" s="701">
        <v>-160540000</v>
      </c>
      <c r="J10" s="701">
        <v>-160540000</v>
      </c>
      <c r="K10" s="701">
        <v>-160540000</v>
      </c>
      <c r="L10" s="701">
        <v>-160540000</v>
      </c>
      <c r="M10" s="701">
        <v>-160540000</v>
      </c>
      <c r="N10" s="701">
        <v>-160540000</v>
      </c>
      <c r="O10" s="701">
        <v>-160540000</v>
      </c>
      <c r="P10" s="701">
        <v>-160540000</v>
      </c>
    </row>
    <row r="11" spans="1:16" x14ac:dyDescent="0.2">
      <c r="A11" s="131"/>
      <c r="B11" s="45" t="s">
        <v>2093</v>
      </c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</row>
    <row r="12" spans="1:16" x14ac:dyDescent="0.2">
      <c r="A12" s="131">
        <f>A10+1</f>
        <v>3</v>
      </c>
      <c r="B12" s="131"/>
      <c r="C12" s="700">
        <f t="shared" si="0"/>
        <v>306872047.30769229</v>
      </c>
      <c r="D12" s="701">
        <v>306896667</v>
      </c>
      <c r="E12" s="701">
        <v>306892627</v>
      </c>
      <c r="F12" s="701">
        <v>306888569</v>
      </c>
      <c r="G12" s="701">
        <v>306884495</v>
      </c>
      <c r="H12" s="701">
        <v>306880404</v>
      </c>
      <c r="I12" s="701">
        <v>306876295</v>
      </c>
      <c r="J12" s="701">
        <v>306872169</v>
      </c>
      <c r="K12" s="701">
        <v>306868026</v>
      </c>
      <c r="L12" s="701">
        <v>306863865</v>
      </c>
      <c r="M12" s="701">
        <v>306859686</v>
      </c>
      <c r="N12" s="701">
        <v>306855490</v>
      </c>
      <c r="O12" s="701">
        <v>306851277</v>
      </c>
      <c r="P12" s="701">
        <v>306847045</v>
      </c>
    </row>
    <row r="13" spans="1:16" x14ac:dyDescent="0.2">
      <c r="A13" s="131"/>
      <c r="B13" s="45" t="s">
        <v>2094</v>
      </c>
      <c r="D13" s="700"/>
      <c r="E13" s="700"/>
      <c r="F13" s="700"/>
      <c r="G13" s="700"/>
      <c r="H13" s="700"/>
      <c r="I13" s="700"/>
      <c r="J13" s="700"/>
      <c r="K13" s="700"/>
      <c r="L13" s="700"/>
      <c r="M13" s="700"/>
      <c r="N13" s="700"/>
      <c r="O13" s="700"/>
      <c r="P13" s="700"/>
    </row>
    <row r="14" spans="1:16" x14ac:dyDescent="0.2">
      <c r="A14" s="131">
        <f>A12+1</f>
        <v>4</v>
      </c>
      <c r="B14" s="131"/>
      <c r="C14" s="700">
        <f t="shared" si="0"/>
        <v>0</v>
      </c>
      <c r="D14" s="701">
        <v>0</v>
      </c>
      <c r="E14" s="701">
        <v>0</v>
      </c>
      <c r="F14" s="701">
        <v>0</v>
      </c>
      <c r="G14" s="701">
        <v>0</v>
      </c>
      <c r="H14" s="701">
        <v>0</v>
      </c>
      <c r="I14" s="701">
        <v>0</v>
      </c>
      <c r="J14" s="701">
        <v>0</v>
      </c>
      <c r="K14" s="701">
        <v>0</v>
      </c>
      <c r="L14" s="701">
        <v>0</v>
      </c>
      <c r="M14" s="701">
        <v>0</v>
      </c>
      <c r="N14" s="701">
        <v>0</v>
      </c>
      <c r="O14" s="701">
        <v>0</v>
      </c>
      <c r="P14" s="701">
        <v>0</v>
      </c>
    </row>
    <row r="15" spans="1:16" x14ac:dyDescent="0.2">
      <c r="A15" s="131"/>
      <c r="B15" s="45" t="s">
        <v>2095</v>
      </c>
      <c r="D15" s="700"/>
      <c r="E15" s="700"/>
      <c r="F15" s="700"/>
      <c r="G15" s="700"/>
      <c r="H15" s="700"/>
      <c r="I15" s="700"/>
      <c r="J15" s="700"/>
      <c r="K15" s="700"/>
      <c r="L15" s="700"/>
      <c r="M15" s="700"/>
      <c r="N15" s="700"/>
      <c r="O15" s="700"/>
      <c r="P15" s="700"/>
    </row>
    <row r="16" spans="1:16" x14ac:dyDescent="0.2">
      <c r="A16" s="131">
        <f>A14+1</f>
        <v>5</v>
      </c>
      <c r="B16" s="131"/>
      <c r="C16" s="700">
        <f t="shared" si="0"/>
        <v>-32396369.076923076</v>
      </c>
      <c r="D16" s="701">
        <v>-29855541</v>
      </c>
      <c r="E16" s="701">
        <v>-29680974</v>
      </c>
      <c r="F16" s="701">
        <v>-29518045</v>
      </c>
      <c r="G16" s="701">
        <v>-34051961</v>
      </c>
      <c r="H16" s="701">
        <v>-33870520</v>
      </c>
      <c r="I16" s="701">
        <v>-33676566</v>
      </c>
      <c r="J16" s="701">
        <v>-33495125</v>
      </c>
      <c r="K16" s="701">
        <v>-33301170</v>
      </c>
      <c r="L16" s="701">
        <v>-33113472</v>
      </c>
      <c r="M16" s="701">
        <v>-32932031</v>
      </c>
      <c r="N16" s="701">
        <v>-32738077</v>
      </c>
      <c r="O16" s="701">
        <v>-32556635</v>
      </c>
      <c r="P16" s="701">
        <v>-32362681</v>
      </c>
    </row>
    <row r="17" spans="1:16" x14ac:dyDescent="0.2">
      <c r="A17" s="131"/>
      <c r="B17" s="45" t="s">
        <v>2096</v>
      </c>
      <c r="D17" s="700"/>
      <c r="E17" s="700"/>
      <c r="F17" s="700"/>
      <c r="G17" s="700"/>
      <c r="H17" s="700"/>
      <c r="I17" s="700"/>
      <c r="J17" s="700"/>
      <c r="K17" s="700"/>
      <c r="L17" s="700"/>
      <c r="M17" s="700"/>
      <c r="N17" s="700"/>
      <c r="O17" s="700"/>
      <c r="P17" s="700"/>
    </row>
    <row r="18" spans="1:16" x14ac:dyDescent="0.2">
      <c r="A18" s="131">
        <f>A16+1</f>
        <v>6</v>
      </c>
      <c r="B18" s="131"/>
      <c r="C18" s="700">
        <f t="shared" si="0"/>
        <v>-65904631.230769232</v>
      </c>
      <c r="D18" s="701">
        <v>-60178705</v>
      </c>
      <c r="E18" s="701">
        <v>-59686480</v>
      </c>
      <c r="F18" s="701">
        <v>-59194791</v>
      </c>
      <c r="G18" s="701">
        <v>-63080339</v>
      </c>
      <c r="H18" s="701">
        <v>-62636237</v>
      </c>
      <c r="I18" s="701">
        <v>-71130032</v>
      </c>
      <c r="J18" s="701">
        <v>-70520868</v>
      </c>
      <c r="K18" s="701">
        <v>-69911703</v>
      </c>
      <c r="L18" s="701">
        <v>-69302539</v>
      </c>
      <c r="M18" s="701">
        <v>-68693375</v>
      </c>
      <c r="N18" s="701">
        <v>-68084210</v>
      </c>
      <c r="O18" s="701">
        <v>-67475046</v>
      </c>
      <c r="P18" s="701">
        <v>-66865881</v>
      </c>
    </row>
    <row r="19" spans="1:16" x14ac:dyDescent="0.2">
      <c r="A19" s="131"/>
      <c r="B19" s="45" t="s">
        <v>2097</v>
      </c>
      <c r="D19" s="700"/>
      <c r="E19" s="700"/>
      <c r="F19" s="700"/>
      <c r="G19" s="700"/>
      <c r="H19" s="700"/>
      <c r="I19" s="700"/>
      <c r="J19" s="700"/>
      <c r="K19" s="700"/>
      <c r="L19" s="700"/>
      <c r="M19" s="700"/>
      <c r="N19" s="700"/>
      <c r="O19" s="700"/>
      <c r="P19" s="700"/>
    </row>
    <row r="20" spans="1:16" x14ac:dyDescent="0.2">
      <c r="A20" s="131">
        <f>A18+1</f>
        <v>7</v>
      </c>
      <c r="B20" s="131"/>
      <c r="C20" s="700">
        <f t="shared" si="0"/>
        <v>-238414184.07692307</v>
      </c>
      <c r="D20" s="701">
        <v>-249140759</v>
      </c>
      <c r="E20" s="701">
        <v>-247345636</v>
      </c>
      <c r="F20" s="701">
        <v>-245550512</v>
      </c>
      <c r="G20" s="701">
        <v>-243762054</v>
      </c>
      <c r="H20" s="701">
        <v>-241978208</v>
      </c>
      <c r="I20" s="701">
        <v>-240194363</v>
      </c>
      <c r="J20" s="701">
        <v>-238410517</v>
      </c>
      <c r="K20" s="701">
        <v>-236626671</v>
      </c>
      <c r="L20" s="701">
        <v>-234842826</v>
      </c>
      <c r="M20" s="701">
        <v>-233058980</v>
      </c>
      <c r="N20" s="701">
        <v>-231275135</v>
      </c>
      <c r="O20" s="701">
        <v>-229491289</v>
      </c>
      <c r="P20" s="701">
        <v>-227707443</v>
      </c>
    </row>
    <row r="21" spans="1:16" x14ac:dyDescent="0.2">
      <c r="B21" s="45" t="s">
        <v>2098</v>
      </c>
    </row>
    <row r="22" spans="1:16" x14ac:dyDescent="0.2">
      <c r="A22" s="131">
        <v>10</v>
      </c>
      <c r="B22" s="131"/>
      <c r="C22" s="700">
        <f t="shared" si="0"/>
        <v>-400000000</v>
      </c>
      <c r="D22" s="701">
        <v>-400000000</v>
      </c>
      <c r="E22" s="701">
        <v>-400000000</v>
      </c>
      <c r="F22" s="701">
        <v>-400000000</v>
      </c>
      <c r="G22" s="701">
        <v>-400000000</v>
      </c>
      <c r="H22" s="701">
        <v>-400000000</v>
      </c>
      <c r="I22" s="701">
        <v>-400000000</v>
      </c>
      <c r="J22" s="701">
        <v>-400000000</v>
      </c>
      <c r="K22" s="701">
        <v>-400000000</v>
      </c>
      <c r="L22" s="701">
        <v>-400000000</v>
      </c>
      <c r="M22" s="701">
        <v>-400000000</v>
      </c>
      <c r="N22" s="701">
        <v>-400000000</v>
      </c>
      <c r="O22" s="701">
        <v>-400000000</v>
      </c>
      <c r="P22" s="701">
        <v>-400000000</v>
      </c>
    </row>
    <row r="23" spans="1:16" x14ac:dyDescent="0.2">
      <c r="A23" s="131"/>
      <c r="B23" s="45" t="s">
        <v>2100</v>
      </c>
      <c r="D23" s="700"/>
      <c r="E23" s="700"/>
      <c r="F23" s="700"/>
      <c r="G23" s="700"/>
      <c r="H23" s="700"/>
      <c r="I23" s="700"/>
      <c r="J23" s="700"/>
      <c r="K23" s="700"/>
      <c r="L23" s="700"/>
      <c r="M23" s="700"/>
      <c r="N23" s="700"/>
      <c r="O23" s="700"/>
      <c r="P23" s="700"/>
    </row>
    <row r="24" spans="1:16" x14ac:dyDescent="0.2">
      <c r="A24" s="131">
        <f>A22+1</f>
        <v>11</v>
      </c>
      <c r="B24" s="131"/>
      <c r="C24" s="700">
        <f t="shared" si="0"/>
        <v>1461061.5384615385</v>
      </c>
      <c r="D24" s="701">
        <v>1792500</v>
      </c>
      <c r="E24" s="701">
        <v>1737260</v>
      </c>
      <c r="F24" s="701">
        <v>1682050</v>
      </c>
      <c r="G24" s="701">
        <v>1626770</v>
      </c>
      <c r="H24" s="701">
        <v>1571550</v>
      </c>
      <c r="I24" s="701">
        <v>1516290</v>
      </c>
      <c r="J24" s="701">
        <v>1461070</v>
      </c>
      <c r="K24" s="701">
        <v>1405810</v>
      </c>
      <c r="L24" s="701">
        <v>1350580</v>
      </c>
      <c r="M24" s="701">
        <v>1295350</v>
      </c>
      <c r="N24" s="701">
        <v>1240090</v>
      </c>
      <c r="O24" s="701">
        <v>1184870</v>
      </c>
      <c r="P24" s="701">
        <v>1129610</v>
      </c>
    </row>
    <row r="25" spans="1:16" x14ac:dyDescent="0.2">
      <c r="B25" s="45" t="s">
        <v>2101</v>
      </c>
    </row>
    <row r="26" spans="1:16" x14ac:dyDescent="0.2">
      <c r="A26" s="131">
        <v>22</v>
      </c>
      <c r="B26" s="131"/>
      <c r="C26" s="700">
        <f t="shared" ref="C26:C30" si="1">SUM(D26:P26)/13</f>
        <v>1612297950</v>
      </c>
      <c r="D26" s="701">
        <v>1045004950</v>
      </c>
      <c r="E26" s="701">
        <v>1295004950</v>
      </c>
      <c r="F26" s="701">
        <v>1394743950</v>
      </c>
      <c r="G26" s="701">
        <v>1395004950</v>
      </c>
      <c r="H26" s="701">
        <v>1395004950</v>
      </c>
      <c r="I26" s="701">
        <v>1870004950</v>
      </c>
      <c r="J26" s="701">
        <v>1795014950</v>
      </c>
      <c r="K26" s="701">
        <v>1795014950</v>
      </c>
      <c r="L26" s="701">
        <v>1795014950</v>
      </c>
      <c r="M26" s="701">
        <v>1795014950</v>
      </c>
      <c r="N26" s="701">
        <v>1795014950</v>
      </c>
      <c r="O26" s="701">
        <v>1795014950</v>
      </c>
      <c r="P26" s="701">
        <v>1795014950</v>
      </c>
    </row>
    <row r="27" spans="1:16" x14ac:dyDescent="0.2">
      <c r="A27" s="131"/>
      <c r="B27" s="45" t="s">
        <v>2102</v>
      </c>
      <c r="D27" s="700"/>
      <c r="E27" s="700"/>
      <c r="F27" s="700"/>
      <c r="G27" s="700"/>
      <c r="H27" s="700"/>
      <c r="I27" s="700"/>
      <c r="J27" s="700"/>
      <c r="K27" s="700"/>
      <c r="L27" s="700"/>
      <c r="M27" s="700"/>
      <c r="N27" s="700"/>
      <c r="O27" s="700"/>
      <c r="P27" s="700"/>
    </row>
    <row r="28" spans="1:16" x14ac:dyDescent="0.2">
      <c r="A28" s="131">
        <f>A26+1</f>
        <v>23</v>
      </c>
      <c r="B28" s="131"/>
      <c r="C28" s="700">
        <f t="shared" si="1"/>
        <v>-22628839.46153846</v>
      </c>
      <c r="D28" s="701">
        <v>-8393830</v>
      </c>
      <c r="E28" s="701">
        <v>-12651255</v>
      </c>
      <c r="F28" s="701">
        <v>-14338823</v>
      </c>
      <c r="G28" s="701">
        <v>-14260818</v>
      </c>
      <c r="H28" s="701">
        <v>-14182812</v>
      </c>
      <c r="I28" s="701">
        <v>-29213331</v>
      </c>
      <c r="J28" s="701">
        <v>-29093357</v>
      </c>
      <c r="K28" s="701">
        <v>-28973383</v>
      </c>
      <c r="L28" s="701">
        <v>-28853409</v>
      </c>
      <c r="M28" s="701">
        <v>-28733435</v>
      </c>
      <c r="N28" s="701">
        <v>-28613461</v>
      </c>
      <c r="O28" s="701">
        <v>-28493487</v>
      </c>
      <c r="P28" s="701">
        <v>-28373512</v>
      </c>
    </row>
    <row r="29" spans="1:16" x14ac:dyDescent="0.2">
      <c r="A29" s="131"/>
      <c r="B29" s="45" t="s">
        <v>2103</v>
      </c>
      <c r="D29" s="700"/>
      <c r="E29" s="700"/>
      <c r="F29" s="700"/>
      <c r="G29" s="700"/>
      <c r="H29" s="700"/>
      <c r="I29" s="700"/>
      <c r="J29" s="700"/>
      <c r="K29" s="700"/>
      <c r="L29" s="700"/>
      <c r="M29" s="700"/>
      <c r="N29" s="700"/>
      <c r="O29" s="700"/>
      <c r="P29" s="700"/>
    </row>
    <row r="30" spans="1:16" x14ac:dyDescent="0.2">
      <c r="A30" s="131">
        <f>A28+1</f>
        <v>24</v>
      </c>
      <c r="B30" s="131"/>
      <c r="C30" s="700">
        <f t="shared" si="1"/>
        <v>-1560237</v>
      </c>
      <c r="D30" s="701">
        <v>-1662971</v>
      </c>
      <c r="E30" s="701">
        <v>-1645849</v>
      </c>
      <c r="F30" s="701">
        <v>-1628726</v>
      </c>
      <c r="G30" s="701">
        <v>-1611604</v>
      </c>
      <c r="H30" s="701">
        <v>-1594482</v>
      </c>
      <c r="I30" s="701">
        <v>-1577359</v>
      </c>
      <c r="J30" s="701">
        <v>-1560237</v>
      </c>
      <c r="K30" s="701">
        <v>-1543115</v>
      </c>
      <c r="L30" s="701">
        <v>-1525992</v>
      </c>
      <c r="M30" s="701">
        <v>-1508870</v>
      </c>
      <c r="N30" s="701">
        <v>-1491748</v>
      </c>
      <c r="O30" s="701">
        <v>-1474625</v>
      </c>
      <c r="P30" s="701">
        <v>-1457503</v>
      </c>
    </row>
    <row r="31" spans="1:16" x14ac:dyDescent="0.2">
      <c r="B31" s="45" t="s">
        <v>2104</v>
      </c>
    </row>
    <row r="32" spans="1:16" x14ac:dyDescent="0.2">
      <c r="A32" s="131">
        <v>31</v>
      </c>
      <c r="B32" s="131"/>
      <c r="C32" s="700">
        <f t="shared" ref="C32" si="2">SUM(D32:P32)/13</f>
        <v>10815018382.76923</v>
      </c>
      <c r="D32" s="701">
        <v>9957301162</v>
      </c>
      <c r="E32" s="701">
        <v>10293124010</v>
      </c>
      <c r="F32" s="701">
        <v>10314594543</v>
      </c>
      <c r="G32" s="701">
        <v>10363273857</v>
      </c>
      <c r="H32" s="701">
        <v>10286673394</v>
      </c>
      <c r="I32" s="701">
        <v>10800135161</v>
      </c>
      <c r="J32" s="701">
        <v>10816364240</v>
      </c>
      <c r="K32" s="701">
        <v>10915124963</v>
      </c>
      <c r="L32" s="701">
        <v>11045170465</v>
      </c>
      <c r="M32" s="701">
        <v>11064397724</v>
      </c>
      <c r="N32" s="701">
        <v>11175292096</v>
      </c>
      <c r="O32" s="701">
        <v>11821518178</v>
      </c>
      <c r="P32" s="701">
        <v>11742269183</v>
      </c>
    </row>
    <row r="33" spans="1:16" x14ac:dyDescent="0.2">
      <c r="A33" s="131"/>
      <c r="B33" s="45" t="s">
        <v>2105</v>
      </c>
      <c r="D33" s="700"/>
      <c r="E33" s="700"/>
      <c r="F33" s="700"/>
      <c r="G33" s="700"/>
      <c r="H33" s="700"/>
      <c r="I33" s="700"/>
      <c r="J33" s="700"/>
      <c r="K33" s="700"/>
      <c r="L33" s="700"/>
      <c r="M33" s="700"/>
      <c r="N33" s="700"/>
      <c r="O33" s="700"/>
      <c r="P33" s="700"/>
    </row>
    <row r="34" spans="1:16" x14ac:dyDescent="0.2">
      <c r="A34" s="131">
        <v>34</v>
      </c>
      <c r="B34" s="131"/>
      <c r="C34" s="700">
        <f t="shared" ref="C34:C36" si="3">SUM(D34:P34)/13</f>
        <v>-4255833.769230769</v>
      </c>
      <c r="D34" s="701">
        <v>-4021177</v>
      </c>
      <c r="E34" s="701">
        <v>-4025412</v>
      </c>
      <c r="F34" s="701">
        <v>-4076138</v>
      </c>
      <c r="G34" s="701">
        <v>-4210542</v>
      </c>
      <c r="H34" s="701">
        <v>-4276542</v>
      </c>
      <c r="I34" s="701">
        <v>-4314303</v>
      </c>
      <c r="J34" s="701">
        <v>-4337114</v>
      </c>
      <c r="K34" s="701">
        <v>-4370705</v>
      </c>
      <c r="L34" s="701">
        <v>-4327605</v>
      </c>
      <c r="M34" s="701">
        <v>-4276542</v>
      </c>
      <c r="N34" s="701">
        <v>-4267344</v>
      </c>
      <c r="O34" s="701">
        <v>-4400055</v>
      </c>
      <c r="P34" s="701">
        <v>-4422360</v>
      </c>
    </row>
    <row r="35" spans="1:16" x14ac:dyDescent="0.2">
      <c r="A35" s="131"/>
      <c r="B35" s="45" t="s">
        <v>2106</v>
      </c>
      <c r="D35" s="700"/>
      <c r="E35" s="700"/>
      <c r="F35" s="700"/>
      <c r="G35" s="700"/>
      <c r="H35" s="700"/>
      <c r="I35" s="700"/>
      <c r="J35" s="700"/>
      <c r="K35" s="700"/>
      <c r="L35" s="700"/>
      <c r="M35" s="700"/>
      <c r="N35" s="700"/>
      <c r="O35" s="700"/>
      <c r="P35" s="700"/>
    </row>
    <row r="36" spans="1:16" x14ac:dyDescent="0.2">
      <c r="A36" s="131">
        <f>A34+1</f>
        <v>35</v>
      </c>
      <c r="B36" s="131"/>
      <c r="C36" s="700">
        <f t="shared" si="3"/>
        <v>23754818.53846154</v>
      </c>
      <c r="D36" s="701">
        <v>24475843</v>
      </c>
      <c r="E36" s="701">
        <v>24127255</v>
      </c>
      <c r="F36" s="701">
        <v>23778667</v>
      </c>
      <c r="G36" s="701">
        <v>21174808</v>
      </c>
      <c r="H36" s="701">
        <v>24448370</v>
      </c>
      <c r="I36" s="701">
        <v>24103434</v>
      </c>
      <c r="J36" s="701">
        <v>23758498</v>
      </c>
      <c r="K36" s="701">
        <v>23413562</v>
      </c>
      <c r="L36" s="701">
        <v>23068627</v>
      </c>
      <c r="M36" s="701">
        <v>22723691</v>
      </c>
      <c r="N36" s="701">
        <v>22378755</v>
      </c>
      <c r="O36" s="701">
        <v>22033819</v>
      </c>
      <c r="P36" s="701">
        <v>29327312</v>
      </c>
    </row>
    <row r="37" spans="1:16" x14ac:dyDescent="0.2">
      <c r="A37" s="131"/>
      <c r="B37" s="131"/>
      <c r="C37" s="700"/>
      <c r="D37" s="700"/>
      <c r="E37" s="700"/>
      <c r="F37" s="700"/>
      <c r="G37" s="700"/>
      <c r="H37" s="700"/>
      <c r="I37" s="700"/>
      <c r="J37" s="700"/>
      <c r="K37" s="700"/>
      <c r="L37" s="700"/>
      <c r="M37" s="700"/>
      <c r="N37" s="700"/>
      <c r="O37" s="700"/>
      <c r="P37" s="700"/>
    </row>
    <row r="38" spans="1:16" x14ac:dyDescent="0.2">
      <c r="A38" s="131"/>
      <c r="B38" s="53" t="s">
        <v>445</v>
      </c>
      <c r="C38" s="700"/>
      <c r="D38" s="700"/>
      <c r="E38" s="700"/>
      <c r="F38" s="700"/>
      <c r="G38" s="700"/>
      <c r="H38" s="700"/>
      <c r="I38" s="700"/>
      <c r="J38" s="700"/>
      <c r="K38" s="700"/>
      <c r="L38" s="700"/>
      <c r="M38" s="700"/>
      <c r="N38" s="700"/>
      <c r="O38" s="700"/>
      <c r="P38" s="700"/>
    </row>
    <row r="39" spans="1:16" x14ac:dyDescent="0.2">
      <c r="A39" s="131"/>
      <c r="B39" s="683" t="s">
        <v>2099</v>
      </c>
      <c r="C39" s="700"/>
      <c r="D39" s="700"/>
      <c r="E39" s="700"/>
      <c r="F39" s="700"/>
      <c r="G39" s="700"/>
      <c r="H39" s="700"/>
      <c r="I39" s="700"/>
      <c r="J39" s="700"/>
      <c r="K39" s="700"/>
      <c r="L39" s="700"/>
      <c r="M39" s="700"/>
      <c r="N39" s="700"/>
      <c r="O39" s="700"/>
      <c r="P39" s="700"/>
    </row>
    <row r="40" spans="1:16" x14ac:dyDescent="0.2">
      <c r="A40" s="131"/>
      <c r="B40" s="687" t="s">
        <v>2129</v>
      </c>
      <c r="C40" s="700"/>
      <c r="D40" s="700"/>
      <c r="E40" s="700"/>
      <c r="F40" s="700"/>
      <c r="G40" s="700"/>
      <c r="H40" s="700"/>
      <c r="I40" s="700"/>
      <c r="J40" s="700"/>
      <c r="K40" s="700"/>
      <c r="L40" s="700"/>
      <c r="M40" s="700"/>
      <c r="N40" s="700"/>
      <c r="O40" s="700"/>
      <c r="P40" s="700"/>
    </row>
    <row r="41" spans="1:16" x14ac:dyDescent="0.2">
      <c r="A41" s="131"/>
      <c r="B41" s="683" t="s">
        <v>2060</v>
      </c>
      <c r="C41" s="700"/>
      <c r="D41" s="700"/>
      <c r="E41" s="700"/>
      <c r="F41" s="700"/>
      <c r="G41" s="700"/>
      <c r="H41" s="700"/>
      <c r="I41" s="700"/>
      <c r="J41" s="700"/>
      <c r="K41" s="700"/>
      <c r="L41" s="700"/>
      <c r="M41" s="700"/>
      <c r="N41" s="700"/>
      <c r="O41" s="700"/>
      <c r="P41" s="700"/>
    </row>
    <row r="42" spans="1:16" x14ac:dyDescent="0.2">
      <c r="B42" s="687" t="s">
        <v>2061</v>
      </c>
    </row>
    <row r="43" spans="1:16" x14ac:dyDescent="0.2">
      <c r="B43" s="833" t="s">
        <v>2167</v>
      </c>
    </row>
    <row r="44" spans="1:16" x14ac:dyDescent="0.2">
      <c r="B44" s="687"/>
    </row>
    <row r="45" spans="1:16" x14ac:dyDescent="0.2">
      <c r="B45" s="1" t="s">
        <v>269</v>
      </c>
    </row>
    <row r="46" spans="1:16" x14ac:dyDescent="0.2">
      <c r="B46" s="683" t="s">
        <v>2168</v>
      </c>
    </row>
    <row r="47" spans="1:16" x14ac:dyDescent="0.2">
      <c r="B47" s="683" t="s">
        <v>2169</v>
      </c>
    </row>
    <row r="48" spans="1:16" x14ac:dyDescent="0.2">
      <c r="B48" s="683" t="s">
        <v>2170</v>
      </c>
    </row>
    <row r="49" spans="2:13" x14ac:dyDescent="0.2">
      <c r="B49" s="683" t="s">
        <v>2171</v>
      </c>
    </row>
    <row r="50" spans="2:13" x14ac:dyDescent="0.2">
      <c r="B50" s="683" t="s">
        <v>2172</v>
      </c>
    </row>
    <row r="51" spans="2:13" x14ac:dyDescent="0.2">
      <c r="B51" s="683" t="s">
        <v>2173</v>
      </c>
    </row>
    <row r="52" spans="2:13" x14ac:dyDescent="0.2">
      <c r="B52" s="683" t="s">
        <v>2174</v>
      </c>
    </row>
    <row r="53" spans="2:13" x14ac:dyDescent="0.2">
      <c r="B53" s="683" t="s">
        <v>2050</v>
      </c>
    </row>
    <row r="54" spans="2:13" x14ac:dyDescent="0.2">
      <c r="B54" s="687" t="s">
        <v>2051</v>
      </c>
    </row>
    <row r="55" spans="2:13" x14ac:dyDescent="0.2">
      <c r="B55" s="687"/>
    </row>
    <row r="56" spans="2:13" x14ac:dyDescent="0.2">
      <c r="E56" s="848" t="s">
        <v>2052</v>
      </c>
    </row>
    <row r="57" spans="2:13" x14ac:dyDescent="0.2">
      <c r="C57" s="131"/>
      <c r="D57" s="131" t="s">
        <v>2053</v>
      </c>
      <c r="E57" s="131" t="s">
        <v>25</v>
      </c>
      <c r="F57" s="848" t="s">
        <v>2054</v>
      </c>
      <c r="G57" s="131" t="s">
        <v>2055</v>
      </c>
      <c r="H57" s="848" t="s">
        <v>2056</v>
      </c>
    </row>
    <row r="58" spans="2:13" x14ac:dyDescent="0.2">
      <c r="C58" s="146" t="s">
        <v>2057</v>
      </c>
      <c r="D58" s="146" t="s">
        <v>203</v>
      </c>
      <c r="E58" s="146" t="s">
        <v>13</v>
      </c>
      <c r="F58" s="146" t="s">
        <v>2058</v>
      </c>
      <c r="G58" s="146" t="s">
        <v>2058</v>
      </c>
      <c r="H58" s="146" t="s">
        <v>2059</v>
      </c>
    </row>
    <row r="59" spans="2:13" x14ac:dyDescent="0.2">
      <c r="C59" s="694" t="s">
        <v>2405</v>
      </c>
      <c r="D59" s="127">
        <v>250000000</v>
      </c>
      <c r="E59" s="813">
        <v>4.1500000000000002E-2</v>
      </c>
      <c r="F59" s="787" t="s">
        <v>2406</v>
      </c>
      <c r="G59" s="787" t="s">
        <v>2407</v>
      </c>
      <c r="H59" s="862" t="s">
        <v>2408</v>
      </c>
      <c r="I59" s="113"/>
      <c r="J59" s="113"/>
      <c r="K59" s="113"/>
      <c r="L59" s="113"/>
      <c r="M59" s="113"/>
    </row>
    <row r="60" spans="2:13" x14ac:dyDescent="0.2">
      <c r="C60" s="759" t="s">
        <v>2409</v>
      </c>
      <c r="D60" s="127">
        <v>150000000</v>
      </c>
      <c r="E60" s="113" t="s">
        <v>2410</v>
      </c>
      <c r="F60" s="176" t="s">
        <v>2411</v>
      </c>
      <c r="G60" s="176" t="s">
        <v>2407</v>
      </c>
      <c r="H60" s="176" t="s">
        <v>2408</v>
      </c>
      <c r="I60" s="113"/>
      <c r="J60" s="113"/>
      <c r="K60" s="113"/>
      <c r="L60" s="113"/>
      <c r="M60" s="113"/>
    </row>
    <row r="61" spans="2:13" x14ac:dyDescent="0.2">
      <c r="B61" s="683" t="s">
        <v>2175</v>
      </c>
    </row>
    <row r="62" spans="2:13" x14ac:dyDescent="0.2">
      <c r="B62" s="683" t="s">
        <v>2176</v>
      </c>
    </row>
    <row r="63" spans="2:13" x14ac:dyDescent="0.2">
      <c r="B63" t="s">
        <v>2177</v>
      </c>
    </row>
    <row r="64" spans="2:13" x14ac:dyDescent="0.2">
      <c r="B64" s="687" t="s">
        <v>2178</v>
      </c>
    </row>
    <row r="66" spans="2:13" x14ac:dyDescent="0.2">
      <c r="C66" s="131"/>
      <c r="E66" s="131" t="s">
        <v>2053</v>
      </c>
      <c r="F66" s="848" t="s">
        <v>2054</v>
      </c>
      <c r="G66" s="131" t="s">
        <v>2054</v>
      </c>
      <c r="H66" s="131" t="s">
        <v>1260</v>
      </c>
      <c r="I66" s="848"/>
    </row>
    <row r="67" spans="2:13" x14ac:dyDescent="0.2">
      <c r="C67" s="146" t="s">
        <v>2057</v>
      </c>
      <c r="E67" s="146" t="s">
        <v>203</v>
      </c>
      <c r="F67" s="146" t="s">
        <v>2058</v>
      </c>
      <c r="G67" s="146" t="s">
        <v>2179</v>
      </c>
      <c r="H67" s="146" t="s">
        <v>229</v>
      </c>
      <c r="I67" s="146" t="s">
        <v>196</v>
      </c>
    </row>
    <row r="68" spans="2:13" x14ac:dyDescent="0.2">
      <c r="C68" s="849" t="s">
        <v>2412</v>
      </c>
      <c r="D68" s="759"/>
      <c r="E68" s="127">
        <v>400000000</v>
      </c>
      <c r="F68" s="850">
        <v>38469</v>
      </c>
      <c r="G68" s="127">
        <v>5426936</v>
      </c>
      <c r="H68" s="176" t="s">
        <v>2413</v>
      </c>
      <c r="I68" s="113" t="s">
        <v>2414</v>
      </c>
      <c r="J68" s="113"/>
      <c r="K68" s="113"/>
      <c r="L68" s="113"/>
      <c r="M68" s="113"/>
    </row>
    <row r="69" spans="2:13" x14ac:dyDescent="0.2">
      <c r="C69" s="849" t="s">
        <v>2415</v>
      </c>
      <c r="D69" s="759"/>
      <c r="E69" s="127">
        <v>200000000</v>
      </c>
      <c r="F69" s="850">
        <v>38610</v>
      </c>
      <c r="G69" s="127">
        <v>3435743</v>
      </c>
      <c r="H69" s="176" t="s">
        <v>2416</v>
      </c>
      <c r="I69" s="113"/>
      <c r="J69" s="113"/>
      <c r="K69" s="113"/>
      <c r="L69" s="113"/>
      <c r="M69" s="113"/>
    </row>
    <row r="70" spans="2:13" x14ac:dyDescent="0.2">
      <c r="C70" s="849" t="s">
        <v>2417</v>
      </c>
      <c r="D70" s="759"/>
      <c r="E70" s="127">
        <v>200000000</v>
      </c>
      <c r="F70" s="850">
        <v>38741</v>
      </c>
      <c r="G70" s="127">
        <v>3779170</v>
      </c>
      <c r="H70" s="176" t="s">
        <v>2416</v>
      </c>
      <c r="I70" s="113"/>
      <c r="J70" s="113"/>
      <c r="K70" s="113"/>
      <c r="L70" s="113"/>
      <c r="M70" s="113"/>
    </row>
    <row r="71" spans="2:13" x14ac:dyDescent="0.2">
      <c r="C71" s="849" t="s">
        <v>2418</v>
      </c>
      <c r="D71" s="759"/>
      <c r="E71" s="127">
        <v>125000000</v>
      </c>
      <c r="F71" s="850">
        <v>40612</v>
      </c>
      <c r="G71" s="127">
        <v>2715463</v>
      </c>
      <c r="H71" s="176" t="s">
        <v>2416</v>
      </c>
      <c r="I71" s="113"/>
      <c r="J71" s="113"/>
      <c r="K71" s="113"/>
      <c r="L71" s="113"/>
      <c r="M71" s="113"/>
    </row>
    <row r="72" spans="2:13" x14ac:dyDescent="0.2">
      <c r="C72" s="849" t="s">
        <v>2419</v>
      </c>
      <c r="D72" s="759"/>
      <c r="E72" s="127">
        <v>100000000</v>
      </c>
      <c r="F72" s="850">
        <v>41008</v>
      </c>
      <c r="G72" s="127">
        <v>5957289</v>
      </c>
      <c r="H72" s="862" t="s">
        <v>2487</v>
      </c>
      <c r="I72" s="113"/>
      <c r="J72" s="113"/>
      <c r="K72" s="113"/>
      <c r="L72" s="113"/>
      <c r="M72" s="113"/>
    </row>
    <row r="73" spans="2:13" x14ac:dyDescent="0.2">
      <c r="C73" s="849" t="s">
        <v>2420</v>
      </c>
      <c r="D73" s="759"/>
      <c r="E73" s="127">
        <v>475000000</v>
      </c>
      <c r="F73" s="850">
        <v>41047</v>
      </c>
      <c r="G73" s="127">
        <v>15401698</v>
      </c>
      <c r="H73" s="176" t="s">
        <v>2416</v>
      </c>
      <c r="I73" s="113"/>
      <c r="J73" s="113"/>
      <c r="K73" s="113"/>
      <c r="L73" s="113"/>
      <c r="M73" s="113"/>
    </row>
    <row r="74" spans="2:13" x14ac:dyDescent="0.2">
      <c r="C74" s="759" t="s">
        <v>617</v>
      </c>
      <c r="D74" s="759"/>
      <c r="E74" s="113"/>
      <c r="F74" s="113"/>
      <c r="G74" s="113"/>
      <c r="H74" s="473"/>
      <c r="I74" s="113"/>
      <c r="J74" s="113"/>
      <c r="K74" s="113"/>
      <c r="L74" s="113"/>
      <c r="M74" s="113"/>
    </row>
    <row r="76" spans="2:13" x14ac:dyDescent="0.2">
      <c r="B76" t="s">
        <v>2180</v>
      </c>
    </row>
    <row r="77" spans="2:13" x14ac:dyDescent="0.2">
      <c r="B77" s="687" t="s">
        <v>2181</v>
      </c>
    </row>
    <row r="79" spans="2:13" x14ac:dyDescent="0.2">
      <c r="C79" s="131"/>
      <c r="E79" s="848" t="s">
        <v>2182</v>
      </c>
      <c r="F79" s="131" t="s">
        <v>1260</v>
      </c>
      <c r="G79" s="131" t="s">
        <v>1260</v>
      </c>
      <c r="H79" s="848"/>
      <c r="I79" s="848"/>
    </row>
    <row r="80" spans="2:13" x14ac:dyDescent="0.2">
      <c r="C80" s="146" t="s">
        <v>2183</v>
      </c>
      <c r="E80" s="146" t="s">
        <v>2058</v>
      </c>
      <c r="F80" s="146" t="s">
        <v>203</v>
      </c>
      <c r="G80" s="146" t="s">
        <v>229</v>
      </c>
      <c r="H80" s="146" t="s">
        <v>196</v>
      </c>
      <c r="I80" s="146"/>
    </row>
    <row r="81" spans="2:13" x14ac:dyDescent="0.2">
      <c r="C81" s="849" t="s">
        <v>2421</v>
      </c>
      <c r="D81" s="759"/>
      <c r="E81" s="851" t="s">
        <v>2422</v>
      </c>
      <c r="F81" s="127">
        <v>286600</v>
      </c>
      <c r="G81" s="176" t="s">
        <v>2423</v>
      </c>
      <c r="H81" s="113" t="s">
        <v>2424</v>
      </c>
      <c r="I81" s="113"/>
      <c r="J81" s="113"/>
      <c r="K81" s="113"/>
      <c r="L81" s="113"/>
      <c r="M81" s="113"/>
    </row>
    <row r="82" spans="2:13" x14ac:dyDescent="0.2">
      <c r="C82" s="849" t="s">
        <v>2425</v>
      </c>
      <c r="D82" s="759"/>
      <c r="E82" s="852" t="s">
        <v>2426</v>
      </c>
      <c r="F82" s="127">
        <v>6247500</v>
      </c>
      <c r="G82" s="176" t="s">
        <v>2423</v>
      </c>
      <c r="H82" s="113" t="s">
        <v>2427</v>
      </c>
      <c r="I82" s="113"/>
      <c r="J82" s="113"/>
      <c r="K82" s="113"/>
      <c r="L82" s="113"/>
      <c r="M82" s="113"/>
    </row>
    <row r="83" spans="2:13" x14ac:dyDescent="0.2">
      <c r="C83" s="849" t="s">
        <v>2425</v>
      </c>
      <c r="D83" s="759"/>
      <c r="E83" s="852" t="s">
        <v>2426</v>
      </c>
      <c r="F83" s="127">
        <v>1025000</v>
      </c>
      <c r="G83" s="176" t="s">
        <v>2423</v>
      </c>
      <c r="H83" s="113" t="s">
        <v>2428</v>
      </c>
      <c r="I83" s="113"/>
      <c r="J83" s="113"/>
      <c r="K83" s="113"/>
      <c r="L83" s="113"/>
      <c r="M83" s="113"/>
    </row>
    <row r="84" spans="2:13" x14ac:dyDescent="0.2">
      <c r="C84" s="759" t="s">
        <v>617</v>
      </c>
      <c r="D84" s="759"/>
      <c r="E84" s="113"/>
      <c r="F84" s="113"/>
      <c r="G84" s="113"/>
      <c r="H84" s="473"/>
      <c r="I84" s="113"/>
      <c r="J84" s="113"/>
      <c r="K84" s="113"/>
      <c r="L84" s="113"/>
      <c r="M84" s="113"/>
    </row>
    <row r="86" spans="2:13" x14ac:dyDescent="0.2">
      <c r="B86" s="683" t="s">
        <v>2184</v>
      </c>
    </row>
    <row r="87" spans="2:13" x14ac:dyDescent="0.2">
      <c r="B87" s="683" t="s">
        <v>2185</v>
      </c>
    </row>
    <row r="88" spans="2:13" x14ac:dyDescent="0.2">
      <c r="B88" s="683" t="s">
        <v>2186</v>
      </c>
    </row>
  </sheetData>
  <pageMargins left="0.7" right="0.7" top="0.75" bottom="0.75" header="0.3" footer="0.3"/>
  <pageSetup scale="53" orientation="landscape" r:id="rId1"/>
  <headerFooter>
    <oddHeader>&amp;CSchedule 5
Return and Capitalization&amp;RDkt. No. ER11-3697
2014 Draft Informational Filing</oddHeader>
    <oddFooter>&amp;RROR-2</oddFooter>
  </headerFooter>
  <rowBreaks count="1" manualBreakCount="1">
    <brk id="7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5"/>
  <sheetViews>
    <sheetView zoomScaleNormal="100" workbookViewId="0">
      <selection activeCell="D27" sqref="D27"/>
    </sheetView>
  </sheetViews>
  <sheetFormatPr defaultRowHeight="12.75" x14ac:dyDescent="0.2"/>
  <cols>
    <col min="1" max="1" width="4.7109375" customWidth="1"/>
    <col min="2" max="2" width="10.7109375" customWidth="1"/>
    <col min="3" max="5" width="13.7109375" customWidth="1"/>
    <col min="6" max="6" width="14.85546875" customWidth="1"/>
    <col min="7" max="13" width="13.7109375" customWidth="1"/>
  </cols>
  <sheetData>
    <row r="1" spans="1:13" x14ac:dyDescent="0.2">
      <c r="A1" s="488" t="s">
        <v>1452</v>
      </c>
      <c r="B1" s="264"/>
      <c r="C1" s="264"/>
      <c r="D1" s="264"/>
      <c r="E1" s="264"/>
      <c r="F1" s="264"/>
      <c r="G1" s="264"/>
      <c r="H1" s="264"/>
      <c r="I1" s="694" t="s">
        <v>19</v>
      </c>
      <c r="J1" s="489"/>
      <c r="K1" s="264"/>
      <c r="L1" s="264"/>
    </row>
    <row r="2" spans="1:13" x14ac:dyDescent="0.2">
      <c r="A2" s="488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x14ac:dyDescent="0.2">
      <c r="A3" s="488"/>
      <c r="B3" s="488" t="s">
        <v>370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</row>
    <row r="4" spans="1:13" x14ac:dyDescent="0.2">
      <c r="A4" s="488"/>
      <c r="B4" s="488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3" x14ac:dyDescent="0.2">
      <c r="A5" s="488"/>
      <c r="B5" s="683" t="s">
        <v>1928</v>
      </c>
      <c r="C5" s="264"/>
      <c r="D5" s="264"/>
      <c r="E5" s="264"/>
      <c r="F5" s="264"/>
      <c r="G5" s="264"/>
      <c r="H5" s="683"/>
      <c r="I5" s="264"/>
      <c r="J5" s="264"/>
      <c r="K5" s="264"/>
      <c r="L5" s="264"/>
    </row>
    <row r="6" spans="1:13" x14ac:dyDescent="0.2">
      <c r="A6" s="488"/>
      <c r="B6" s="683"/>
      <c r="C6" s="264"/>
      <c r="D6" s="264"/>
      <c r="E6" s="264"/>
      <c r="F6" s="264"/>
      <c r="G6" s="264"/>
      <c r="H6" s="264"/>
      <c r="I6" s="264"/>
      <c r="J6" s="264"/>
      <c r="K6" s="264"/>
      <c r="L6" s="264"/>
    </row>
    <row r="7" spans="1:13" x14ac:dyDescent="0.2">
      <c r="A7" s="488"/>
      <c r="B7" s="99" t="s">
        <v>417</v>
      </c>
      <c r="C7" s="99" t="s">
        <v>400</v>
      </c>
      <c r="D7" s="99" t="s">
        <v>401</v>
      </c>
      <c r="E7" s="99" t="s">
        <v>402</v>
      </c>
      <c r="F7" s="99" t="s">
        <v>403</v>
      </c>
      <c r="G7" s="99" t="s">
        <v>404</v>
      </c>
      <c r="H7" s="99" t="s">
        <v>405</v>
      </c>
      <c r="I7" s="99" t="s">
        <v>654</v>
      </c>
      <c r="J7" s="99" t="s">
        <v>1128</v>
      </c>
      <c r="K7" s="99" t="s">
        <v>1145</v>
      </c>
      <c r="L7" s="99" t="s">
        <v>1148</v>
      </c>
      <c r="M7" s="99" t="s">
        <v>1166</v>
      </c>
    </row>
    <row r="8" spans="1:13" x14ac:dyDescent="0.2">
      <c r="A8" s="264"/>
      <c r="B8" s="267" t="s">
        <v>473</v>
      </c>
      <c r="C8" s="264"/>
      <c r="D8" s="264"/>
      <c r="E8" s="264"/>
      <c r="F8" s="264"/>
      <c r="G8" s="264"/>
      <c r="H8" s="264"/>
      <c r="I8" s="264"/>
      <c r="J8" s="264"/>
      <c r="K8" s="264"/>
      <c r="M8" s="286" t="s">
        <v>1501</v>
      </c>
    </row>
    <row r="9" spans="1:13" x14ac:dyDescent="0.2">
      <c r="A9" s="264"/>
      <c r="B9" s="723" t="s">
        <v>221</v>
      </c>
      <c r="C9" s="99"/>
      <c r="D9" s="99"/>
      <c r="E9" s="264"/>
      <c r="F9" s="264"/>
      <c r="G9" s="264"/>
      <c r="H9" s="264"/>
      <c r="I9" s="264"/>
      <c r="J9" s="264"/>
      <c r="K9" s="264"/>
      <c r="L9" s="264"/>
    </row>
    <row r="10" spans="1:13" x14ac:dyDescent="0.2">
      <c r="A10" s="53" t="s">
        <v>380</v>
      </c>
      <c r="B10" s="3" t="s">
        <v>220</v>
      </c>
      <c r="C10" s="99">
        <v>350.1</v>
      </c>
      <c r="D10" s="99">
        <v>350.2</v>
      </c>
      <c r="E10" s="99">
        <v>352</v>
      </c>
      <c r="F10" s="99">
        <v>353</v>
      </c>
      <c r="G10" s="99">
        <v>354</v>
      </c>
      <c r="H10" s="99">
        <v>355</v>
      </c>
      <c r="I10" s="99">
        <v>356</v>
      </c>
      <c r="J10" s="99">
        <v>357</v>
      </c>
      <c r="K10" s="99">
        <v>358</v>
      </c>
      <c r="L10" s="99">
        <v>359</v>
      </c>
      <c r="M10" s="3" t="s">
        <v>225</v>
      </c>
    </row>
    <row r="11" spans="1:13" x14ac:dyDescent="0.2">
      <c r="A11" s="723">
        <v>1</v>
      </c>
      <c r="B11" s="724" t="s">
        <v>208</v>
      </c>
      <c r="C11" s="725">
        <v>74607469.009499431</v>
      </c>
      <c r="D11" s="853">
        <v>82090980.758505225</v>
      </c>
      <c r="E11" s="269">
        <v>170948030.48916146</v>
      </c>
      <c r="F11" s="269">
        <v>1756511618.714663</v>
      </c>
      <c r="G11" s="269">
        <v>550516805.02612746</v>
      </c>
      <c r="H11" s="269">
        <v>132075053.85948858</v>
      </c>
      <c r="I11" s="269">
        <v>421892563.22866398</v>
      </c>
      <c r="J11" s="269">
        <v>558943.06565385021</v>
      </c>
      <c r="K11" s="269">
        <v>3408604.13081415</v>
      </c>
      <c r="L11" s="269">
        <v>110352407.03253432</v>
      </c>
      <c r="M11" s="266">
        <f t="shared" ref="M11:M23" si="0">SUM(C11:L11)</f>
        <v>3302962475.3151112</v>
      </c>
    </row>
    <row r="12" spans="1:13" x14ac:dyDescent="0.2">
      <c r="A12" s="723">
        <f>A11+1</f>
        <v>2</v>
      </c>
      <c r="B12" s="726" t="s">
        <v>209</v>
      </c>
      <c r="C12" s="268">
        <f t="shared" ref="C12:C22" si="1">C156+C97 +C11</f>
        <v>74607469.009499431</v>
      </c>
      <c r="D12" s="281">
        <f t="shared" ref="D12:D22" si="2">D156+D97 +D11</f>
        <v>82114068.971557155</v>
      </c>
      <c r="E12" s="268">
        <f t="shared" ref="E12:E22" si="3">E156+E97 +E11</f>
        <v>170638214.98660815</v>
      </c>
      <c r="F12" s="268">
        <f t="shared" ref="F12:F22" si="4">F156+F97 +F11</f>
        <v>1755136003.4198272</v>
      </c>
      <c r="G12" s="268">
        <f t="shared" ref="G12:G22" si="5">G156+G97 +G11</f>
        <v>551821882.6623522</v>
      </c>
      <c r="H12" s="268">
        <f t="shared" ref="H12:H22" si="6">H156+H97 +H11</f>
        <v>133197995.97501463</v>
      </c>
      <c r="I12" s="268">
        <f t="shared" ref="I12:I22" si="7">I156+I97 +I11</f>
        <v>422451624.35198289</v>
      </c>
      <c r="J12" s="268">
        <f t="shared" ref="J12:J22" si="8">J156+J97 +J11</f>
        <v>559031.50227763166</v>
      </c>
      <c r="K12" s="268">
        <f t="shared" ref="K12:K22" si="9">K156+K97 +K11</f>
        <v>3563547.0516500724</v>
      </c>
      <c r="L12" s="268">
        <f t="shared" ref="L12:L22" si="10">L156+L97 +L11</f>
        <v>110352311.10319923</v>
      </c>
      <c r="M12" s="266">
        <f t="shared" si="0"/>
        <v>3304442149.0339689</v>
      </c>
    </row>
    <row r="13" spans="1:13" x14ac:dyDescent="0.2">
      <c r="A13" s="723">
        <f t="shared" ref="A13:A24" si="11">A12+1</f>
        <v>3</v>
      </c>
      <c r="B13" s="724" t="s">
        <v>210</v>
      </c>
      <c r="C13" s="268">
        <f t="shared" si="1"/>
        <v>76951255.24949944</v>
      </c>
      <c r="D13" s="281">
        <f t="shared" si="2"/>
        <v>98683946.747231871</v>
      </c>
      <c r="E13" s="268">
        <f t="shared" si="3"/>
        <v>198222248.55916288</v>
      </c>
      <c r="F13" s="268">
        <f t="shared" si="4"/>
        <v>1879654255.8333497</v>
      </c>
      <c r="G13" s="268">
        <f t="shared" si="5"/>
        <v>552005909.5237416</v>
      </c>
      <c r="H13" s="268">
        <f t="shared" si="6"/>
        <v>133590247.21783324</v>
      </c>
      <c r="I13" s="268">
        <f t="shared" si="7"/>
        <v>422665307.62994456</v>
      </c>
      <c r="J13" s="268">
        <f t="shared" si="8"/>
        <v>488561.08967930952</v>
      </c>
      <c r="K13" s="268">
        <f t="shared" si="9"/>
        <v>3606876.6082688565</v>
      </c>
      <c r="L13" s="268">
        <f t="shared" si="10"/>
        <v>110256873.69030032</v>
      </c>
      <c r="M13" s="266">
        <f t="shared" si="0"/>
        <v>3476125482.1490116</v>
      </c>
    </row>
    <row r="14" spans="1:13" x14ac:dyDescent="0.2">
      <c r="A14" s="723">
        <f t="shared" si="11"/>
        <v>4</v>
      </c>
      <c r="B14" s="724" t="s">
        <v>223</v>
      </c>
      <c r="C14" s="268">
        <f t="shared" si="1"/>
        <v>77010057.156291097</v>
      </c>
      <c r="D14" s="281">
        <f t="shared" si="2"/>
        <v>99917864.427807212</v>
      </c>
      <c r="E14" s="268">
        <f t="shared" si="3"/>
        <v>197774986.86393654</v>
      </c>
      <c r="F14" s="268">
        <f t="shared" si="4"/>
        <v>1878034681.0448549</v>
      </c>
      <c r="G14" s="268">
        <f t="shared" si="5"/>
        <v>552324735.86339402</v>
      </c>
      <c r="H14" s="268">
        <f t="shared" si="6"/>
        <v>134386423.72416154</v>
      </c>
      <c r="I14" s="268">
        <f t="shared" si="7"/>
        <v>422904165.12189299</v>
      </c>
      <c r="J14" s="268">
        <f t="shared" si="8"/>
        <v>491674.94697555655</v>
      </c>
      <c r="K14" s="268">
        <f t="shared" si="9"/>
        <v>3593326.6484524934</v>
      </c>
      <c r="L14" s="268">
        <f t="shared" si="10"/>
        <v>109816174.65654455</v>
      </c>
      <c r="M14" s="266">
        <f t="shared" si="0"/>
        <v>3476254090.4543114</v>
      </c>
    </row>
    <row r="15" spans="1:13" x14ac:dyDescent="0.2">
      <c r="A15" s="723">
        <f t="shared" si="11"/>
        <v>5</v>
      </c>
      <c r="B15" s="726" t="s">
        <v>211</v>
      </c>
      <c r="C15" s="268">
        <f t="shared" si="1"/>
        <v>77010057.156291097</v>
      </c>
      <c r="D15" s="281">
        <f t="shared" si="2"/>
        <v>99893146.763199896</v>
      </c>
      <c r="E15" s="268">
        <f t="shared" si="3"/>
        <v>195533930.31360132</v>
      </c>
      <c r="F15" s="268">
        <f t="shared" si="4"/>
        <v>1875057302.4781649</v>
      </c>
      <c r="G15" s="268">
        <f t="shared" si="5"/>
        <v>622539764.31252241</v>
      </c>
      <c r="H15" s="268">
        <f t="shared" si="6"/>
        <v>136227814.14444542</v>
      </c>
      <c r="I15" s="268">
        <f t="shared" si="7"/>
        <v>463395861.08351469</v>
      </c>
      <c r="J15" s="268">
        <f t="shared" si="8"/>
        <v>491640.98683250591</v>
      </c>
      <c r="K15" s="268">
        <f t="shared" si="9"/>
        <v>3592336.3495748867</v>
      </c>
      <c r="L15" s="268">
        <f t="shared" si="10"/>
        <v>123439530.78377408</v>
      </c>
      <c r="M15" s="266">
        <f t="shared" si="0"/>
        <v>3597181384.3719211</v>
      </c>
    </row>
    <row r="16" spans="1:13" x14ac:dyDescent="0.2">
      <c r="A16" s="723">
        <f t="shared" si="11"/>
        <v>6</v>
      </c>
      <c r="B16" s="724" t="s">
        <v>212</v>
      </c>
      <c r="C16" s="268">
        <f t="shared" si="1"/>
        <v>77010057.156291097</v>
      </c>
      <c r="D16" s="281">
        <f t="shared" si="2"/>
        <v>99947265.165731654</v>
      </c>
      <c r="E16" s="268">
        <f t="shared" si="3"/>
        <v>194066271.53866041</v>
      </c>
      <c r="F16" s="268">
        <f t="shared" si="4"/>
        <v>1871853715.7852559</v>
      </c>
      <c r="G16" s="268">
        <f t="shared" si="5"/>
        <v>621375793.44233572</v>
      </c>
      <c r="H16" s="268">
        <f t="shared" si="6"/>
        <v>135958416.69195944</v>
      </c>
      <c r="I16" s="268">
        <f t="shared" si="7"/>
        <v>462949294.3150956</v>
      </c>
      <c r="J16" s="268">
        <f t="shared" si="8"/>
        <v>506887.09760325617</v>
      </c>
      <c r="K16" s="268">
        <f t="shared" si="9"/>
        <v>3643218.8998833369</v>
      </c>
      <c r="L16" s="268">
        <f t="shared" si="10"/>
        <v>123459817.11237542</v>
      </c>
      <c r="M16" s="266">
        <f t="shared" si="0"/>
        <v>3590770737.2051911</v>
      </c>
    </row>
    <row r="17" spans="1:13" x14ac:dyDescent="0.2">
      <c r="A17" s="723">
        <f t="shared" si="11"/>
        <v>7</v>
      </c>
      <c r="B17" s="724" t="s">
        <v>213</v>
      </c>
      <c r="C17" s="268">
        <f t="shared" si="1"/>
        <v>77163113.508182794</v>
      </c>
      <c r="D17" s="281">
        <f t="shared" si="2"/>
        <v>99815695.507775024</v>
      </c>
      <c r="E17" s="268">
        <f t="shared" si="3"/>
        <v>186932446.62280163</v>
      </c>
      <c r="F17" s="268">
        <f t="shared" si="4"/>
        <v>1866151764.5644171</v>
      </c>
      <c r="G17" s="268">
        <f t="shared" si="5"/>
        <v>621157064.1923281</v>
      </c>
      <c r="H17" s="268">
        <f t="shared" si="6"/>
        <v>136522518.20265976</v>
      </c>
      <c r="I17" s="268">
        <f t="shared" si="7"/>
        <v>463258656.37648147</v>
      </c>
      <c r="J17" s="268">
        <f t="shared" si="8"/>
        <v>572626.96240722202</v>
      </c>
      <c r="K17" s="268">
        <f t="shared" si="9"/>
        <v>3699721.4629070307</v>
      </c>
      <c r="L17" s="268">
        <f t="shared" si="10"/>
        <v>123391128.36930695</v>
      </c>
      <c r="M17" s="266">
        <f t="shared" si="0"/>
        <v>3578664735.7692666</v>
      </c>
    </row>
    <row r="18" spans="1:13" x14ac:dyDescent="0.2">
      <c r="A18" s="723">
        <f t="shared" si="11"/>
        <v>8</v>
      </c>
      <c r="B18" s="726" t="s">
        <v>214</v>
      </c>
      <c r="C18" s="268">
        <f t="shared" si="1"/>
        <v>77163113.508182794</v>
      </c>
      <c r="D18" s="281">
        <f t="shared" si="2"/>
        <v>99815700.206999257</v>
      </c>
      <c r="E18" s="268">
        <f t="shared" si="3"/>
        <v>180183730.47790727</v>
      </c>
      <c r="F18" s="268">
        <f t="shared" si="4"/>
        <v>1876101255.1084895</v>
      </c>
      <c r="G18" s="268">
        <f t="shared" si="5"/>
        <v>621477563.69115055</v>
      </c>
      <c r="H18" s="268">
        <f t="shared" si="6"/>
        <v>138561474.86434743</v>
      </c>
      <c r="I18" s="268">
        <f t="shared" si="7"/>
        <v>468914923.58820379</v>
      </c>
      <c r="J18" s="268">
        <f t="shared" si="8"/>
        <v>567366.29571710655</v>
      </c>
      <c r="K18" s="268">
        <f t="shared" si="9"/>
        <v>3685095.6214977019</v>
      </c>
      <c r="L18" s="268">
        <f t="shared" si="10"/>
        <v>123513137.79063374</v>
      </c>
      <c r="M18" s="266">
        <f t="shared" si="0"/>
        <v>3589983361.1531296</v>
      </c>
    </row>
    <row r="19" spans="1:13" x14ac:dyDescent="0.2">
      <c r="A19" s="723">
        <f t="shared" si="11"/>
        <v>9</v>
      </c>
      <c r="B19" s="724" t="s">
        <v>215</v>
      </c>
      <c r="C19" s="268">
        <f t="shared" si="1"/>
        <v>82750209.311013743</v>
      </c>
      <c r="D19" s="281">
        <f t="shared" si="2"/>
        <v>103388434.63204607</v>
      </c>
      <c r="E19" s="268">
        <f t="shared" si="3"/>
        <v>184762701.26890206</v>
      </c>
      <c r="F19" s="268">
        <f t="shared" si="4"/>
        <v>1981916408.2817085</v>
      </c>
      <c r="G19" s="268">
        <f t="shared" si="5"/>
        <v>626896210.14415586</v>
      </c>
      <c r="H19" s="268">
        <f t="shared" si="6"/>
        <v>139807671.30420488</v>
      </c>
      <c r="I19" s="268">
        <f t="shared" si="7"/>
        <v>460425307.73941052</v>
      </c>
      <c r="J19" s="268">
        <f t="shared" si="8"/>
        <v>567362.40073128941</v>
      </c>
      <c r="K19" s="268">
        <f t="shared" si="9"/>
        <v>3683455.0132770035</v>
      </c>
      <c r="L19" s="268">
        <f t="shared" si="10"/>
        <v>123755751.44803847</v>
      </c>
      <c r="M19" s="266">
        <f t="shared" si="0"/>
        <v>3707953511.5434885</v>
      </c>
    </row>
    <row r="20" spans="1:13" x14ac:dyDescent="0.2">
      <c r="A20" s="723">
        <f t="shared" si="11"/>
        <v>10</v>
      </c>
      <c r="B20" s="724" t="s">
        <v>216</v>
      </c>
      <c r="C20" s="268">
        <f t="shared" si="1"/>
        <v>82749865.355037421</v>
      </c>
      <c r="D20" s="281">
        <f t="shared" si="2"/>
        <v>103205717.35804583</v>
      </c>
      <c r="E20" s="268">
        <f t="shared" si="3"/>
        <v>181190860.90376931</v>
      </c>
      <c r="F20" s="268">
        <f t="shared" si="4"/>
        <v>1980711530.1653829</v>
      </c>
      <c r="G20" s="268">
        <f t="shared" si="5"/>
        <v>628766042.32602262</v>
      </c>
      <c r="H20" s="268">
        <f t="shared" si="6"/>
        <v>141784643.00930434</v>
      </c>
      <c r="I20" s="268">
        <f t="shared" si="7"/>
        <v>460569257.01923853</v>
      </c>
      <c r="J20" s="268">
        <f t="shared" si="8"/>
        <v>567908.57908896357</v>
      </c>
      <c r="K20" s="268">
        <f t="shared" si="9"/>
        <v>3681832.2109009903</v>
      </c>
      <c r="L20" s="268">
        <f t="shared" si="10"/>
        <v>123991684.484751</v>
      </c>
      <c r="M20" s="266">
        <f t="shared" si="0"/>
        <v>3707219341.4115424</v>
      </c>
    </row>
    <row r="21" spans="1:13" x14ac:dyDescent="0.2">
      <c r="A21" s="723">
        <f t="shared" si="11"/>
        <v>11</v>
      </c>
      <c r="B21" s="726" t="s">
        <v>219</v>
      </c>
      <c r="C21" s="268">
        <f t="shared" si="1"/>
        <v>82768342.17654182</v>
      </c>
      <c r="D21" s="281">
        <f t="shared" si="2"/>
        <v>103190749.62371126</v>
      </c>
      <c r="E21" s="268">
        <f t="shared" si="3"/>
        <v>176920205.0071604</v>
      </c>
      <c r="F21" s="268">
        <f t="shared" si="4"/>
        <v>1992828591.6617224</v>
      </c>
      <c r="G21" s="268">
        <f t="shared" si="5"/>
        <v>629749258.42286253</v>
      </c>
      <c r="H21" s="268">
        <f t="shared" si="6"/>
        <v>142175029.4443914</v>
      </c>
      <c r="I21" s="268">
        <f t="shared" si="7"/>
        <v>461076357.86379689</v>
      </c>
      <c r="J21" s="268">
        <f t="shared" si="8"/>
        <v>568415.6586582124</v>
      </c>
      <c r="K21" s="268">
        <f t="shared" si="9"/>
        <v>3697358.4644579729</v>
      </c>
      <c r="L21" s="268">
        <f t="shared" si="10"/>
        <v>124348338.684751</v>
      </c>
      <c r="M21" s="266">
        <f t="shared" si="0"/>
        <v>3717322647.0080533</v>
      </c>
    </row>
    <row r="22" spans="1:13" x14ac:dyDescent="0.2">
      <c r="A22" s="723">
        <f t="shared" si="11"/>
        <v>12</v>
      </c>
      <c r="B22" s="726" t="s">
        <v>218</v>
      </c>
      <c r="C22" s="268">
        <f t="shared" si="1"/>
        <v>82757487.79537265</v>
      </c>
      <c r="D22" s="281">
        <f t="shared" si="2"/>
        <v>103208837.3341651</v>
      </c>
      <c r="E22" s="268">
        <f t="shared" si="3"/>
        <v>185090634.07295349</v>
      </c>
      <c r="F22" s="268">
        <f t="shared" si="4"/>
        <v>1986742296.2933037</v>
      </c>
      <c r="G22" s="268">
        <f t="shared" si="5"/>
        <v>631329718.31782162</v>
      </c>
      <c r="H22" s="268">
        <f t="shared" si="6"/>
        <v>142847895.47067615</v>
      </c>
      <c r="I22" s="268">
        <f t="shared" si="7"/>
        <v>461721256.04084218</v>
      </c>
      <c r="J22" s="268">
        <f t="shared" si="8"/>
        <v>576146.66862075031</v>
      </c>
      <c r="K22" s="268">
        <f t="shared" si="9"/>
        <v>3766909.8368726191</v>
      </c>
      <c r="L22" s="268">
        <f t="shared" si="10"/>
        <v>124244609.16198161</v>
      </c>
      <c r="M22" s="266">
        <f t="shared" si="0"/>
        <v>3722285790.9926095</v>
      </c>
    </row>
    <row r="23" spans="1:13" x14ac:dyDescent="0.2">
      <c r="A23" s="723">
        <f t="shared" si="11"/>
        <v>13</v>
      </c>
      <c r="B23" s="724" t="s">
        <v>208</v>
      </c>
      <c r="C23" s="138">
        <v>82755740.135617554</v>
      </c>
      <c r="D23" s="138">
        <v>103210254.99837291</v>
      </c>
      <c r="E23" s="493">
        <v>179247170.44292822</v>
      </c>
      <c r="F23" s="493">
        <v>2148172469.2107306</v>
      </c>
      <c r="G23" s="493">
        <v>728242650.16347945</v>
      </c>
      <c r="H23" s="493">
        <v>148632888.4820841</v>
      </c>
      <c r="I23" s="493">
        <v>494953932.48711836</v>
      </c>
      <c r="J23" s="493">
        <v>645861.64518965012</v>
      </c>
      <c r="K23" s="493">
        <v>3959306.6940610548</v>
      </c>
      <c r="L23" s="493">
        <v>38747355.238424651</v>
      </c>
      <c r="M23" s="430">
        <f t="shared" si="0"/>
        <v>3928567629.4980068</v>
      </c>
    </row>
    <row r="24" spans="1:13" x14ac:dyDescent="0.2">
      <c r="A24" s="723">
        <f t="shared" si="11"/>
        <v>14</v>
      </c>
      <c r="B24" s="727" t="s">
        <v>1453</v>
      </c>
      <c r="C24" s="266">
        <f t="shared" ref="C24:M24" si="12">AVERAGE(C11:C23)</f>
        <v>78869556.655947715</v>
      </c>
      <c r="D24" s="266">
        <f t="shared" si="12"/>
        <v>98344820.191934511</v>
      </c>
      <c r="E24" s="266">
        <f t="shared" si="12"/>
        <v>184731648.58058101</v>
      </c>
      <c r="F24" s="266">
        <f t="shared" si="12"/>
        <v>1911451684.043221</v>
      </c>
      <c r="G24" s="266">
        <f t="shared" si="12"/>
        <v>610631030.62217641</v>
      </c>
      <c r="H24" s="266">
        <f t="shared" si="12"/>
        <v>138136005.56850547</v>
      </c>
      <c r="I24" s="266">
        <f t="shared" si="12"/>
        <v>452859885.14201438</v>
      </c>
      <c r="J24" s="266">
        <f t="shared" si="12"/>
        <v>550955.91534117726</v>
      </c>
      <c r="K24" s="266">
        <f t="shared" si="12"/>
        <v>3660122.230201398</v>
      </c>
      <c r="L24" s="266">
        <f t="shared" si="12"/>
        <v>113051470.73512425</v>
      </c>
      <c r="M24" s="266">
        <f t="shared" si="12"/>
        <v>3592287179.6850476</v>
      </c>
    </row>
    <row r="25" spans="1:13" x14ac:dyDescent="0.2">
      <c r="A25" s="683"/>
      <c r="B25" s="683"/>
      <c r="C25" s="683"/>
      <c r="D25" s="683"/>
      <c r="E25" s="683"/>
      <c r="F25" s="683"/>
      <c r="G25" s="683"/>
      <c r="H25" s="683"/>
      <c r="I25" s="683"/>
      <c r="J25" s="683"/>
      <c r="K25" s="683"/>
      <c r="L25" s="683"/>
    </row>
    <row r="26" spans="1:13" x14ac:dyDescent="0.2">
      <c r="A26" s="683"/>
      <c r="B26" s="488" t="s">
        <v>371</v>
      </c>
      <c r="C26" s="683"/>
      <c r="D26" s="683"/>
      <c r="E26" s="683"/>
      <c r="F26" s="683"/>
      <c r="G26" s="683"/>
      <c r="H26" s="683"/>
      <c r="I26" s="683"/>
      <c r="J26" s="683"/>
      <c r="K26" s="683"/>
      <c r="L26" s="683"/>
    </row>
    <row r="27" spans="1:13" x14ac:dyDescent="0.2">
      <c r="A27" s="683"/>
      <c r="B27" s="488"/>
      <c r="C27" s="683"/>
      <c r="D27" s="683"/>
      <c r="E27" s="683"/>
      <c r="F27" s="683"/>
      <c r="G27" s="683"/>
      <c r="H27" s="683"/>
      <c r="I27" s="683"/>
      <c r="J27" s="683"/>
      <c r="K27" s="683"/>
      <c r="L27" s="683"/>
    </row>
    <row r="28" spans="1:13" x14ac:dyDescent="0.2">
      <c r="A28" s="683"/>
      <c r="B28" s="264" t="s">
        <v>1929</v>
      </c>
      <c r="C28" s="683"/>
      <c r="D28" s="683"/>
      <c r="E28" s="683"/>
      <c r="F28" s="683"/>
      <c r="G28" s="683"/>
      <c r="H28" s="683"/>
      <c r="I28" s="683"/>
      <c r="J28" s="683"/>
      <c r="K28" s="683"/>
      <c r="L28" s="683"/>
    </row>
    <row r="29" spans="1:13" x14ac:dyDescent="0.2">
      <c r="A29" s="683"/>
      <c r="B29" s="488"/>
      <c r="C29" s="683"/>
      <c r="D29" s="683"/>
      <c r="E29" s="683"/>
      <c r="F29" s="683"/>
      <c r="G29" s="683"/>
      <c r="H29" s="683"/>
      <c r="I29" s="683"/>
      <c r="J29" s="683"/>
      <c r="K29" s="683"/>
      <c r="L29" s="683"/>
    </row>
    <row r="30" spans="1:13" x14ac:dyDescent="0.2">
      <c r="A30" s="488"/>
      <c r="B30" s="99" t="s">
        <v>417</v>
      </c>
      <c r="C30" s="99" t="s">
        <v>400</v>
      </c>
      <c r="D30" s="99" t="s">
        <v>401</v>
      </c>
      <c r="E30" s="99" t="s">
        <v>402</v>
      </c>
      <c r="F30" s="99" t="s">
        <v>403</v>
      </c>
      <c r="G30" s="683"/>
      <c r="H30" s="683"/>
      <c r="I30" s="683"/>
      <c r="J30" s="683"/>
      <c r="K30" s="683"/>
      <c r="L30" s="683"/>
    </row>
    <row r="31" spans="1:13" x14ac:dyDescent="0.2">
      <c r="A31" s="264"/>
      <c r="B31" s="286"/>
      <c r="C31" s="264"/>
      <c r="D31" s="264"/>
      <c r="E31" s="264"/>
      <c r="F31" s="286" t="s">
        <v>1454</v>
      </c>
      <c r="G31" s="683"/>
      <c r="H31" s="683"/>
      <c r="K31" s="683"/>
      <c r="L31" s="683"/>
    </row>
    <row r="32" spans="1:13" x14ac:dyDescent="0.2">
      <c r="A32" s="264"/>
      <c r="B32" s="723" t="s">
        <v>473</v>
      </c>
      <c r="C32" s="264"/>
      <c r="D32" s="264"/>
      <c r="E32" s="264"/>
      <c r="F32" s="264"/>
      <c r="G32" s="683"/>
      <c r="H32" s="683"/>
      <c r="K32" s="683"/>
      <c r="L32" s="683"/>
    </row>
    <row r="33" spans="1:12" x14ac:dyDescent="0.2">
      <c r="A33" s="264"/>
      <c r="B33" s="723" t="s">
        <v>221</v>
      </c>
      <c r="C33" s="99"/>
      <c r="D33" s="99"/>
      <c r="E33" s="264"/>
      <c r="F33" s="264"/>
      <c r="G33" s="683"/>
      <c r="H33" s="683"/>
      <c r="K33" s="683"/>
      <c r="L33" s="683"/>
    </row>
    <row r="34" spans="1:12" ht="12.75" customHeight="1" x14ac:dyDescent="0.2">
      <c r="A34" s="53" t="s">
        <v>380</v>
      </c>
      <c r="B34" s="3" t="s">
        <v>220</v>
      </c>
      <c r="C34" s="431">
        <v>360</v>
      </c>
      <c r="D34" s="431">
        <v>361</v>
      </c>
      <c r="E34" s="431">
        <v>362</v>
      </c>
      <c r="F34" s="3" t="s">
        <v>225</v>
      </c>
      <c r="G34" s="683"/>
      <c r="H34" s="683"/>
      <c r="K34" s="683"/>
      <c r="L34" s="683"/>
    </row>
    <row r="35" spans="1:12" ht="12.75" customHeight="1" x14ac:dyDescent="0.2">
      <c r="A35" s="723">
        <f>A24+1</f>
        <v>15</v>
      </c>
      <c r="B35" s="724" t="s">
        <v>208</v>
      </c>
      <c r="C35" s="269">
        <v>75876.480999774722</v>
      </c>
      <c r="D35" s="269">
        <v>683246.94527539623</v>
      </c>
      <c r="E35" s="269">
        <v>5875711.4176010117</v>
      </c>
      <c r="F35" s="266">
        <f>SUM(C35:E35)</f>
        <v>6634834.843876183</v>
      </c>
      <c r="G35" s="683"/>
      <c r="H35" s="683"/>
      <c r="K35" s="683"/>
      <c r="L35" s="683"/>
    </row>
    <row r="36" spans="1:12" ht="12.75" customHeight="1" x14ac:dyDescent="0.2">
      <c r="A36" s="723">
        <f>A35+1</f>
        <v>16</v>
      </c>
      <c r="B36" s="724" t="s">
        <v>208</v>
      </c>
      <c r="C36" s="493">
        <v>78348.646627332098</v>
      </c>
      <c r="D36" s="493">
        <v>718564.57265429304</v>
      </c>
      <c r="E36" s="493">
        <v>6051836.2912730929</v>
      </c>
      <c r="F36" s="430">
        <f>SUM(C36:E36)</f>
        <v>6848749.5105547179</v>
      </c>
      <c r="G36" s="683"/>
      <c r="H36" s="683"/>
      <c r="K36" s="683"/>
      <c r="L36" s="683"/>
    </row>
    <row r="37" spans="1:12" ht="12.75" customHeight="1" x14ac:dyDescent="0.2">
      <c r="A37" s="723">
        <f>A36+1</f>
        <v>17</v>
      </c>
      <c r="B37" s="727" t="s">
        <v>1455</v>
      </c>
      <c r="C37" s="266">
        <f>AVERAGE(C35:C36)</f>
        <v>77112.56381355341</v>
      </c>
      <c r="D37" s="266">
        <f>AVERAGE(D35:D36)</f>
        <v>700905.75896484463</v>
      </c>
      <c r="E37" s="266">
        <f>AVERAGE(E35:E36)</f>
        <v>5963773.8544370523</v>
      </c>
      <c r="F37" s="266">
        <f>AVERAGE(F35:F36)</f>
        <v>6741792.1772154504</v>
      </c>
      <c r="G37" s="683"/>
      <c r="H37" s="683"/>
      <c r="K37" s="683"/>
      <c r="L37" s="683"/>
    </row>
    <row r="38" spans="1:12" ht="12.75" customHeight="1" x14ac:dyDescent="0.2">
      <c r="A38" s="683"/>
      <c r="B38" s="683"/>
      <c r="C38" s="683"/>
      <c r="D38" s="683"/>
      <c r="E38" s="683"/>
      <c r="F38" s="683"/>
      <c r="G38" s="683"/>
      <c r="H38" s="683"/>
      <c r="K38" s="683"/>
      <c r="L38" s="683"/>
    </row>
    <row r="39" spans="1:12" x14ac:dyDescent="0.2">
      <c r="A39" s="683"/>
      <c r="B39" s="1" t="s">
        <v>1241</v>
      </c>
      <c r="C39" s="22"/>
      <c r="D39" s="22"/>
      <c r="E39" s="728"/>
      <c r="F39" s="729"/>
      <c r="G39" s="730"/>
      <c r="H39" s="683"/>
      <c r="K39" s="683"/>
      <c r="L39" s="683"/>
    </row>
    <row r="40" spans="1:12" x14ac:dyDescent="0.2">
      <c r="A40" s="683"/>
      <c r="B40" s="683" t="s">
        <v>1242</v>
      </c>
      <c r="C40" s="22"/>
      <c r="D40" s="22"/>
      <c r="E40" s="728"/>
      <c r="F40" s="729"/>
      <c r="G40" s="730"/>
      <c r="H40" s="683"/>
      <c r="K40" s="683"/>
      <c r="L40" s="683"/>
    </row>
    <row r="41" spans="1:12" x14ac:dyDescent="0.2">
      <c r="A41" s="683"/>
      <c r="B41" s="683"/>
      <c r="C41" s="22"/>
      <c r="D41" s="22"/>
      <c r="E41" s="728"/>
      <c r="F41" s="729"/>
      <c r="G41" s="730"/>
      <c r="H41" s="683"/>
      <c r="K41" s="683"/>
      <c r="L41" s="683"/>
    </row>
    <row r="42" spans="1:12" x14ac:dyDescent="0.2">
      <c r="A42" s="683"/>
      <c r="B42" s="683"/>
      <c r="C42" s="22"/>
      <c r="D42" s="490" t="s">
        <v>203</v>
      </c>
      <c r="E42" s="491" t="s">
        <v>207</v>
      </c>
      <c r="F42" s="729"/>
      <c r="G42" s="730"/>
      <c r="H42" s="683"/>
      <c r="K42" s="683"/>
      <c r="L42" s="683"/>
    </row>
    <row r="43" spans="1:12" x14ac:dyDescent="0.2">
      <c r="A43" s="723">
        <f>A37+1</f>
        <v>18</v>
      </c>
      <c r="B43" s="683"/>
      <c r="C43" s="728" t="s">
        <v>372</v>
      </c>
      <c r="D43" s="729">
        <f>M24+F37</f>
        <v>3599028971.8622632</v>
      </c>
      <c r="E43" s="731" t="str">
        <f>"Sum of Line "&amp;A24&amp;", "&amp;M7&amp;" and Line "&amp;A37&amp;", "&amp;F30&amp;""</f>
        <v>Sum of Line 14, Col 12 and Line 17, Col 5</v>
      </c>
      <c r="F43" s="683"/>
      <c r="G43" s="683"/>
      <c r="H43" s="683"/>
      <c r="K43" s="683"/>
      <c r="L43" s="683"/>
    </row>
    <row r="44" spans="1:12" x14ac:dyDescent="0.2">
      <c r="A44" s="723">
        <f>A43+1</f>
        <v>19</v>
      </c>
      <c r="B44" s="683"/>
      <c r="C44" s="728" t="s">
        <v>180</v>
      </c>
      <c r="D44" s="729">
        <f>M23+F36</f>
        <v>3935416379.0085616</v>
      </c>
      <c r="E44" s="731" t="str">
        <f>"Sum of Line "&amp;A23&amp;", "&amp;M7&amp;" and Line "&amp;A36&amp;", "&amp;F30&amp;""</f>
        <v>Sum of Line 13, Col 12 and Line 16, Col 5</v>
      </c>
      <c r="F44" s="683"/>
      <c r="G44" s="683"/>
      <c r="H44" s="683"/>
      <c r="I44" s="683"/>
      <c r="J44" s="683"/>
      <c r="K44" s="683"/>
      <c r="L44" s="683"/>
    </row>
    <row r="45" spans="1:12" x14ac:dyDescent="0.2">
      <c r="A45" s="683"/>
      <c r="B45" s="683"/>
      <c r="C45" s="22"/>
      <c r="D45" s="22"/>
      <c r="E45" s="732"/>
      <c r="F45" s="733"/>
      <c r="G45" s="734"/>
      <c r="H45" s="683"/>
      <c r="I45" s="683"/>
      <c r="J45" s="683"/>
      <c r="K45" s="683"/>
      <c r="L45" s="683"/>
    </row>
    <row r="46" spans="1:12" x14ac:dyDescent="0.2">
      <c r="A46" s="683"/>
      <c r="B46" s="1" t="s">
        <v>1486</v>
      </c>
      <c r="C46" s="683"/>
      <c r="D46" s="683"/>
      <c r="E46" s="732"/>
      <c r="F46" s="733"/>
      <c r="G46" s="734"/>
      <c r="H46" s="683"/>
      <c r="I46" s="683"/>
      <c r="J46" s="683"/>
      <c r="K46" s="683"/>
      <c r="L46" s="683"/>
    </row>
    <row r="47" spans="1:12" x14ac:dyDescent="0.2">
      <c r="A47" s="683"/>
      <c r="B47" s="687" t="s">
        <v>353</v>
      </c>
      <c r="C47" s="683"/>
      <c r="D47" s="683"/>
      <c r="E47" s="732"/>
      <c r="F47" s="733"/>
      <c r="G47" s="734"/>
      <c r="H47" s="683"/>
      <c r="I47" s="683"/>
      <c r="J47" s="683"/>
      <c r="K47" s="683"/>
      <c r="L47" s="683"/>
    </row>
    <row r="48" spans="1:12" ht="12.75" customHeight="1" x14ac:dyDescent="0.2">
      <c r="A48" s="683"/>
      <c r="B48" s="687"/>
      <c r="C48" s="683"/>
      <c r="D48" s="683"/>
      <c r="E48" s="732"/>
      <c r="F48" s="733"/>
      <c r="G48" s="734"/>
      <c r="H48" s="683"/>
      <c r="I48" s="683"/>
      <c r="J48" s="683"/>
      <c r="K48" s="683"/>
      <c r="L48" s="683"/>
    </row>
    <row r="49" spans="1:12" x14ac:dyDescent="0.2">
      <c r="A49" s="683"/>
      <c r="B49" s="1"/>
      <c r="C49" s="286" t="s">
        <v>418</v>
      </c>
      <c r="D49" s="683"/>
      <c r="E49" s="732"/>
      <c r="F49" s="99" t="s">
        <v>417</v>
      </c>
      <c r="G49" s="99" t="s">
        <v>400</v>
      </c>
      <c r="H49" s="99" t="s">
        <v>401</v>
      </c>
      <c r="I49" s="683"/>
      <c r="J49" s="683"/>
      <c r="K49" s="683"/>
      <c r="L49" s="683"/>
    </row>
    <row r="50" spans="1:12" x14ac:dyDescent="0.2">
      <c r="A50" s="683"/>
      <c r="B50" s="1"/>
      <c r="C50" s="723" t="s">
        <v>473</v>
      </c>
      <c r="D50" s="732"/>
      <c r="F50" s="723" t="s">
        <v>1482</v>
      </c>
      <c r="G50" s="723" t="s">
        <v>1483</v>
      </c>
      <c r="H50" s="84" t="s">
        <v>225</v>
      </c>
      <c r="I50" s="734"/>
      <c r="J50" s="683"/>
      <c r="K50" s="683"/>
      <c r="L50" s="683"/>
    </row>
    <row r="51" spans="1:12" x14ac:dyDescent="0.2">
      <c r="A51" s="683"/>
      <c r="B51" s="683"/>
      <c r="C51" s="723" t="s">
        <v>221</v>
      </c>
      <c r="D51" s="26" t="s">
        <v>222</v>
      </c>
      <c r="F51" s="26" t="s">
        <v>439</v>
      </c>
      <c r="G51" s="26" t="s">
        <v>439</v>
      </c>
      <c r="H51" s="26" t="s">
        <v>1456</v>
      </c>
      <c r="I51" s="26"/>
      <c r="J51" s="683"/>
      <c r="K51" s="683"/>
      <c r="L51" s="683"/>
    </row>
    <row r="52" spans="1:12" x14ac:dyDescent="0.2">
      <c r="A52" s="683"/>
      <c r="B52" s="683"/>
      <c r="C52" s="3" t="s">
        <v>220</v>
      </c>
      <c r="D52" s="25" t="s">
        <v>207</v>
      </c>
      <c r="F52" s="31" t="s">
        <v>2</v>
      </c>
      <c r="G52" s="31" t="s">
        <v>2</v>
      </c>
      <c r="H52" s="31" t="s">
        <v>2</v>
      </c>
      <c r="I52" s="29" t="s">
        <v>196</v>
      </c>
      <c r="J52" s="683"/>
      <c r="K52" s="683"/>
      <c r="L52" s="683"/>
    </row>
    <row r="53" spans="1:12" x14ac:dyDescent="0.2">
      <c r="A53" s="723">
        <f>A44+1</f>
        <v>20</v>
      </c>
      <c r="B53" s="683"/>
      <c r="C53" s="735" t="s">
        <v>208</v>
      </c>
      <c r="D53" s="736" t="s">
        <v>1484</v>
      </c>
      <c r="F53" s="127">
        <v>2123098622</v>
      </c>
      <c r="G53" s="725">
        <v>1557464316</v>
      </c>
      <c r="H53" s="729">
        <f>SUM(F53:G53)</f>
        <v>3680562938</v>
      </c>
      <c r="I53" s="736" t="s">
        <v>224</v>
      </c>
      <c r="J53" s="683"/>
      <c r="K53" s="683"/>
      <c r="L53" s="683"/>
    </row>
    <row r="54" spans="1:12" ht="12.75" customHeight="1" x14ac:dyDescent="0.2">
      <c r="A54" s="723">
        <f>A53+1</f>
        <v>21</v>
      </c>
      <c r="B54" s="683"/>
      <c r="C54" s="724" t="s">
        <v>208</v>
      </c>
      <c r="D54" s="736" t="s">
        <v>1485</v>
      </c>
      <c r="F54" s="127">
        <v>2405863603</v>
      </c>
      <c r="G54" s="725">
        <v>1688953361</v>
      </c>
      <c r="H54" s="729">
        <f>SUM(F54:G54)</f>
        <v>4094816964</v>
      </c>
      <c r="I54" s="687" t="s">
        <v>227</v>
      </c>
      <c r="J54" s="683"/>
      <c r="K54" s="683"/>
      <c r="L54" s="683"/>
    </row>
    <row r="55" spans="1:12" ht="12.75" customHeight="1" x14ac:dyDescent="0.2">
      <c r="A55" s="683"/>
      <c r="B55" s="683"/>
      <c r="C55" s="724"/>
      <c r="D55" s="737"/>
      <c r="E55" s="738"/>
      <c r="F55" s="729"/>
      <c r="G55" s="687"/>
      <c r="H55" s="683"/>
      <c r="I55" s="683"/>
      <c r="J55" s="683"/>
      <c r="K55" s="683"/>
      <c r="L55" s="683"/>
    </row>
    <row r="56" spans="1:12" ht="12.75" customHeight="1" x14ac:dyDescent="0.2">
      <c r="A56" s="683"/>
      <c r="B56" s="683"/>
      <c r="C56" s="22" t="s">
        <v>1488</v>
      </c>
      <c r="D56" s="22"/>
      <c r="E56" s="732"/>
      <c r="F56" s="491" t="s">
        <v>203</v>
      </c>
      <c r="G56" s="492" t="s">
        <v>207</v>
      </c>
      <c r="H56" s="683"/>
      <c r="I56" s="683"/>
      <c r="J56" s="683"/>
      <c r="K56" s="683"/>
      <c r="L56" s="683"/>
    </row>
    <row r="57" spans="1:12" x14ac:dyDescent="0.2">
      <c r="A57" s="723">
        <f>A54+1</f>
        <v>22</v>
      </c>
      <c r="B57" s="683"/>
      <c r="C57" s="22"/>
      <c r="D57" s="22"/>
      <c r="E57" s="728" t="s">
        <v>100</v>
      </c>
      <c r="F57" s="729">
        <f>(H53+H54)/2</f>
        <v>3887689951</v>
      </c>
      <c r="G57" s="739" t="str">
        <f>"Average of Line "&amp;A53&amp;" and "&amp;A54&amp;"."</f>
        <v>Average of Line 20 and 21.</v>
      </c>
      <c r="H57" s="683"/>
      <c r="I57" s="683"/>
      <c r="J57" s="683"/>
      <c r="K57" s="683"/>
      <c r="L57" s="683"/>
    </row>
    <row r="58" spans="1:12" x14ac:dyDescent="0.2">
      <c r="A58" s="723">
        <f>A57+1</f>
        <v>23</v>
      </c>
      <c r="B58" s="683"/>
      <c r="C58" s="22"/>
      <c r="D58" s="22"/>
      <c r="E58" s="740" t="s">
        <v>278</v>
      </c>
      <c r="F58" s="36">
        <f>Allocators!G15</f>
        <v>3.9310790220978262E-2</v>
      </c>
      <c r="G58" s="739" t="str">
        <f>"Allocators WS, Line "&amp;Allocators!A15&amp;""</f>
        <v>Allocators WS, Line 9</v>
      </c>
      <c r="H58" s="683"/>
      <c r="I58" s="683"/>
      <c r="J58" s="683"/>
      <c r="K58" s="683"/>
      <c r="L58" s="683"/>
    </row>
    <row r="59" spans="1:12" x14ac:dyDescent="0.2">
      <c r="A59" s="723">
        <f>A58+1</f>
        <v>24</v>
      </c>
      <c r="B59" s="683"/>
      <c r="C59" s="22"/>
      <c r="D59" s="22"/>
      <c r="E59" s="740" t="s">
        <v>354</v>
      </c>
      <c r="F59" s="729">
        <f>F57*F58</f>
        <v>152828164.10796624</v>
      </c>
      <c r="G59" s="739" t="str">
        <f>"Line "&amp;A57&amp;" * Line "&amp;A58&amp;"."</f>
        <v>Line 22 * Line 23.</v>
      </c>
      <c r="H59" s="683"/>
      <c r="I59" s="683"/>
      <c r="J59" s="683"/>
      <c r="K59" s="683"/>
      <c r="L59" s="683"/>
    </row>
    <row r="60" spans="1:12" x14ac:dyDescent="0.2">
      <c r="A60" s="683"/>
      <c r="B60" s="683"/>
      <c r="C60" s="22"/>
      <c r="D60" s="22"/>
      <c r="E60" s="740"/>
      <c r="F60" s="729"/>
      <c r="G60" s="730"/>
      <c r="H60" s="683"/>
      <c r="I60" s="683"/>
      <c r="J60" s="683"/>
      <c r="K60" s="683"/>
      <c r="L60" s="683"/>
    </row>
    <row r="61" spans="1:12" x14ac:dyDescent="0.2">
      <c r="A61" s="683"/>
      <c r="B61" s="683"/>
      <c r="C61" s="22" t="s">
        <v>1487</v>
      </c>
      <c r="D61" s="22"/>
      <c r="E61" s="732"/>
      <c r="F61" s="491" t="s">
        <v>203</v>
      </c>
      <c r="G61" s="492" t="s">
        <v>207</v>
      </c>
      <c r="H61" s="683"/>
      <c r="I61" s="683"/>
      <c r="J61" s="683"/>
      <c r="K61" s="683"/>
      <c r="L61" s="683"/>
    </row>
    <row r="62" spans="1:12" x14ac:dyDescent="0.2">
      <c r="A62" s="723">
        <f>A59+1</f>
        <v>25</v>
      </c>
      <c r="B62" s="683"/>
      <c r="C62" s="22"/>
      <c r="D62" s="22"/>
      <c r="E62" s="728" t="s">
        <v>180</v>
      </c>
      <c r="F62" s="729">
        <f>H54</f>
        <v>4094816964</v>
      </c>
      <c r="G62" s="739" t="str">
        <f>"Line "&amp;A54&amp;"."</f>
        <v>Line 21.</v>
      </c>
      <c r="H62" s="683"/>
      <c r="I62" s="683"/>
      <c r="J62" s="683"/>
      <c r="K62" s="683"/>
      <c r="L62" s="683"/>
    </row>
    <row r="63" spans="1:12" x14ac:dyDescent="0.2">
      <c r="A63" s="723">
        <f>A62+1</f>
        <v>26</v>
      </c>
      <c r="B63" s="683"/>
      <c r="C63" s="22"/>
      <c r="D63" s="22"/>
      <c r="E63" s="740" t="s">
        <v>278</v>
      </c>
      <c r="F63" s="36">
        <f>Allocators!G15</f>
        <v>3.9310790220978262E-2</v>
      </c>
      <c r="G63" s="739" t="str">
        <f>"Allocators WS, Line "&amp;Allocators!A15&amp;""</f>
        <v>Allocators WS, Line 9</v>
      </c>
      <c r="H63" s="683"/>
      <c r="I63" s="683"/>
      <c r="J63" s="683"/>
      <c r="K63" s="683"/>
      <c r="L63" s="683"/>
    </row>
    <row r="64" spans="1:12" x14ac:dyDescent="0.2">
      <c r="A64" s="723">
        <f>A63+1</f>
        <v>27</v>
      </c>
      <c r="B64" s="683"/>
      <c r="C64" s="22"/>
      <c r="D64" s="22"/>
      <c r="E64" s="740" t="s">
        <v>354</v>
      </c>
      <c r="F64" s="729">
        <f>F62*F63</f>
        <v>160970490.6651071</v>
      </c>
      <c r="G64" s="739" t="str">
        <f>"Line "&amp;A62&amp;" * Line "&amp;A63&amp;"."</f>
        <v>Line 25 * Line 26.</v>
      </c>
      <c r="H64" s="683"/>
      <c r="I64" s="683"/>
      <c r="J64" s="683"/>
      <c r="K64" s="683"/>
      <c r="L64" s="683"/>
    </row>
    <row r="65" spans="1:13" x14ac:dyDescent="0.2">
      <c r="A65" s="683"/>
      <c r="B65" s="683"/>
      <c r="C65" s="683"/>
      <c r="D65" s="683"/>
      <c r="E65" s="683"/>
      <c r="F65" s="683"/>
      <c r="G65" s="683"/>
      <c r="H65" s="683"/>
      <c r="I65" s="683"/>
      <c r="J65" s="683"/>
      <c r="K65" s="683"/>
      <c r="L65" s="683"/>
    </row>
    <row r="66" spans="1:13" x14ac:dyDescent="0.2">
      <c r="A66" s="683"/>
      <c r="B66" s="683"/>
      <c r="C66" s="683"/>
      <c r="D66" s="683"/>
      <c r="E66" s="683"/>
      <c r="F66" s="683"/>
      <c r="G66" s="683"/>
      <c r="H66" s="683"/>
      <c r="I66" s="683"/>
      <c r="J66" s="683"/>
      <c r="K66" s="683"/>
      <c r="L66" s="683"/>
    </row>
    <row r="67" spans="1:13" x14ac:dyDescent="0.2">
      <c r="A67" s="683"/>
      <c r="B67" s="1" t="s">
        <v>1930</v>
      </c>
      <c r="C67" s="683"/>
      <c r="D67" s="683"/>
      <c r="E67" s="683"/>
      <c r="F67" s="683"/>
      <c r="G67" s="683"/>
      <c r="H67" s="683"/>
      <c r="I67" s="683"/>
      <c r="J67" s="683"/>
      <c r="K67" s="683"/>
      <c r="L67" s="683"/>
    </row>
    <row r="68" spans="1:13" x14ac:dyDescent="0.2">
      <c r="A68" s="683"/>
      <c r="C68" s="683"/>
      <c r="D68" s="683"/>
      <c r="E68" s="683"/>
      <c r="F68" s="683"/>
      <c r="G68" s="683"/>
      <c r="H68" s="683"/>
      <c r="I68" s="683"/>
      <c r="J68" s="683"/>
      <c r="K68" s="683"/>
      <c r="L68" s="683"/>
    </row>
    <row r="69" spans="1:13" x14ac:dyDescent="0.2">
      <c r="B69" s="1" t="s">
        <v>1931</v>
      </c>
      <c r="C69" s="683"/>
      <c r="D69" s="683"/>
      <c r="E69" s="683"/>
      <c r="F69" s="683"/>
      <c r="G69" s="683"/>
      <c r="H69" s="683"/>
      <c r="I69" s="683"/>
      <c r="J69" s="683"/>
      <c r="K69" s="683"/>
      <c r="L69" s="683"/>
    </row>
    <row r="70" spans="1:13" x14ac:dyDescent="0.2">
      <c r="A70" s="683"/>
      <c r="C70" s="683"/>
      <c r="D70" s="683"/>
      <c r="E70" s="683"/>
      <c r="F70" s="683"/>
      <c r="G70" s="683"/>
      <c r="H70" s="683"/>
      <c r="I70" s="683"/>
      <c r="J70" s="683"/>
      <c r="K70" s="683"/>
      <c r="L70" s="683"/>
    </row>
    <row r="71" spans="1:13" x14ac:dyDescent="0.2">
      <c r="A71" s="488"/>
      <c r="B71" s="99" t="s">
        <v>417</v>
      </c>
      <c r="C71" s="99" t="s">
        <v>400</v>
      </c>
      <c r="D71" s="99" t="s">
        <v>401</v>
      </c>
      <c r="E71" s="99" t="s">
        <v>402</v>
      </c>
      <c r="F71" s="99" t="s">
        <v>403</v>
      </c>
      <c r="G71" s="99" t="s">
        <v>404</v>
      </c>
      <c r="H71" s="99" t="s">
        <v>405</v>
      </c>
      <c r="I71" s="99" t="s">
        <v>654</v>
      </c>
      <c r="J71" s="99" t="s">
        <v>1128</v>
      </c>
      <c r="K71" s="99" t="s">
        <v>1145</v>
      </c>
      <c r="L71" s="99" t="s">
        <v>1148</v>
      </c>
      <c r="M71" s="99" t="s">
        <v>1166</v>
      </c>
    </row>
    <row r="72" spans="1:13" x14ac:dyDescent="0.2">
      <c r="A72" s="264"/>
      <c r="B72" s="286"/>
      <c r="C72" s="264"/>
      <c r="D72" s="264"/>
      <c r="E72" s="264"/>
      <c r="F72" s="264"/>
      <c r="G72" s="264"/>
      <c r="H72" s="264"/>
      <c r="I72" s="264"/>
      <c r="J72" s="264"/>
      <c r="K72" s="264"/>
      <c r="M72" s="286" t="s">
        <v>1501</v>
      </c>
    </row>
    <row r="73" spans="1:13" x14ac:dyDescent="0.2">
      <c r="A73" s="264"/>
      <c r="B73" s="723" t="s">
        <v>473</v>
      </c>
      <c r="C73" s="264"/>
      <c r="D73" s="264"/>
      <c r="E73" s="264"/>
      <c r="F73" s="264"/>
      <c r="G73" s="264"/>
      <c r="H73" s="264"/>
      <c r="I73" s="264"/>
      <c r="J73" s="264"/>
      <c r="K73" s="264"/>
      <c r="L73" s="264"/>
    </row>
    <row r="74" spans="1:13" x14ac:dyDescent="0.2">
      <c r="A74" s="264"/>
      <c r="B74" s="723" t="s">
        <v>221</v>
      </c>
      <c r="C74" s="99"/>
      <c r="D74" s="99"/>
      <c r="E74" s="264"/>
      <c r="F74" s="264"/>
      <c r="G74" s="264"/>
      <c r="H74" s="264"/>
      <c r="I74" s="264"/>
      <c r="J74" s="264"/>
      <c r="K74" s="264"/>
      <c r="L74" s="264"/>
    </row>
    <row r="75" spans="1:13" x14ac:dyDescent="0.2">
      <c r="A75" s="53"/>
      <c r="B75" s="3" t="s">
        <v>220</v>
      </c>
      <c r="C75" s="99">
        <v>350.1</v>
      </c>
      <c r="D75" s="99">
        <v>350.2</v>
      </c>
      <c r="E75" s="99">
        <v>352</v>
      </c>
      <c r="F75" s="99">
        <v>353</v>
      </c>
      <c r="G75" s="99">
        <v>354</v>
      </c>
      <c r="H75" s="99">
        <v>355</v>
      </c>
      <c r="I75" s="99">
        <v>356</v>
      </c>
      <c r="J75" s="99">
        <v>357</v>
      </c>
      <c r="K75" s="99">
        <v>358</v>
      </c>
      <c r="L75" s="99">
        <v>359</v>
      </c>
      <c r="M75" s="3" t="s">
        <v>225</v>
      </c>
    </row>
    <row r="76" spans="1:13" x14ac:dyDescent="0.2">
      <c r="A76" s="723">
        <f>A64+1</f>
        <v>28</v>
      </c>
      <c r="B76" s="726" t="s">
        <v>209</v>
      </c>
      <c r="C76" s="725">
        <v>0</v>
      </c>
      <c r="D76" s="725">
        <v>38961.65000000596</v>
      </c>
      <c r="E76" s="269">
        <v>112047.25999999046</v>
      </c>
      <c r="F76" s="269">
        <v>10017240.610001564</v>
      </c>
      <c r="G76" s="269">
        <v>290286.21000003815</v>
      </c>
      <c r="H76" s="269">
        <v>5121414.9800000191</v>
      </c>
      <c r="I76" s="269">
        <v>2238258.9800000191</v>
      </c>
      <c r="J76" s="269">
        <v>2404.9399999976158</v>
      </c>
      <c r="K76" s="269">
        <v>6956567.9600000083</v>
      </c>
      <c r="L76" s="269">
        <v>20.239999994635582</v>
      </c>
      <c r="M76" s="266">
        <f t="shared" ref="M76:M87" si="13">SUM(C76:L76)</f>
        <v>24777202.830001637</v>
      </c>
    </row>
    <row r="77" spans="1:13" x14ac:dyDescent="0.2">
      <c r="A77" s="723">
        <f t="shared" ref="A77:A88" si="14">A76+1</f>
        <v>29</v>
      </c>
      <c r="B77" s="724" t="s">
        <v>210</v>
      </c>
      <c r="C77" s="725">
        <v>2343786.2400000095</v>
      </c>
      <c r="D77" s="725">
        <v>16638858</v>
      </c>
      <c r="E77" s="269">
        <v>28008180.630000055</v>
      </c>
      <c r="F77" s="269">
        <v>132181276.38999987</v>
      </c>
      <c r="G77" s="269">
        <v>80576.139999985695</v>
      </c>
      <c r="H77" s="269">
        <v>1788944.7400000095</v>
      </c>
      <c r="I77" s="269">
        <v>658101.55999994278</v>
      </c>
      <c r="J77" s="269">
        <v>-1916367.9799999967</v>
      </c>
      <c r="K77" s="269">
        <v>1945393.849999994</v>
      </c>
      <c r="L77" s="269">
        <v>20136.209999993443</v>
      </c>
      <c r="M77" s="266">
        <f t="shared" si="13"/>
        <v>181748885.77999985</v>
      </c>
    </row>
    <row r="78" spans="1:13" x14ac:dyDescent="0.2">
      <c r="A78" s="723">
        <f t="shared" si="14"/>
        <v>30</v>
      </c>
      <c r="B78" s="724" t="s">
        <v>223</v>
      </c>
      <c r="C78" s="725">
        <v>92168.399999991059</v>
      </c>
      <c r="D78" s="725">
        <v>2082251.6100000143</v>
      </c>
      <c r="E78" s="269">
        <v>330612.42999994755</v>
      </c>
      <c r="F78" s="269">
        <v>16132881.759999752</v>
      </c>
      <c r="G78" s="269">
        <v>289553.73000001907</v>
      </c>
      <c r="H78" s="269">
        <v>3631131.3200000525</v>
      </c>
      <c r="I78" s="269">
        <v>5881.9700000286102</v>
      </c>
      <c r="J78" s="269">
        <v>84678.039999999106</v>
      </c>
      <c r="K78" s="269">
        <v>-608360.90999999642</v>
      </c>
      <c r="L78" s="269">
        <v>92982.490000009537</v>
      </c>
      <c r="M78" s="266">
        <f t="shared" si="13"/>
        <v>22133780.839999817</v>
      </c>
    </row>
    <row r="79" spans="1:13" x14ac:dyDescent="0.2">
      <c r="A79" s="723">
        <f t="shared" si="14"/>
        <v>31</v>
      </c>
      <c r="B79" s="726" t="s">
        <v>211</v>
      </c>
      <c r="C79" s="725">
        <v>0</v>
      </c>
      <c r="D79" s="725">
        <v>-41711.370000004768</v>
      </c>
      <c r="E79" s="269">
        <v>1101803.2599999905</v>
      </c>
      <c r="F79" s="269">
        <v>30316380.860000134</v>
      </c>
      <c r="G79" s="269">
        <v>70581693.879999995</v>
      </c>
      <c r="H79" s="269">
        <v>8398050.3999999762</v>
      </c>
      <c r="I79" s="269">
        <v>39140884.469999909</v>
      </c>
      <c r="J79" s="269">
        <v>-923.50999999791384</v>
      </c>
      <c r="K79" s="269">
        <v>-44462.060000002384</v>
      </c>
      <c r="L79" s="269">
        <v>13615999.75</v>
      </c>
      <c r="M79" s="266">
        <f t="shared" si="13"/>
        <v>163067715.68000001</v>
      </c>
    </row>
    <row r="80" spans="1:13" x14ac:dyDescent="0.2">
      <c r="A80" s="723">
        <f t="shared" si="14"/>
        <v>32</v>
      </c>
      <c r="B80" s="724" t="s">
        <v>212</v>
      </c>
      <c r="C80" s="725">
        <v>0</v>
      </c>
      <c r="D80" s="725">
        <v>86877.759999990463</v>
      </c>
      <c r="E80" s="269">
        <v>350667.33000004292</v>
      </c>
      <c r="F80" s="269">
        <v>17971084.869999409</v>
      </c>
      <c r="G80" s="269">
        <v>-68832.710000038147</v>
      </c>
      <c r="H80" s="269">
        <v>-1228644.0500000715</v>
      </c>
      <c r="I80" s="269">
        <v>-1254042.7399998903</v>
      </c>
      <c r="J80" s="269">
        <v>414601.78000000119</v>
      </c>
      <c r="K80" s="269">
        <v>2284505.2699999809</v>
      </c>
      <c r="L80" s="269">
        <v>72039.709999993443</v>
      </c>
      <c r="M80" s="266">
        <f t="shared" si="13"/>
        <v>18628257.219999418</v>
      </c>
    </row>
    <row r="81" spans="1:13" x14ac:dyDescent="0.2">
      <c r="A81" s="723">
        <f t="shared" si="14"/>
        <v>33</v>
      </c>
      <c r="B81" s="724" t="s">
        <v>213</v>
      </c>
      <c r="C81" s="725">
        <v>239906.49000000954</v>
      </c>
      <c r="D81" s="725">
        <v>-229302.09999999404</v>
      </c>
      <c r="E81" s="269">
        <v>2692134.0099999905</v>
      </c>
      <c r="F81" s="269">
        <v>46305144.250000954</v>
      </c>
      <c r="G81" s="269">
        <v>-258094.76999998093</v>
      </c>
      <c r="H81" s="269">
        <v>2564784.3500000238</v>
      </c>
      <c r="I81" s="269">
        <v>902310.17000007629</v>
      </c>
      <c r="J81" s="269">
        <v>1787725.7599999979</v>
      </c>
      <c r="K81" s="269">
        <v>2536830.4500000179</v>
      </c>
      <c r="L81" s="269">
        <v>-68655.969999983907</v>
      </c>
      <c r="M81" s="266">
        <f t="shared" si="13"/>
        <v>56472782.640001111</v>
      </c>
    </row>
    <row r="82" spans="1:13" x14ac:dyDescent="0.2">
      <c r="A82" s="723">
        <f t="shared" si="14"/>
        <v>34</v>
      </c>
      <c r="B82" s="726" t="s">
        <v>214</v>
      </c>
      <c r="C82" s="725">
        <v>0</v>
      </c>
      <c r="D82" s="725">
        <v>7.9300000071525574</v>
      </c>
      <c r="E82" s="269">
        <v>2599457.8299999833</v>
      </c>
      <c r="F82" s="269">
        <v>59141431.480000019</v>
      </c>
      <c r="G82" s="269">
        <v>581853.66999995708</v>
      </c>
      <c r="H82" s="269">
        <v>9298483.8200000525</v>
      </c>
      <c r="I82" s="269">
        <v>20755150.959999919</v>
      </c>
      <c r="J82" s="269">
        <v>-143058.24000000209</v>
      </c>
      <c r="K82" s="269">
        <v>-656665.43000000715</v>
      </c>
      <c r="L82" s="269">
        <v>121884.69999998808</v>
      </c>
      <c r="M82" s="266">
        <f t="shared" si="13"/>
        <v>91698546.719999909</v>
      </c>
    </row>
    <row r="83" spans="1:13" x14ac:dyDescent="0.2">
      <c r="A83" s="723">
        <f t="shared" si="14"/>
        <v>35</v>
      </c>
      <c r="B83" s="724" t="s">
        <v>215</v>
      </c>
      <c r="C83" s="725">
        <v>8757431.6700000018</v>
      </c>
      <c r="D83" s="725">
        <v>8189.839999973774</v>
      </c>
      <c r="E83" s="269">
        <v>-1236706.1099999547</v>
      </c>
      <c r="F83" s="269">
        <v>106859752.18000031</v>
      </c>
      <c r="G83" s="269">
        <v>5517958.810000062</v>
      </c>
      <c r="H83" s="269">
        <v>5683542.3899999857</v>
      </c>
      <c r="I83" s="269">
        <v>-8532757.1299999952</v>
      </c>
      <c r="J83" s="269">
        <v>-105.92000000178814</v>
      </c>
      <c r="K83" s="269">
        <v>-73659.40000000596</v>
      </c>
      <c r="L83" s="269">
        <v>86074.560000002384</v>
      </c>
      <c r="M83" s="266">
        <f t="shared" si="13"/>
        <v>117069720.89000037</v>
      </c>
    </row>
    <row r="84" spans="1:13" x14ac:dyDescent="0.2">
      <c r="A84" s="723">
        <f t="shared" si="14"/>
        <v>36</v>
      </c>
      <c r="B84" s="724" t="s">
        <v>216</v>
      </c>
      <c r="C84" s="725">
        <v>-539.12999999523163</v>
      </c>
      <c r="D84" s="725">
        <v>-307967.03999999166</v>
      </c>
      <c r="E84" s="269">
        <v>1305402.439999938</v>
      </c>
      <c r="F84" s="269">
        <v>9625631.6999993324</v>
      </c>
      <c r="G84" s="269">
        <v>1686006.2799999714</v>
      </c>
      <c r="H84" s="269">
        <v>9016397.5199999809</v>
      </c>
      <c r="I84" s="269">
        <v>-2075707.7999999523</v>
      </c>
      <c r="J84" s="269">
        <v>14852.740000002086</v>
      </c>
      <c r="K84" s="269">
        <v>-72859.959999978542</v>
      </c>
      <c r="L84" s="269">
        <v>227711.98999999464</v>
      </c>
      <c r="M84" s="266">
        <f t="shared" si="13"/>
        <v>19418928.739999302</v>
      </c>
    </row>
    <row r="85" spans="1:13" x14ac:dyDescent="0.2">
      <c r="A85" s="723">
        <f t="shared" si="14"/>
        <v>37</v>
      </c>
      <c r="B85" s="726" t="s">
        <v>219</v>
      </c>
      <c r="C85" s="725">
        <v>28961.290000006557</v>
      </c>
      <c r="D85" s="725">
        <v>-25258.240000009537</v>
      </c>
      <c r="E85" s="269">
        <v>1559064.530000031</v>
      </c>
      <c r="F85" s="269">
        <v>-90173463.429999828</v>
      </c>
      <c r="G85" s="269">
        <v>958820.77999997139</v>
      </c>
      <c r="H85" s="269">
        <v>1780439.8900001049</v>
      </c>
      <c r="I85" s="269">
        <v>412973.99999988079</v>
      </c>
      <c r="J85" s="269">
        <v>13789.490000002086</v>
      </c>
      <c r="K85" s="269">
        <v>697091.78999999166</v>
      </c>
      <c r="L85" s="269">
        <v>356654.20000000298</v>
      </c>
      <c r="M85" s="266">
        <f t="shared" si="13"/>
        <v>-84390925.699999854</v>
      </c>
    </row>
    <row r="86" spans="1:13" x14ac:dyDescent="0.2">
      <c r="A86" s="723">
        <f t="shared" si="14"/>
        <v>38</v>
      </c>
      <c r="B86" s="726" t="s">
        <v>218</v>
      </c>
      <c r="C86" s="725">
        <v>-17013.580000013113</v>
      </c>
      <c r="D86" s="725">
        <v>28975.159999996424</v>
      </c>
      <c r="E86" s="269">
        <v>3738337.0600000024</v>
      </c>
      <c r="F86" s="269">
        <v>81207435.800000191</v>
      </c>
      <c r="G86" s="269">
        <v>616589.96000003815</v>
      </c>
      <c r="H86" s="269">
        <v>3068747.7999999523</v>
      </c>
      <c r="I86" s="269">
        <v>1982141.7400001287</v>
      </c>
      <c r="J86" s="269">
        <v>210236.60000000149</v>
      </c>
      <c r="K86" s="269">
        <v>3122690.900000006</v>
      </c>
      <c r="L86" s="269">
        <v>120156.90999999642</v>
      </c>
      <c r="M86" s="266">
        <f t="shared" si="13"/>
        <v>94078298.350000292</v>
      </c>
    </row>
    <row r="87" spans="1:13" x14ac:dyDescent="0.2">
      <c r="A87" s="723">
        <f t="shared" si="14"/>
        <v>39</v>
      </c>
      <c r="B87" s="724" t="s">
        <v>208</v>
      </c>
      <c r="C87" s="138">
        <v>-2739.3500000089407</v>
      </c>
      <c r="D87" s="138">
        <v>1815.1800000071526</v>
      </c>
      <c r="E87" s="493">
        <v>3187947.7899999619</v>
      </c>
      <c r="F87" s="493">
        <v>180456478.5999999</v>
      </c>
      <c r="G87" s="493">
        <v>90199205.730000019</v>
      </c>
      <c r="H87" s="493">
        <v>8826318.4900001287</v>
      </c>
      <c r="I87" s="493">
        <v>33807796.019999981</v>
      </c>
      <c r="J87" s="493">
        <v>1895824.6999999955</v>
      </c>
      <c r="K87" s="493">
        <v>8638160.4599999785</v>
      </c>
      <c r="L87" s="493">
        <v>-85499254.859999999</v>
      </c>
      <c r="M87" s="430">
        <f t="shared" si="13"/>
        <v>241511552.75999993</v>
      </c>
    </row>
    <row r="88" spans="1:13" x14ac:dyDescent="0.2">
      <c r="A88" s="723">
        <f t="shared" si="14"/>
        <v>40</v>
      </c>
      <c r="B88" s="727" t="s">
        <v>4</v>
      </c>
      <c r="C88" s="266">
        <f>SUM(C76:C87)</f>
        <v>11441962.030000001</v>
      </c>
      <c r="D88" s="266">
        <f t="shared" ref="D88:L88" si="15">SUM(D76:D87)</f>
        <v>18281698.379999995</v>
      </c>
      <c r="E88" s="266">
        <f t="shared" si="15"/>
        <v>43748948.459999979</v>
      </c>
      <c r="F88" s="266">
        <f t="shared" si="15"/>
        <v>600041275.0700016</v>
      </c>
      <c r="G88" s="266">
        <f t="shared" si="15"/>
        <v>170475617.71000004</v>
      </c>
      <c r="H88" s="266">
        <f t="shared" si="15"/>
        <v>57949611.650000215</v>
      </c>
      <c r="I88" s="266">
        <f t="shared" si="15"/>
        <v>88040992.200000048</v>
      </c>
      <c r="J88" s="266">
        <f t="shared" si="15"/>
        <v>2363658.3999999985</v>
      </c>
      <c r="K88" s="266">
        <f t="shared" si="15"/>
        <v>24725232.919999987</v>
      </c>
      <c r="L88" s="266">
        <f t="shared" si="15"/>
        <v>-70854250.070000008</v>
      </c>
      <c r="M88" s="266">
        <f>SUM(M76:M87)</f>
        <v>946214746.75000167</v>
      </c>
    </row>
    <row r="90" spans="1:13" x14ac:dyDescent="0.2">
      <c r="B90" s="1" t="s">
        <v>1932</v>
      </c>
    </row>
    <row r="92" spans="1:13" x14ac:dyDescent="0.2">
      <c r="A92" s="488"/>
      <c r="B92" s="99" t="s">
        <v>417</v>
      </c>
      <c r="C92" s="99" t="s">
        <v>400</v>
      </c>
      <c r="D92" s="99" t="s">
        <v>401</v>
      </c>
      <c r="E92" s="99" t="s">
        <v>402</v>
      </c>
      <c r="F92" s="99" t="s">
        <v>403</v>
      </c>
      <c r="G92" s="99" t="s">
        <v>404</v>
      </c>
      <c r="H92" s="99" t="s">
        <v>405</v>
      </c>
      <c r="I92" s="99" t="s">
        <v>654</v>
      </c>
      <c r="J92" s="99" t="s">
        <v>1128</v>
      </c>
      <c r="K92" s="99" t="s">
        <v>1145</v>
      </c>
      <c r="L92" s="99" t="s">
        <v>1148</v>
      </c>
      <c r="M92" s="99" t="s">
        <v>1166</v>
      </c>
    </row>
    <row r="93" spans="1:13" x14ac:dyDescent="0.2">
      <c r="A93" s="264"/>
      <c r="B93" s="286"/>
      <c r="C93" s="264"/>
      <c r="D93" s="264"/>
      <c r="E93" s="264"/>
      <c r="F93" s="264"/>
      <c r="G93" s="264"/>
      <c r="H93" s="264"/>
      <c r="I93" s="264"/>
      <c r="J93" s="264"/>
      <c r="K93" s="264"/>
      <c r="M93" s="286" t="s">
        <v>1501</v>
      </c>
    </row>
    <row r="94" spans="1:13" x14ac:dyDescent="0.2">
      <c r="A94" s="264"/>
      <c r="B94" s="723" t="s">
        <v>473</v>
      </c>
      <c r="C94" s="264"/>
      <c r="D94" s="264"/>
      <c r="E94" s="264"/>
      <c r="F94" s="264"/>
      <c r="G94" s="264"/>
      <c r="H94" s="264"/>
      <c r="I94" s="264"/>
      <c r="J94" s="264"/>
      <c r="K94" s="264"/>
      <c r="L94" s="264"/>
    </row>
    <row r="95" spans="1:13" x14ac:dyDescent="0.2">
      <c r="A95" s="264"/>
      <c r="B95" s="723" t="s">
        <v>221</v>
      </c>
      <c r="C95" s="99"/>
      <c r="D95" s="99"/>
      <c r="E95" s="264"/>
      <c r="F95" s="264"/>
      <c r="G95" s="264"/>
      <c r="H95" s="264"/>
      <c r="I95" s="264"/>
      <c r="J95" s="264"/>
      <c r="K95" s="264"/>
      <c r="L95" s="264"/>
    </row>
    <row r="96" spans="1:13" x14ac:dyDescent="0.2">
      <c r="A96" s="53"/>
      <c r="B96" s="3" t="s">
        <v>220</v>
      </c>
      <c r="C96" s="99">
        <v>350.1</v>
      </c>
      <c r="D96" s="99">
        <v>350.2</v>
      </c>
      <c r="E96" s="99">
        <v>352</v>
      </c>
      <c r="F96" s="99">
        <v>353</v>
      </c>
      <c r="G96" s="99">
        <v>354</v>
      </c>
      <c r="H96" s="99">
        <v>355</v>
      </c>
      <c r="I96" s="99">
        <v>356</v>
      </c>
      <c r="J96" s="99">
        <v>357</v>
      </c>
      <c r="K96" s="99">
        <v>358</v>
      </c>
      <c r="L96" s="99">
        <v>359</v>
      </c>
      <c r="M96" s="3" t="s">
        <v>225</v>
      </c>
    </row>
    <row r="97" spans="1:13" x14ac:dyDescent="0.2">
      <c r="A97" s="723">
        <f>A88+1</f>
        <v>41</v>
      </c>
      <c r="B97" s="726" t="s">
        <v>209</v>
      </c>
      <c r="C97" s="725">
        <v>0</v>
      </c>
      <c r="D97" s="725">
        <v>0</v>
      </c>
      <c r="E97" s="269">
        <v>2308.7700000032783</v>
      </c>
      <c r="F97" s="269">
        <v>4973.8100000023842</v>
      </c>
      <c r="G97" s="269">
        <v>-37554.759999990463</v>
      </c>
      <c r="H97" s="269">
        <v>0</v>
      </c>
      <c r="I97" s="269">
        <v>-43229.439999997616</v>
      </c>
      <c r="J97" s="269">
        <v>0</v>
      </c>
      <c r="K97" s="269">
        <v>0</v>
      </c>
      <c r="L97" s="269">
        <v>0</v>
      </c>
      <c r="M97" s="266">
        <f t="shared" ref="M97:M108" si="16">SUM(C97:L97)</f>
        <v>-73501.619999982417</v>
      </c>
    </row>
    <row r="98" spans="1:13" x14ac:dyDescent="0.2">
      <c r="A98" s="723">
        <f t="shared" ref="A98:A109" si="17">A97+1</f>
        <v>42</v>
      </c>
      <c r="B98" s="724" t="s">
        <v>210</v>
      </c>
      <c r="C98" s="725">
        <v>2343786.2400000002</v>
      </c>
      <c r="D98" s="725">
        <v>16469544.740000002</v>
      </c>
      <c r="E98" s="269">
        <v>27897847.93</v>
      </c>
      <c r="F98" s="269">
        <v>125446859.56000003</v>
      </c>
      <c r="G98" s="269">
        <v>47155.09999999404</v>
      </c>
      <c r="H98" s="269">
        <v>0</v>
      </c>
      <c r="I98" s="269">
        <v>54280.420000001788</v>
      </c>
      <c r="J98" s="269">
        <v>0</v>
      </c>
      <c r="K98" s="269">
        <v>0</v>
      </c>
      <c r="L98" s="269">
        <v>0</v>
      </c>
      <c r="M98" s="266">
        <f t="shared" si="16"/>
        <v>172259473.99000001</v>
      </c>
    </row>
    <row r="99" spans="1:13" x14ac:dyDescent="0.2">
      <c r="A99" s="723">
        <f t="shared" si="17"/>
        <v>43</v>
      </c>
      <c r="B99" s="724" t="s">
        <v>223</v>
      </c>
      <c r="C99" s="725">
        <v>0</v>
      </c>
      <c r="D99" s="725">
        <v>0</v>
      </c>
      <c r="E99" s="269">
        <v>128265.26999999583</v>
      </c>
      <c r="F99" s="269">
        <v>531672.29999995232</v>
      </c>
      <c r="G99" s="269">
        <v>280096.84999999404</v>
      </c>
      <c r="H99" s="269">
        <v>0</v>
      </c>
      <c r="I99" s="269">
        <v>322420.57999999821</v>
      </c>
      <c r="J99" s="269">
        <v>0</v>
      </c>
      <c r="K99" s="269">
        <v>0</v>
      </c>
      <c r="L99" s="269">
        <v>0</v>
      </c>
      <c r="M99" s="266">
        <f t="shared" si="16"/>
        <v>1262454.9999999404</v>
      </c>
    </row>
    <row r="100" spans="1:13" x14ac:dyDescent="0.2">
      <c r="A100" s="723">
        <f t="shared" si="17"/>
        <v>44</v>
      </c>
      <c r="B100" s="726" t="s">
        <v>211</v>
      </c>
      <c r="C100" s="725">
        <v>0</v>
      </c>
      <c r="D100" s="725">
        <v>0</v>
      </c>
      <c r="E100" s="269">
        <v>232230.45000000298</v>
      </c>
      <c r="F100" s="269">
        <v>1057167.4600000381</v>
      </c>
      <c r="G100" s="269">
        <v>70700149.700000018</v>
      </c>
      <c r="H100" s="269">
        <v>0</v>
      </c>
      <c r="I100" s="269">
        <v>40976201.709999979</v>
      </c>
      <c r="J100" s="269">
        <v>0</v>
      </c>
      <c r="K100" s="269">
        <v>0</v>
      </c>
      <c r="L100" s="269">
        <v>13617281.439999998</v>
      </c>
      <c r="M100" s="266">
        <f t="shared" si="16"/>
        <v>126583030.76000004</v>
      </c>
    </row>
    <row r="101" spans="1:13" x14ac:dyDescent="0.2">
      <c r="A101" s="723">
        <f t="shared" si="17"/>
        <v>45</v>
      </c>
      <c r="B101" s="724" t="s">
        <v>212</v>
      </c>
      <c r="C101" s="725">
        <v>0</v>
      </c>
      <c r="D101" s="725">
        <v>6469.2999999970198</v>
      </c>
      <c r="E101" s="269">
        <v>-122330.95000000298</v>
      </c>
      <c r="F101" s="269">
        <v>-637634.74000000954</v>
      </c>
      <c r="G101" s="269">
        <v>284965.27000001073</v>
      </c>
      <c r="H101" s="269">
        <v>0</v>
      </c>
      <c r="I101" s="269">
        <v>-156943.26999999583</v>
      </c>
      <c r="J101" s="269">
        <v>0</v>
      </c>
      <c r="K101" s="269">
        <v>0</v>
      </c>
      <c r="L101" s="269">
        <v>63022.79999999702</v>
      </c>
      <c r="M101" s="266">
        <f t="shared" si="16"/>
        <v>-562451.59000000358</v>
      </c>
    </row>
    <row r="102" spans="1:13" x14ac:dyDescent="0.2">
      <c r="A102" s="723">
        <f t="shared" si="17"/>
        <v>46</v>
      </c>
      <c r="B102" s="724" t="s">
        <v>213</v>
      </c>
      <c r="C102" s="725">
        <v>0</v>
      </c>
      <c r="D102" s="725">
        <v>10584.020000003278</v>
      </c>
      <c r="E102" s="269">
        <v>136122.93000000715</v>
      </c>
      <c r="F102" s="269">
        <v>600281.50999999046</v>
      </c>
      <c r="G102" s="269">
        <v>-270812.28999999166</v>
      </c>
      <c r="H102" s="269">
        <v>2224.2400000020862</v>
      </c>
      <c r="I102" s="269">
        <v>96684.890000000596</v>
      </c>
      <c r="J102" s="269">
        <v>0</v>
      </c>
      <c r="K102" s="269">
        <v>0</v>
      </c>
      <c r="L102" s="269">
        <v>-68661.680000007153</v>
      </c>
      <c r="M102" s="266">
        <f t="shared" si="16"/>
        <v>506423.62000000477</v>
      </c>
    </row>
    <row r="103" spans="1:13" x14ac:dyDescent="0.2">
      <c r="A103" s="723">
        <f t="shared" si="17"/>
        <v>47</v>
      </c>
      <c r="B103" s="726" t="s">
        <v>214</v>
      </c>
      <c r="C103" s="725">
        <v>0</v>
      </c>
      <c r="D103" s="725">
        <v>0</v>
      </c>
      <c r="E103" s="269">
        <v>167732.18999999762</v>
      </c>
      <c r="F103" s="269">
        <v>15910582.149999976</v>
      </c>
      <c r="G103" s="269">
        <v>666287.37999999523</v>
      </c>
      <c r="H103" s="269">
        <v>171.09000000357628</v>
      </c>
      <c r="I103" s="269">
        <v>240636.67000000179</v>
      </c>
      <c r="J103" s="269">
        <v>0</v>
      </c>
      <c r="K103" s="269">
        <v>0</v>
      </c>
      <c r="L103" s="269">
        <v>121906.43000000715</v>
      </c>
      <c r="M103" s="266">
        <f t="shared" si="16"/>
        <v>17107315.909999982</v>
      </c>
    </row>
    <row r="104" spans="1:13" x14ac:dyDescent="0.2">
      <c r="A104" s="723">
        <f t="shared" si="17"/>
        <v>48</v>
      </c>
      <c r="B104" s="724" t="s">
        <v>215</v>
      </c>
      <c r="C104" s="725">
        <v>0</v>
      </c>
      <c r="D104" s="725">
        <v>8757431.6700000018</v>
      </c>
      <c r="E104" s="269">
        <v>276116.67999999225</v>
      </c>
      <c r="F104" s="269">
        <v>105941737.94000006</v>
      </c>
      <c r="G104" s="269">
        <v>5550042.900000006</v>
      </c>
      <c r="H104" s="269">
        <v>0</v>
      </c>
      <c r="I104" s="269">
        <v>-8474142.0400000066</v>
      </c>
      <c r="J104" s="269">
        <v>0</v>
      </c>
      <c r="K104" s="269">
        <v>0</v>
      </c>
      <c r="L104" s="269">
        <v>113348.12000000477</v>
      </c>
      <c r="M104" s="266">
        <f t="shared" si="16"/>
        <v>112164535.27000006</v>
      </c>
    </row>
    <row r="105" spans="1:13" x14ac:dyDescent="0.2">
      <c r="A105" s="723">
        <f t="shared" si="17"/>
        <v>49</v>
      </c>
      <c r="B105" s="724" t="s">
        <v>216</v>
      </c>
      <c r="C105" s="725">
        <v>0</v>
      </c>
      <c r="D105" s="725">
        <v>-539.13000000268221</v>
      </c>
      <c r="E105" s="269">
        <v>36693.020000010729</v>
      </c>
      <c r="F105" s="269">
        <v>107565.75</v>
      </c>
      <c r="G105" s="269">
        <v>1626619.0399999917</v>
      </c>
      <c r="H105" s="269">
        <v>0</v>
      </c>
      <c r="I105" s="269">
        <v>940090.43000000715</v>
      </c>
      <c r="J105" s="269">
        <v>0</v>
      </c>
      <c r="K105" s="269">
        <v>0</v>
      </c>
      <c r="L105" s="269">
        <v>229144.32999999821</v>
      </c>
      <c r="M105" s="266">
        <f t="shared" si="16"/>
        <v>2939573.4400000051</v>
      </c>
    </row>
    <row r="106" spans="1:13" x14ac:dyDescent="0.2">
      <c r="A106" s="723">
        <f t="shared" si="17"/>
        <v>50</v>
      </c>
      <c r="B106" s="726" t="s">
        <v>219</v>
      </c>
      <c r="C106" s="725">
        <v>0</v>
      </c>
      <c r="D106" s="725">
        <v>0</v>
      </c>
      <c r="E106" s="269">
        <v>42588.619999989867</v>
      </c>
      <c r="F106" s="269">
        <v>-278529.69000005722</v>
      </c>
      <c r="G106" s="269">
        <v>950939.56999999285</v>
      </c>
      <c r="H106" s="269">
        <v>0</v>
      </c>
      <c r="I106" s="269">
        <v>540862.03000000119</v>
      </c>
      <c r="J106" s="269">
        <v>0</v>
      </c>
      <c r="K106" s="269">
        <v>0</v>
      </c>
      <c r="L106" s="269">
        <v>356654.20000000298</v>
      </c>
      <c r="M106" s="266">
        <f t="shared" si="16"/>
        <v>1612514.7299999297</v>
      </c>
    </row>
    <row r="107" spans="1:13" x14ac:dyDescent="0.2">
      <c r="A107" s="723">
        <f t="shared" si="17"/>
        <v>51</v>
      </c>
      <c r="B107" s="726" t="s">
        <v>218</v>
      </c>
      <c r="C107" s="725">
        <v>0</v>
      </c>
      <c r="D107" s="725">
        <v>2251.7100000008941</v>
      </c>
      <c r="E107" s="269">
        <v>4891250.1099999994</v>
      </c>
      <c r="F107" s="269">
        <v>4491980.6299999952</v>
      </c>
      <c r="G107" s="269">
        <v>305199.81000000238</v>
      </c>
      <c r="H107" s="269">
        <v>0</v>
      </c>
      <c r="I107" s="269">
        <v>165258.93999999762</v>
      </c>
      <c r="J107" s="269">
        <v>0</v>
      </c>
      <c r="K107" s="269">
        <v>0</v>
      </c>
      <c r="L107" s="269">
        <v>81149.530000001192</v>
      </c>
      <c r="M107" s="266">
        <f t="shared" si="16"/>
        <v>9937090.7299999967</v>
      </c>
    </row>
    <row r="108" spans="1:13" x14ac:dyDescent="0.2">
      <c r="A108" s="723">
        <f t="shared" si="17"/>
        <v>52</v>
      </c>
      <c r="B108" s="724" t="s">
        <v>208</v>
      </c>
      <c r="C108" s="138">
        <v>0</v>
      </c>
      <c r="D108" s="138">
        <v>839.46999999880791</v>
      </c>
      <c r="E108" s="493">
        <v>838621.09000000358</v>
      </c>
      <c r="F108" s="493">
        <v>163735785.36000001</v>
      </c>
      <c r="G108" s="493">
        <v>88030253.150000006</v>
      </c>
      <c r="H108" s="493">
        <v>4930858.799999997</v>
      </c>
      <c r="I108" s="493">
        <v>33026393.969999999</v>
      </c>
      <c r="J108" s="493">
        <v>0</v>
      </c>
      <c r="K108" s="493">
        <v>0</v>
      </c>
      <c r="L108" s="493">
        <v>-85498906.24000001</v>
      </c>
      <c r="M108" s="430">
        <f t="shared" si="16"/>
        <v>205063845.60000002</v>
      </c>
    </row>
    <row r="109" spans="1:13" x14ac:dyDescent="0.2">
      <c r="A109" s="723">
        <f t="shared" si="17"/>
        <v>53</v>
      </c>
      <c r="B109" s="727" t="s">
        <v>4</v>
      </c>
      <c r="C109" s="266">
        <f>SUM(C97:C108)</f>
        <v>2343786.2400000002</v>
      </c>
      <c r="D109" s="266">
        <f t="shared" ref="D109:L109" si="18">SUM(D97:D108)</f>
        <v>25246581.780000001</v>
      </c>
      <c r="E109" s="266">
        <f t="shared" si="18"/>
        <v>34527446.109999999</v>
      </c>
      <c r="F109" s="266">
        <f t="shared" si="18"/>
        <v>416912442.03999996</v>
      </c>
      <c r="G109" s="266">
        <f t="shared" si="18"/>
        <v>168133341.72000003</v>
      </c>
      <c r="H109" s="266">
        <f t="shared" si="18"/>
        <v>4933254.1300000027</v>
      </c>
      <c r="I109" s="266">
        <f t="shared" si="18"/>
        <v>67688514.889999986</v>
      </c>
      <c r="J109" s="266">
        <f t="shared" si="18"/>
        <v>0</v>
      </c>
      <c r="K109" s="266">
        <f t="shared" si="18"/>
        <v>0</v>
      </c>
      <c r="L109" s="266">
        <f t="shared" si="18"/>
        <v>-70985061.070000008</v>
      </c>
      <c r="M109" s="266">
        <f>SUM(M97:M108)</f>
        <v>648800305.83999991</v>
      </c>
    </row>
    <row r="111" spans="1:13" x14ac:dyDescent="0.2">
      <c r="B111" s="1" t="s">
        <v>1933</v>
      </c>
    </row>
    <row r="113" spans="1:13" x14ac:dyDescent="0.2">
      <c r="A113" s="488"/>
      <c r="B113" s="99" t="s">
        <v>417</v>
      </c>
      <c r="C113" s="99" t="s">
        <v>400</v>
      </c>
      <c r="D113" s="99" t="s">
        <v>401</v>
      </c>
      <c r="E113" s="99" t="s">
        <v>402</v>
      </c>
      <c r="F113" s="99" t="s">
        <v>403</v>
      </c>
      <c r="G113" s="99" t="s">
        <v>404</v>
      </c>
      <c r="H113" s="99" t="s">
        <v>405</v>
      </c>
      <c r="I113" s="99" t="s">
        <v>654</v>
      </c>
      <c r="J113" s="99" t="s">
        <v>1128</v>
      </c>
      <c r="K113" s="99" t="s">
        <v>1145</v>
      </c>
      <c r="L113" s="99" t="s">
        <v>1148</v>
      </c>
      <c r="M113" s="99" t="s">
        <v>1166</v>
      </c>
    </row>
    <row r="114" spans="1:13" x14ac:dyDescent="0.2">
      <c r="A114" s="264"/>
      <c r="B114" s="286"/>
      <c r="C114" s="264"/>
      <c r="D114" s="264"/>
      <c r="E114" s="264"/>
      <c r="F114" s="264"/>
      <c r="G114" s="264"/>
      <c r="H114" s="264"/>
      <c r="I114" s="264"/>
      <c r="J114" s="264"/>
      <c r="K114" s="264"/>
      <c r="M114" s="286" t="s">
        <v>1501</v>
      </c>
    </row>
    <row r="115" spans="1:13" x14ac:dyDescent="0.2">
      <c r="A115" s="264"/>
      <c r="B115" s="723" t="s">
        <v>473</v>
      </c>
      <c r="C115" s="264"/>
      <c r="D115" s="264"/>
      <c r="E115" s="264"/>
      <c r="F115" s="264"/>
      <c r="G115" s="264"/>
      <c r="H115" s="264"/>
      <c r="I115" s="264"/>
      <c r="J115" s="264"/>
      <c r="K115" s="264"/>
      <c r="L115" s="264"/>
    </row>
    <row r="116" spans="1:13" x14ac:dyDescent="0.2">
      <c r="A116" s="264"/>
      <c r="B116" s="723" t="s">
        <v>221</v>
      </c>
      <c r="C116" s="99"/>
      <c r="D116" s="99"/>
      <c r="E116" s="264"/>
      <c r="F116" s="264"/>
      <c r="G116" s="264"/>
      <c r="H116" s="264"/>
      <c r="I116" s="264"/>
      <c r="J116" s="264"/>
      <c r="K116" s="264"/>
      <c r="L116" s="264"/>
    </row>
    <row r="117" spans="1:13" x14ac:dyDescent="0.2">
      <c r="A117" s="53"/>
      <c r="B117" s="3" t="s">
        <v>220</v>
      </c>
      <c r="C117" s="99">
        <v>350.1</v>
      </c>
      <c r="D117" s="99">
        <v>350.2</v>
      </c>
      <c r="E117" s="99">
        <v>352</v>
      </c>
      <c r="F117" s="99">
        <v>353</v>
      </c>
      <c r="G117" s="99">
        <v>354</v>
      </c>
      <c r="H117" s="99">
        <v>355</v>
      </c>
      <c r="I117" s="99">
        <v>356</v>
      </c>
      <c r="J117" s="99">
        <v>357</v>
      </c>
      <c r="K117" s="99">
        <v>358</v>
      </c>
      <c r="L117" s="99">
        <v>359</v>
      </c>
      <c r="M117" s="3" t="s">
        <v>225</v>
      </c>
    </row>
    <row r="118" spans="1:13" x14ac:dyDescent="0.2">
      <c r="A118" s="723">
        <f>A109+1</f>
        <v>54</v>
      </c>
      <c r="B118" s="726" t="s">
        <v>209</v>
      </c>
      <c r="C118" s="700">
        <f>C76-C97</f>
        <v>0</v>
      </c>
      <c r="D118" s="700">
        <f t="shared" ref="D118:L118" si="19">D76-D97</f>
        <v>38961.65000000596</v>
      </c>
      <c r="E118" s="700">
        <f t="shared" si="19"/>
        <v>109738.48999998719</v>
      </c>
      <c r="F118" s="700">
        <f t="shared" si="19"/>
        <v>10012266.800001562</v>
      </c>
      <c r="G118" s="700">
        <f t="shared" si="19"/>
        <v>327840.97000002861</v>
      </c>
      <c r="H118" s="700">
        <f t="shared" si="19"/>
        <v>5121414.9800000191</v>
      </c>
      <c r="I118" s="700">
        <f t="shared" si="19"/>
        <v>2281488.4200000167</v>
      </c>
      <c r="J118" s="700">
        <f t="shared" si="19"/>
        <v>2404.9399999976158</v>
      </c>
      <c r="K118" s="700">
        <f t="shared" si="19"/>
        <v>6956567.9600000083</v>
      </c>
      <c r="L118" s="700">
        <f t="shared" si="19"/>
        <v>20.239999994635582</v>
      </c>
      <c r="M118" s="266">
        <f t="shared" ref="M118:M129" si="20">SUM(C118:L118)</f>
        <v>24850704.45000162</v>
      </c>
    </row>
    <row r="119" spans="1:13" x14ac:dyDescent="0.2">
      <c r="A119" s="723">
        <f t="shared" ref="A119:A130" si="21">A118+1</f>
        <v>55</v>
      </c>
      <c r="B119" s="724" t="s">
        <v>210</v>
      </c>
      <c r="C119" s="700">
        <f t="shared" ref="C119:L129" si="22">C77-C98</f>
        <v>9.3132257461547852E-9</v>
      </c>
      <c r="D119" s="700">
        <f>D77-D98</f>
        <v>169313.25999999791</v>
      </c>
      <c r="E119" s="700">
        <f t="shared" si="22"/>
        <v>110332.70000005513</v>
      </c>
      <c r="F119" s="700">
        <f t="shared" si="22"/>
        <v>6734416.8299998343</v>
      </c>
      <c r="G119" s="700">
        <f t="shared" si="22"/>
        <v>33421.039999991655</v>
      </c>
      <c r="H119" s="700">
        <f t="shared" si="22"/>
        <v>1788944.7400000095</v>
      </c>
      <c r="I119" s="700">
        <f t="shared" si="22"/>
        <v>603821.13999994099</v>
      </c>
      <c r="J119" s="700">
        <f t="shared" si="22"/>
        <v>-1916367.9799999967</v>
      </c>
      <c r="K119" s="700">
        <f t="shared" si="22"/>
        <v>1945393.849999994</v>
      </c>
      <c r="L119" s="700">
        <f t="shared" si="22"/>
        <v>20136.209999993443</v>
      </c>
      <c r="M119" s="266">
        <f t="shared" si="20"/>
        <v>9489411.7899998296</v>
      </c>
    </row>
    <row r="120" spans="1:13" x14ac:dyDescent="0.2">
      <c r="A120" s="723">
        <f t="shared" si="21"/>
        <v>56</v>
      </c>
      <c r="B120" s="724" t="s">
        <v>223</v>
      </c>
      <c r="C120" s="700">
        <f t="shared" si="22"/>
        <v>92168.399999991059</v>
      </c>
      <c r="D120" s="700">
        <f t="shared" si="22"/>
        <v>2082251.6100000143</v>
      </c>
      <c r="E120" s="700">
        <f t="shared" si="22"/>
        <v>202347.15999995172</v>
      </c>
      <c r="F120" s="700">
        <f t="shared" si="22"/>
        <v>15601209.4599998</v>
      </c>
      <c r="G120" s="700">
        <f t="shared" si="22"/>
        <v>9456.880000025034</v>
      </c>
      <c r="H120" s="700">
        <f t="shared" si="22"/>
        <v>3631131.3200000525</v>
      </c>
      <c r="I120" s="700">
        <f t="shared" si="22"/>
        <v>-316538.6099999696</v>
      </c>
      <c r="J120" s="700">
        <f t="shared" si="22"/>
        <v>84678.039999999106</v>
      </c>
      <c r="K120" s="700">
        <f t="shared" si="22"/>
        <v>-608360.90999999642</v>
      </c>
      <c r="L120" s="700">
        <f t="shared" si="22"/>
        <v>92982.490000009537</v>
      </c>
      <c r="M120" s="266">
        <f t="shared" si="20"/>
        <v>20871325.839999877</v>
      </c>
    </row>
    <row r="121" spans="1:13" x14ac:dyDescent="0.2">
      <c r="A121" s="723">
        <f t="shared" si="21"/>
        <v>57</v>
      </c>
      <c r="B121" s="726" t="s">
        <v>211</v>
      </c>
      <c r="C121" s="700">
        <f t="shared" si="22"/>
        <v>0</v>
      </c>
      <c r="D121" s="700">
        <f t="shared" si="22"/>
        <v>-41711.370000004768</v>
      </c>
      <c r="E121" s="700">
        <f t="shared" si="22"/>
        <v>869572.80999998748</v>
      </c>
      <c r="F121" s="700">
        <f t="shared" si="22"/>
        <v>29259213.400000095</v>
      </c>
      <c r="G121" s="700">
        <f t="shared" si="22"/>
        <v>-118455.82000002265</v>
      </c>
      <c r="H121" s="700">
        <f t="shared" si="22"/>
        <v>8398050.3999999762</v>
      </c>
      <c r="I121" s="700">
        <f t="shared" si="22"/>
        <v>-1835317.2400000691</v>
      </c>
      <c r="J121" s="700">
        <f t="shared" si="22"/>
        <v>-923.50999999791384</v>
      </c>
      <c r="K121" s="700">
        <f t="shared" si="22"/>
        <v>-44462.060000002384</v>
      </c>
      <c r="L121" s="700">
        <f t="shared" si="22"/>
        <v>-1281.6899999976158</v>
      </c>
      <c r="M121" s="266">
        <f t="shared" si="20"/>
        <v>36484684.919999965</v>
      </c>
    </row>
    <row r="122" spans="1:13" x14ac:dyDescent="0.2">
      <c r="A122" s="723">
        <f t="shared" si="21"/>
        <v>58</v>
      </c>
      <c r="B122" s="724" t="s">
        <v>212</v>
      </c>
      <c r="C122" s="700">
        <f t="shared" si="22"/>
        <v>0</v>
      </c>
      <c r="D122" s="700">
        <f t="shared" si="22"/>
        <v>80408.459999993443</v>
      </c>
      <c r="E122" s="700">
        <f t="shared" si="22"/>
        <v>472998.2800000459</v>
      </c>
      <c r="F122" s="700">
        <f t="shared" si="22"/>
        <v>18608719.609999418</v>
      </c>
      <c r="G122" s="700">
        <f t="shared" si="22"/>
        <v>-353797.98000004888</v>
      </c>
      <c r="H122" s="700">
        <f t="shared" si="22"/>
        <v>-1228644.0500000715</v>
      </c>
      <c r="I122" s="700">
        <f t="shared" si="22"/>
        <v>-1097099.4699998945</v>
      </c>
      <c r="J122" s="700">
        <f t="shared" si="22"/>
        <v>414601.78000000119</v>
      </c>
      <c r="K122" s="700">
        <f t="shared" si="22"/>
        <v>2284505.2699999809</v>
      </c>
      <c r="L122" s="700">
        <f t="shared" si="22"/>
        <v>9016.9099999964237</v>
      </c>
      <c r="M122" s="266">
        <f t="shared" si="20"/>
        <v>19190708.809999421</v>
      </c>
    </row>
    <row r="123" spans="1:13" x14ac:dyDescent="0.2">
      <c r="A123" s="723">
        <f t="shared" si="21"/>
        <v>59</v>
      </c>
      <c r="B123" s="724" t="s">
        <v>213</v>
      </c>
      <c r="C123" s="700">
        <f t="shared" si="22"/>
        <v>239906.49000000954</v>
      </c>
      <c r="D123" s="700">
        <f t="shared" si="22"/>
        <v>-239886.11999999732</v>
      </c>
      <c r="E123" s="700">
        <f t="shared" si="22"/>
        <v>2556011.0799999833</v>
      </c>
      <c r="F123" s="700">
        <f t="shared" si="22"/>
        <v>45704862.740000963</v>
      </c>
      <c r="G123" s="700">
        <f t="shared" si="22"/>
        <v>12717.520000010729</v>
      </c>
      <c r="H123" s="700">
        <f t="shared" si="22"/>
        <v>2562560.1100000218</v>
      </c>
      <c r="I123" s="700">
        <f t="shared" si="22"/>
        <v>805625.2800000757</v>
      </c>
      <c r="J123" s="700">
        <f t="shared" si="22"/>
        <v>1787725.7599999979</v>
      </c>
      <c r="K123" s="700">
        <f t="shared" si="22"/>
        <v>2536830.4500000179</v>
      </c>
      <c r="L123" s="700">
        <f t="shared" si="22"/>
        <v>5.7100000232458115</v>
      </c>
      <c r="M123" s="266">
        <f t="shared" si="20"/>
        <v>55966359.020001106</v>
      </c>
    </row>
    <row r="124" spans="1:13" x14ac:dyDescent="0.2">
      <c r="A124" s="723">
        <f t="shared" si="21"/>
        <v>60</v>
      </c>
      <c r="B124" s="726" t="s">
        <v>214</v>
      </c>
      <c r="C124" s="700">
        <f t="shared" si="22"/>
        <v>0</v>
      </c>
      <c r="D124" s="700">
        <f t="shared" si="22"/>
        <v>7.9300000071525574</v>
      </c>
      <c r="E124" s="700">
        <f t="shared" si="22"/>
        <v>2431725.6399999857</v>
      </c>
      <c r="F124" s="700">
        <f t="shared" si="22"/>
        <v>43230849.330000043</v>
      </c>
      <c r="G124" s="700">
        <f t="shared" si="22"/>
        <v>-84433.710000038147</v>
      </c>
      <c r="H124" s="700">
        <f t="shared" si="22"/>
        <v>9298312.7300000489</v>
      </c>
      <c r="I124" s="700">
        <f t="shared" si="22"/>
        <v>20514514.289999917</v>
      </c>
      <c r="J124" s="700">
        <f t="shared" si="22"/>
        <v>-143058.24000000209</v>
      </c>
      <c r="K124" s="700">
        <f t="shared" si="22"/>
        <v>-656665.43000000715</v>
      </c>
      <c r="L124" s="700">
        <f t="shared" si="22"/>
        <v>-21.730000019073486</v>
      </c>
      <c r="M124" s="266">
        <f t="shared" si="20"/>
        <v>74591230.809999943</v>
      </c>
    </row>
    <row r="125" spans="1:13" x14ac:dyDescent="0.2">
      <c r="A125" s="723">
        <f t="shared" si="21"/>
        <v>61</v>
      </c>
      <c r="B125" s="724" t="s">
        <v>215</v>
      </c>
      <c r="C125" s="700">
        <f t="shared" si="22"/>
        <v>8757431.6700000018</v>
      </c>
      <c r="D125" s="700">
        <f t="shared" si="22"/>
        <v>-8749241.830000028</v>
      </c>
      <c r="E125" s="700">
        <f t="shared" si="22"/>
        <v>-1512822.789999947</v>
      </c>
      <c r="F125" s="700">
        <f t="shared" si="22"/>
        <v>918014.24000024796</v>
      </c>
      <c r="G125" s="700">
        <f t="shared" si="22"/>
        <v>-32084.089999943972</v>
      </c>
      <c r="H125" s="700">
        <f t="shared" si="22"/>
        <v>5683542.3899999857</v>
      </c>
      <c r="I125" s="700">
        <f t="shared" si="22"/>
        <v>-58615.089999988675</v>
      </c>
      <c r="J125" s="700">
        <f t="shared" si="22"/>
        <v>-105.92000000178814</v>
      </c>
      <c r="K125" s="700">
        <f t="shared" si="22"/>
        <v>-73659.40000000596</v>
      </c>
      <c r="L125" s="700">
        <f t="shared" si="22"/>
        <v>-27273.560000002384</v>
      </c>
      <c r="M125" s="266">
        <f t="shared" si="20"/>
        <v>4905185.6200003177</v>
      </c>
    </row>
    <row r="126" spans="1:13" x14ac:dyDescent="0.2">
      <c r="A126" s="723">
        <f t="shared" si="21"/>
        <v>62</v>
      </c>
      <c r="B126" s="724" t="s">
        <v>216</v>
      </c>
      <c r="C126" s="700">
        <f t="shared" si="22"/>
        <v>-539.12999999523163</v>
      </c>
      <c r="D126" s="700">
        <f t="shared" si="22"/>
        <v>-307427.90999998897</v>
      </c>
      <c r="E126" s="700">
        <f t="shared" si="22"/>
        <v>1268709.4199999273</v>
      </c>
      <c r="F126" s="700">
        <f t="shared" si="22"/>
        <v>9518065.9499993324</v>
      </c>
      <c r="G126" s="700">
        <f t="shared" si="22"/>
        <v>59387.239999979734</v>
      </c>
      <c r="H126" s="700">
        <f t="shared" si="22"/>
        <v>9016397.5199999809</v>
      </c>
      <c r="I126" s="700">
        <f t="shared" si="22"/>
        <v>-3015798.2299999595</v>
      </c>
      <c r="J126" s="700">
        <f t="shared" si="22"/>
        <v>14852.740000002086</v>
      </c>
      <c r="K126" s="700">
        <f t="shared" si="22"/>
        <v>-72859.959999978542</v>
      </c>
      <c r="L126" s="700">
        <f t="shared" si="22"/>
        <v>-1432.3400000035763</v>
      </c>
      <c r="M126" s="266">
        <f t="shared" si="20"/>
        <v>16479355.299999297</v>
      </c>
    </row>
    <row r="127" spans="1:13" x14ac:dyDescent="0.2">
      <c r="A127" s="723">
        <f t="shared" si="21"/>
        <v>63</v>
      </c>
      <c r="B127" s="726" t="s">
        <v>219</v>
      </c>
      <c r="C127" s="700">
        <f t="shared" si="22"/>
        <v>28961.290000006557</v>
      </c>
      <c r="D127" s="700">
        <f t="shared" si="22"/>
        <v>-25258.240000009537</v>
      </c>
      <c r="E127" s="700">
        <f t="shared" si="22"/>
        <v>1516475.9100000411</v>
      </c>
      <c r="F127" s="700">
        <f t="shared" si="22"/>
        <v>-89894933.739999771</v>
      </c>
      <c r="G127" s="700">
        <f t="shared" si="22"/>
        <v>7881.2099999785423</v>
      </c>
      <c r="H127" s="700">
        <f t="shared" si="22"/>
        <v>1780439.8900001049</v>
      </c>
      <c r="I127" s="700">
        <f t="shared" si="22"/>
        <v>-127888.0300001204</v>
      </c>
      <c r="J127" s="700">
        <f t="shared" si="22"/>
        <v>13789.490000002086</v>
      </c>
      <c r="K127" s="700">
        <f t="shared" si="22"/>
        <v>697091.78999999166</v>
      </c>
      <c r="L127" s="700">
        <f t="shared" si="22"/>
        <v>0</v>
      </c>
      <c r="M127" s="266">
        <f t="shared" si="20"/>
        <v>-86003440.429999769</v>
      </c>
    </row>
    <row r="128" spans="1:13" x14ac:dyDescent="0.2">
      <c r="A128" s="723">
        <f t="shared" si="21"/>
        <v>64</v>
      </c>
      <c r="B128" s="726" t="s">
        <v>218</v>
      </c>
      <c r="C128" s="700">
        <f t="shared" si="22"/>
        <v>-17013.580000013113</v>
      </c>
      <c r="D128" s="700">
        <f t="shared" si="22"/>
        <v>26723.44999999553</v>
      </c>
      <c r="E128" s="700">
        <f t="shared" si="22"/>
        <v>-1152913.049999997</v>
      </c>
      <c r="F128" s="700">
        <f t="shared" si="22"/>
        <v>76715455.170000196</v>
      </c>
      <c r="G128" s="700">
        <f t="shared" si="22"/>
        <v>311390.15000003576</v>
      </c>
      <c r="H128" s="700">
        <f t="shared" si="22"/>
        <v>3068747.7999999523</v>
      </c>
      <c r="I128" s="700">
        <f t="shared" si="22"/>
        <v>1816882.8000001311</v>
      </c>
      <c r="J128" s="700">
        <f t="shared" si="22"/>
        <v>210236.60000000149</v>
      </c>
      <c r="K128" s="700">
        <f t="shared" si="22"/>
        <v>3122690.900000006</v>
      </c>
      <c r="L128" s="700">
        <f t="shared" si="22"/>
        <v>39007.379999995232</v>
      </c>
      <c r="M128" s="266">
        <f t="shared" si="20"/>
        <v>84141207.620000303</v>
      </c>
    </row>
    <row r="129" spans="1:13" x14ac:dyDescent="0.2">
      <c r="A129" s="723">
        <f t="shared" si="21"/>
        <v>65</v>
      </c>
      <c r="B129" s="724" t="s">
        <v>208</v>
      </c>
      <c r="C129" s="133">
        <f t="shared" si="22"/>
        <v>-2739.3500000089407</v>
      </c>
      <c r="D129" s="133">
        <f t="shared" si="22"/>
        <v>975.71000000834465</v>
      </c>
      <c r="E129" s="133">
        <f t="shared" si="22"/>
        <v>2349326.6999999583</v>
      </c>
      <c r="F129" s="133">
        <f t="shared" si="22"/>
        <v>16720693.23999989</v>
      </c>
      <c r="G129" s="133">
        <f t="shared" si="22"/>
        <v>2168952.5800000131</v>
      </c>
      <c r="H129" s="133">
        <f t="shared" si="22"/>
        <v>3895459.6900001317</v>
      </c>
      <c r="I129" s="133">
        <f t="shared" si="22"/>
        <v>781402.04999998212</v>
      </c>
      <c r="J129" s="133">
        <f t="shared" si="22"/>
        <v>1895824.6999999955</v>
      </c>
      <c r="K129" s="133">
        <f t="shared" si="22"/>
        <v>8638160.4599999785</v>
      </c>
      <c r="L129" s="133">
        <f t="shared" si="22"/>
        <v>-348.61999998986721</v>
      </c>
      <c r="M129" s="430">
        <f t="shared" si="20"/>
        <v>36447707.159999959</v>
      </c>
    </row>
    <row r="130" spans="1:13" x14ac:dyDescent="0.2">
      <c r="A130" s="723">
        <f t="shared" si="21"/>
        <v>66</v>
      </c>
      <c r="B130" s="727" t="s">
        <v>4</v>
      </c>
      <c r="C130" s="266">
        <f>SUM(C118:C129)</f>
        <v>9098175.790000001</v>
      </c>
      <c r="D130" s="266">
        <f t="shared" ref="D130:L130" si="23">SUM(D118:D129)</f>
        <v>-6964883.400000006</v>
      </c>
      <c r="E130" s="266">
        <f t="shared" si="23"/>
        <v>9221502.3499999791</v>
      </c>
      <c r="F130" s="266">
        <f t="shared" si="23"/>
        <v>183128833.03000161</v>
      </c>
      <c r="G130" s="266">
        <f t="shared" si="23"/>
        <v>2342275.9900000095</v>
      </c>
      <c r="H130" s="266">
        <f t="shared" si="23"/>
        <v>53016357.520000212</v>
      </c>
      <c r="I130" s="266">
        <f t="shared" si="23"/>
        <v>20352477.310000062</v>
      </c>
      <c r="J130" s="266">
        <f t="shared" si="23"/>
        <v>2363658.3999999985</v>
      </c>
      <c r="K130" s="266">
        <f t="shared" si="23"/>
        <v>24725232.919999987</v>
      </c>
      <c r="L130" s="266">
        <f t="shared" si="23"/>
        <v>130811</v>
      </c>
      <c r="M130" s="266">
        <f>SUM(M118:M129)</f>
        <v>297414440.91000187</v>
      </c>
    </row>
    <row r="132" spans="1:13" x14ac:dyDescent="0.2">
      <c r="B132" s="1" t="s">
        <v>1934</v>
      </c>
    </row>
    <row r="134" spans="1:13" x14ac:dyDescent="0.2">
      <c r="B134" s="687" t="s">
        <v>1935</v>
      </c>
    </row>
    <row r="135" spans="1:13" x14ac:dyDescent="0.2">
      <c r="B135" s="16"/>
    </row>
    <row r="136" spans="1:13" x14ac:dyDescent="0.2">
      <c r="B136" s="16"/>
      <c r="C136" s="99">
        <v>350.1</v>
      </c>
      <c r="D136" s="99">
        <v>350.2</v>
      </c>
      <c r="E136" s="99">
        <v>352</v>
      </c>
      <c r="F136" s="99">
        <v>353</v>
      </c>
      <c r="G136" s="99">
        <v>354</v>
      </c>
      <c r="H136" s="99">
        <v>355</v>
      </c>
      <c r="I136" s="99">
        <v>356</v>
      </c>
      <c r="J136" s="99">
        <v>357</v>
      </c>
      <c r="K136" s="99">
        <v>358</v>
      </c>
      <c r="L136" s="99">
        <v>359</v>
      </c>
      <c r="M136" s="3" t="s">
        <v>225</v>
      </c>
    </row>
    <row r="137" spans="1:13" x14ac:dyDescent="0.2">
      <c r="A137" s="723">
        <f>A130+1</f>
        <v>67</v>
      </c>
      <c r="B137" s="16"/>
      <c r="C137" s="7">
        <f t="shared" ref="C137:M137" si="24">C23-C11</f>
        <v>8148271.1261181235</v>
      </c>
      <c r="D137" s="7">
        <f t="shared" si="24"/>
        <v>21119274.239867687</v>
      </c>
      <c r="E137" s="7">
        <f t="shared" si="24"/>
        <v>8299139.9537667632</v>
      </c>
      <c r="F137" s="7">
        <f t="shared" si="24"/>
        <v>391660850.49606752</v>
      </c>
      <c r="G137" s="7">
        <f t="shared" si="24"/>
        <v>177725845.13735199</v>
      </c>
      <c r="H137" s="7">
        <f t="shared" si="24"/>
        <v>16557834.622595519</v>
      </c>
      <c r="I137" s="7">
        <f t="shared" si="24"/>
        <v>73061369.258454382</v>
      </c>
      <c r="J137" s="7">
        <f t="shared" si="24"/>
        <v>86918.579535799916</v>
      </c>
      <c r="K137" s="7">
        <f t="shared" si="24"/>
        <v>550702.56324690487</v>
      </c>
      <c r="L137" s="7">
        <f t="shared" si="24"/>
        <v>-71605051.794109672</v>
      </c>
      <c r="M137" s="7">
        <f t="shared" si="24"/>
        <v>625605154.18289566</v>
      </c>
    </row>
    <row r="138" spans="1:13" x14ac:dyDescent="0.2">
      <c r="B138" s="16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x14ac:dyDescent="0.2">
      <c r="B139" s="687" t="s">
        <v>1936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x14ac:dyDescent="0.2">
      <c r="B140" s="68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x14ac:dyDescent="0.2">
      <c r="B141" s="16"/>
      <c r="C141" s="99">
        <v>350.1</v>
      </c>
      <c r="D141" s="99">
        <v>350.2</v>
      </c>
      <c r="E141" s="99">
        <v>352</v>
      </c>
      <c r="F141" s="99">
        <v>353</v>
      </c>
      <c r="G141" s="99">
        <v>354</v>
      </c>
      <c r="H141" s="99">
        <v>355</v>
      </c>
      <c r="I141" s="99">
        <v>356</v>
      </c>
      <c r="J141" s="99">
        <v>357</v>
      </c>
      <c r="K141" s="99">
        <v>358</v>
      </c>
      <c r="L141" s="99">
        <v>359</v>
      </c>
      <c r="M141" s="3" t="s">
        <v>225</v>
      </c>
    </row>
    <row r="142" spans="1:13" x14ac:dyDescent="0.2">
      <c r="A142" s="723">
        <f>A137+1</f>
        <v>68</v>
      </c>
      <c r="B142" s="16"/>
      <c r="C142" s="7">
        <f>C109</f>
        <v>2343786.2400000002</v>
      </c>
      <c r="D142" s="7">
        <f t="shared" ref="D142:M142" si="25">D109</f>
        <v>25246581.780000001</v>
      </c>
      <c r="E142" s="7">
        <f t="shared" si="25"/>
        <v>34527446.109999999</v>
      </c>
      <c r="F142" s="7">
        <f t="shared" si="25"/>
        <v>416912442.03999996</v>
      </c>
      <c r="G142" s="7">
        <f t="shared" si="25"/>
        <v>168133341.72000003</v>
      </c>
      <c r="H142" s="7">
        <f t="shared" si="25"/>
        <v>4933254.1300000027</v>
      </c>
      <c r="I142" s="7">
        <f t="shared" si="25"/>
        <v>67688514.889999986</v>
      </c>
      <c r="J142" s="7">
        <f t="shared" si="25"/>
        <v>0</v>
      </c>
      <c r="K142" s="7">
        <f t="shared" si="25"/>
        <v>0</v>
      </c>
      <c r="L142" s="7">
        <f t="shared" si="25"/>
        <v>-70985061.070000008</v>
      </c>
      <c r="M142" s="7">
        <f t="shared" si="25"/>
        <v>648800305.83999991</v>
      </c>
    </row>
    <row r="143" spans="1:13" x14ac:dyDescent="0.2">
      <c r="B143" s="16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x14ac:dyDescent="0.2">
      <c r="B144" s="687" t="s">
        <v>1937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x14ac:dyDescent="0.2">
      <c r="B145" s="68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x14ac:dyDescent="0.2">
      <c r="C146" s="99">
        <v>350.1</v>
      </c>
      <c r="D146" s="99">
        <v>350.2</v>
      </c>
      <c r="E146" s="99">
        <v>352</v>
      </c>
      <c r="F146" s="99">
        <v>353</v>
      </c>
      <c r="G146" s="99">
        <v>354</v>
      </c>
      <c r="H146" s="99">
        <v>355</v>
      </c>
      <c r="I146" s="99">
        <v>356</v>
      </c>
      <c r="J146" s="99">
        <v>357</v>
      </c>
      <c r="K146" s="99">
        <v>358</v>
      </c>
      <c r="L146" s="99">
        <v>359</v>
      </c>
      <c r="M146" s="3" t="s">
        <v>225</v>
      </c>
    </row>
    <row r="147" spans="1:13" x14ac:dyDescent="0.2">
      <c r="A147" s="723">
        <f>A142+1</f>
        <v>69</v>
      </c>
      <c r="C147" s="7">
        <f>C137-C142</f>
        <v>5804484.8861181233</v>
      </c>
      <c r="D147" s="7">
        <f t="shared" ref="D147:M147" si="26">D137-D142</f>
        <v>-4127307.540132314</v>
      </c>
      <c r="E147" s="7">
        <f t="shared" si="26"/>
        <v>-26228306.156233236</v>
      </c>
      <c r="F147" s="7">
        <f t="shared" si="26"/>
        <v>-25251591.543932438</v>
      </c>
      <c r="G147" s="7">
        <f t="shared" si="26"/>
        <v>9592503.4173519611</v>
      </c>
      <c r="H147" s="7">
        <f t="shared" si="26"/>
        <v>11624580.492595516</v>
      </c>
      <c r="I147" s="7">
        <f t="shared" si="26"/>
        <v>5372854.3684543967</v>
      </c>
      <c r="J147" s="7">
        <f t="shared" si="26"/>
        <v>86918.579535799916</v>
      </c>
      <c r="K147" s="7">
        <f t="shared" si="26"/>
        <v>550702.56324690487</v>
      </c>
      <c r="L147" s="7">
        <f t="shared" si="26"/>
        <v>-619990.72410966456</v>
      </c>
      <c r="M147" s="7">
        <f t="shared" si="26"/>
        <v>-23195151.657104254</v>
      </c>
    </row>
    <row r="149" spans="1:13" x14ac:dyDescent="0.2">
      <c r="B149" s="1" t="s">
        <v>1938</v>
      </c>
    </row>
    <row r="151" spans="1:13" x14ac:dyDescent="0.2">
      <c r="A151" s="488"/>
      <c r="B151" s="99" t="s">
        <v>417</v>
      </c>
      <c r="C151" s="99" t="s">
        <v>400</v>
      </c>
      <c r="D151" s="99" t="s">
        <v>401</v>
      </c>
      <c r="E151" s="99" t="s">
        <v>402</v>
      </c>
      <c r="F151" s="99" t="s">
        <v>403</v>
      </c>
      <c r="G151" s="99" t="s">
        <v>404</v>
      </c>
      <c r="H151" s="99" t="s">
        <v>405</v>
      </c>
      <c r="I151" s="99" t="s">
        <v>654</v>
      </c>
      <c r="J151" s="99" t="s">
        <v>1128</v>
      </c>
      <c r="K151" s="99" t="s">
        <v>1145</v>
      </c>
      <c r="L151" s="99" t="s">
        <v>1148</v>
      </c>
      <c r="M151" s="99" t="s">
        <v>1166</v>
      </c>
    </row>
    <row r="152" spans="1:13" x14ac:dyDescent="0.2">
      <c r="A152" s="264"/>
      <c r="B152" s="286"/>
      <c r="C152" s="264"/>
      <c r="D152" s="264"/>
      <c r="E152" s="264"/>
      <c r="F152" s="264"/>
      <c r="G152" s="264"/>
      <c r="H152" s="264"/>
      <c r="I152" s="264"/>
      <c r="J152" s="264"/>
      <c r="K152" s="264"/>
      <c r="M152" s="286" t="s">
        <v>1501</v>
      </c>
    </row>
    <row r="153" spans="1:13" x14ac:dyDescent="0.2">
      <c r="A153" s="264"/>
      <c r="B153" s="723" t="s">
        <v>473</v>
      </c>
      <c r="C153" s="264"/>
      <c r="D153" s="264"/>
      <c r="E153" s="264"/>
      <c r="F153" s="741"/>
      <c r="G153" s="264"/>
      <c r="H153" s="264"/>
      <c r="I153" s="264"/>
      <c r="J153" s="264"/>
      <c r="K153" s="264"/>
      <c r="L153" s="264"/>
    </row>
    <row r="154" spans="1:13" x14ac:dyDescent="0.2">
      <c r="A154" s="264"/>
      <c r="B154" s="723" t="s">
        <v>221</v>
      </c>
      <c r="C154" s="99"/>
      <c r="D154" s="99"/>
      <c r="E154" s="264"/>
      <c r="F154" s="264"/>
      <c r="G154" s="264"/>
      <c r="H154" s="264"/>
      <c r="I154" s="264"/>
      <c r="J154" s="264"/>
      <c r="K154" s="264"/>
      <c r="L154" s="264"/>
    </row>
    <row r="155" spans="1:13" x14ac:dyDescent="0.2">
      <c r="A155" s="53"/>
      <c r="B155" s="3" t="s">
        <v>220</v>
      </c>
      <c r="C155" s="99">
        <v>350.1</v>
      </c>
      <c r="D155" s="99">
        <v>350.2</v>
      </c>
      <c r="E155" s="99">
        <v>352</v>
      </c>
      <c r="F155" s="99">
        <v>353</v>
      </c>
      <c r="G155" s="99">
        <v>354</v>
      </c>
      <c r="H155" s="99">
        <v>355</v>
      </c>
      <c r="I155" s="99">
        <v>356</v>
      </c>
      <c r="J155" s="99">
        <v>357</v>
      </c>
      <c r="K155" s="99">
        <v>358</v>
      </c>
      <c r="L155" s="99">
        <v>359</v>
      </c>
      <c r="M155" s="3" t="s">
        <v>225</v>
      </c>
    </row>
    <row r="156" spans="1:13" x14ac:dyDescent="0.2">
      <c r="A156" s="723">
        <f>A147+1</f>
        <v>70</v>
      </c>
      <c r="B156" s="726" t="s">
        <v>209</v>
      </c>
      <c r="C156" s="700">
        <f t="shared" ref="C156:C167" si="27">C118*($C$147/$C$130)</f>
        <v>0</v>
      </c>
      <c r="D156" s="700">
        <f t="shared" ref="D156:D167" si="28">D118*($D$147/$D$130)</f>
        <v>23088.213051925701</v>
      </c>
      <c r="E156" s="700">
        <f t="shared" ref="E156:E167" si="29">E118*($E$147/$E$130)</f>
        <v>-312124.2725533123</v>
      </c>
      <c r="F156" s="700">
        <f t="shared" ref="F156:F167" si="30">F118*($F$147/$F$130)</f>
        <v>-1380589.1048358018</v>
      </c>
      <c r="G156" s="700">
        <f t="shared" ref="G156:G167" si="31">G118*($G$147/$G$130)</f>
        <v>1342632.3962246838</v>
      </c>
      <c r="H156" s="700">
        <f t="shared" ref="H156:H167" si="32">H118*($H$147/$H$130)</f>
        <v>1122942.1155260543</v>
      </c>
      <c r="I156" s="700">
        <f t="shared" ref="I156:I167" si="33">I118*($I$147/$I$130)</f>
        <v>602290.56331890693</v>
      </c>
      <c r="J156" s="700">
        <f t="shared" ref="J156:J167" si="34">J118*($J$147/$J$130)</f>
        <v>88.436623781431166</v>
      </c>
      <c r="K156" s="700">
        <f t="shared" ref="K156:K167" si="35">K118*($K$147/$K$130)</f>
        <v>154942.92083592224</v>
      </c>
      <c r="L156" s="700">
        <f t="shared" ref="L156:L167" si="36">L118*($L$147/$L$130)</f>
        <v>-95.929335091496299</v>
      </c>
      <c r="M156" s="266">
        <f t="shared" ref="M156:M167" si="37">SUM(C156:L156)</f>
        <v>1553175.3388570687</v>
      </c>
    </row>
    <row r="157" spans="1:13" x14ac:dyDescent="0.2">
      <c r="A157" s="723">
        <f t="shared" ref="A157:A168" si="38">A156+1</f>
        <v>71</v>
      </c>
      <c r="B157" s="724" t="s">
        <v>210</v>
      </c>
      <c r="C157" s="700">
        <f t="shared" si="27"/>
        <v>5.9416831826857494E-9</v>
      </c>
      <c r="D157" s="700">
        <f t="shared" si="28"/>
        <v>100333.03567470689</v>
      </c>
      <c r="E157" s="700">
        <f t="shared" si="29"/>
        <v>-313814.35744526895</v>
      </c>
      <c r="F157" s="700">
        <f t="shared" si="30"/>
        <v>-928607.14647747681</v>
      </c>
      <c r="G157" s="700">
        <f t="shared" si="31"/>
        <v>136871.76138938914</v>
      </c>
      <c r="H157" s="700">
        <f t="shared" si="32"/>
        <v>392251.24281860294</v>
      </c>
      <c r="I157" s="700">
        <f t="shared" si="33"/>
        <v>159402.85796165749</v>
      </c>
      <c r="J157" s="700">
        <f t="shared" si="34"/>
        <v>-70470.412598322175</v>
      </c>
      <c r="K157" s="700">
        <f t="shared" si="35"/>
        <v>43329.556618784001</v>
      </c>
      <c r="L157" s="700">
        <f t="shared" si="36"/>
        <v>-95437.41289891678</v>
      </c>
      <c r="M157" s="266">
        <f t="shared" si="37"/>
        <v>-576140.87495683832</v>
      </c>
    </row>
    <row r="158" spans="1:13" x14ac:dyDescent="0.2">
      <c r="A158" s="723">
        <f t="shared" si="38"/>
        <v>72</v>
      </c>
      <c r="B158" s="724" t="s">
        <v>223</v>
      </c>
      <c r="C158" s="700">
        <f t="shared" si="27"/>
        <v>58801.906791651221</v>
      </c>
      <c r="D158" s="700">
        <f t="shared" si="28"/>
        <v>1233917.6805753422</v>
      </c>
      <c r="E158" s="700">
        <f t="shared" si="29"/>
        <v>-575526.96522633941</v>
      </c>
      <c r="F158" s="700">
        <f t="shared" si="30"/>
        <v>-2151247.0884948457</v>
      </c>
      <c r="G158" s="700">
        <f t="shared" si="31"/>
        <v>38729.489652381737</v>
      </c>
      <c r="H158" s="700">
        <f t="shared" si="32"/>
        <v>796176.50632828777</v>
      </c>
      <c r="I158" s="700">
        <f t="shared" si="33"/>
        <v>-83563.088051555431</v>
      </c>
      <c r="J158" s="700">
        <f t="shared" si="34"/>
        <v>3113.8572962470266</v>
      </c>
      <c r="K158" s="700">
        <f t="shared" si="35"/>
        <v>-13549.959816363089</v>
      </c>
      <c r="L158" s="700">
        <f t="shared" si="36"/>
        <v>-440699.0337557664</v>
      </c>
      <c r="M158" s="266">
        <f t="shared" si="37"/>
        <v>-1133846.6947009601</v>
      </c>
    </row>
    <row r="159" spans="1:13" x14ac:dyDescent="0.2">
      <c r="A159" s="723">
        <f t="shared" si="38"/>
        <v>73</v>
      </c>
      <c r="B159" s="726" t="s">
        <v>211</v>
      </c>
      <c r="C159" s="700">
        <f t="shared" si="27"/>
        <v>0</v>
      </c>
      <c r="D159" s="700">
        <f t="shared" si="28"/>
        <v>-24717.664607316805</v>
      </c>
      <c r="E159" s="700">
        <f t="shared" si="29"/>
        <v>-2473287.0003352282</v>
      </c>
      <c r="F159" s="700">
        <f t="shared" si="30"/>
        <v>-4034546.0266899327</v>
      </c>
      <c r="G159" s="700">
        <f t="shared" si="31"/>
        <v>-485121.25087165384</v>
      </c>
      <c r="H159" s="700">
        <f t="shared" si="32"/>
        <v>1841390.4202838812</v>
      </c>
      <c r="I159" s="700">
        <f t="shared" si="33"/>
        <v>-484505.7483783043</v>
      </c>
      <c r="J159" s="700">
        <f t="shared" si="34"/>
        <v>-33.960143050673182</v>
      </c>
      <c r="K159" s="700">
        <f t="shared" si="35"/>
        <v>-990.29887760665042</v>
      </c>
      <c r="L159" s="700">
        <f t="shared" si="36"/>
        <v>6074.6872295345029</v>
      </c>
      <c r="M159" s="266">
        <f t="shared" si="37"/>
        <v>-5655736.8423896786</v>
      </c>
    </row>
    <row r="160" spans="1:13" x14ac:dyDescent="0.2">
      <c r="A160" s="723">
        <f t="shared" si="38"/>
        <v>74</v>
      </c>
      <c r="B160" s="724" t="s">
        <v>212</v>
      </c>
      <c r="C160" s="700">
        <f t="shared" si="27"/>
        <v>0</v>
      </c>
      <c r="D160" s="700">
        <f t="shared" si="28"/>
        <v>47649.102531766752</v>
      </c>
      <c r="E160" s="700">
        <f t="shared" si="29"/>
        <v>-1345327.8249409071</v>
      </c>
      <c r="F160" s="700">
        <f t="shared" si="30"/>
        <v>-2565951.9529089574</v>
      </c>
      <c r="G160" s="700">
        <f t="shared" si="31"/>
        <v>-1448936.1401867403</v>
      </c>
      <c r="H160" s="700">
        <f t="shared" si="32"/>
        <v>-269397.45248598745</v>
      </c>
      <c r="I160" s="700">
        <f t="shared" si="33"/>
        <v>-289623.49841911794</v>
      </c>
      <c r="J160" s="700">
        <f t="shared" si="34"/>
        <v>15246.110770750267</v>
      </c>
      <c r="K160" s="700">
        <f t="shared" si="35"/>
        <v>50882.550308450343</v>
      </c>
      <c r="L160" s="700">
        <f t="shared" si="36"/>
        <v>-42736.47139865499</v>
      </c>
      <c r="M160" s="266">
        <f t="shared" si="37"/>
        <v>-5848195.5767293992</v>
      </c>
    </row>
    <row r="161" spans="1:13" x14ac:dyDescent="0.2">
      <c r="A161" s="723">
        <f t="shared" si="38"/>
        <v>75</v>
      </c>
      <c r="B161" s="724" t="s">
        <v>213</v>
      </c>
      <c r="C161" s="700">
        <f t="shared" si="27"/>
        <v>153056.35189169101</v>
      </c>
      <c r="D161" s="700">
        <f t="shared" si="28"/>
        <v>-142153.67795662928</v>
      </c>
      <c r="E161" s="700">
        <f t="shared" si="29"/>
        <v>-7269947.8458587695</v>
      </c>
      <c r="F161" s="700">
        <f t="shared" si="30"/>
        <v>-6302232.7308388622</v>
      </c>
      <c r="G161" s="700">
        <f t="shared" si="31"/>
        <v>52083.039992372687</v>
      </c>
      <c r="H161" s="700">
        <f t="shared" si="32"/>
        <v>561877.27070031187</v>
      </c>
      <c r="I161" s="700">
        <f t="shared" si="33"/>
        <v>212677.17138585963</v>
      </c>
      <c r="J161" s="700">
        <f t="shared" si="34"/>
        <v>65739.864803965858</v>
      </c>
      <c r="K161" s="700">
        <f t="shared" si="35"/>
        <v>56502.563023693838</v>
      </c>
      <c r="L161" s="700">
        <f t="shared" si="36"/>
        <v>-27.06306846578936</v>
      </c>
      <c r="M161" s="266">
        <f t="shared" si="37"/>
        <v>-12612425.055924831</v>
      </c>
    </row>
    <row r="162" spans="1:13" x14ac:dyDescent="0.2">
      <c r="A162" s="723">
        <f t="shared" si="38"/>
        <v>76</v>
      </c>
      <c r="B162" s="726" t="s">
        <v>214</v>
      </c>
      <c r="C162" s="700">
        <f t="shared" si="27"/>
        <v>0</v>
      </c>
      <c r="D162" s="700">
        <f t="shared" si="28"/>
        <v>4.699224228616667</v>
      </c>
      <c r="E162" s="700">
        <f t="shared" si="29"/>
        <v>-6916448.3348943656</v>
      </c>
      <c r="F162" s="700">
        <f t="shared" si="30"/>
        <v>-5961091.6059275279</v>
      </c>
      <c r="G162" s="700">
        <f t="shared" si="31"/>
        <v>-345787.88117751532</v>
      </c>
      <c r="H162" s="700">
        <f t="shared" si="32"/>
        <v>2038785.5716876625</v>
      </c>
      <c r="I162" s="700">
        <f t="shared" si="33"/>
        <v>5415630.5417222874</v>
      </c>
      <c r="J162" s="700">
        <f t="shared" si="34"/>
        <v>-5260.6666901155177</v>
      </c>
      <c r="K162" s="700">
        <f t="shared" si="35"/>
        <v>-14625.841409328777</v>
      </c>
      <c r="L162" s="700">
        <f t="shared" si="36"/>
        <v>102.9913267747238</v>
      </c>
      <c r="M162" s="266">
        <f t="shared" si="37"/>
        <v>-5788690.5261378977</v>
      </c>
    </row>
    <row r="163" spans="1:13" x14ac:dyDescent="0.2">
      <c r="A163" s="723">
        <f t="shared" si="38"/>
        <v>77</v>
      </c>
      <c r="B163" s="724" t="s">
        <v>215</v>
      </c>
      <c r="C163" s="700">
        <f t="shared" si="27"/>
        <v>5587095.8028309541</v>
      </c>
      <c r="D163" s="700">
        <f t="shared" si="28"/>
        <v>-5184697.2449531797</v>
      </c>
      <c r="E163" s="700">
        <f t="shared" si="29"/>
        <v>4302854.1109947925</v>
      </c>
      <c r="F163" s="700">
        <f t="shared" si="30"/>
        <v>-126584.76678111129</v>
      </c>
      <c r="G163" s="700">
        <f t="shared" si="31"/>
        <v>-131396.44699474087</v>
      </c>
      <c r="H163" s="700">
        <f t="shared" si="32"/>
        <v>1246196.439857441</v>
      </c>
      <c r="I163" s="700">
        <f t="shared" si="33"/>
        <v>-15473.808793244432</v>
      </c>
      <c r="J163" s="700">
        <f t="shared" si="34"/>
        <v>-3.894985817149955</v>
      </c>
      <c r="K163" s="700">
        <f t="shared" si="35"/>
        <v>-1640.6082206983053</v>
      </c>
      <c r="L163" s="700">
        <f t="shared" si="36"/>
        <v>129265.5374047279</v>
      </c>
      <c r="M163" s="266">
        <f t="shared" si="37"/>
        <v>5805615.1203591237</v>
      </c>
    </row>
    <row r="164" spans="1:13" x14ac:dyDescent="0.2">
      <c r="A164" s="723">
        <f t="shared" si="38"/>
        <v>78</v>
      </c>
      <c r="B164" s="724" t="s">
        <v>216</v>
      </c>
      <c r="C164" s="700">
        <f t="shared" si="27"/>
        <v>-343.95597632491837</v>
      </c>
      <c r="D164" s="700">
        <f t="shared" si="28"/>
        <v>-182178.14400023868</v>
      </c>
      <c r="E164" s="700">
        <f t="shared" si="29"/>
        <v>-3608533.3851327673</v>
      </c>
      <c r="F164" s="700">
        <f t="shared" si="30"/>
        <v>-1312443.866325621</v>
      </c>
      <c r="G164" s="700">
        <f t="shared" si="31"/>
        <v>243213.14186672954</v>
      </c>
      <c r="H164" s="700">
        <f t="shared" si="32"/>
        <v>1976971.7050994784</v>
      </c>
      <c r="I164" s="700">
        <f t="shared" si="33"/>
        <v>-796141.15017196746</v>
      </c>
      <c r="J164" s="700">
        <f t="shared" si="34"/>
        <v>546.17835767416261</v>
      </c>
      <c r="K164" s="700">
        <f t="shared" si="35"/>
        <v>-1622.8023760131746</v>
      </c>
      <c r="L164" s="700">
        <f t="shared" si="36"/>
        <v>6788.7067125352933</v>
      </c>
      <c r="M164" s="266">
        <f t="shared" si="37"/>
        <v>-3673743.5719465148</v>
      </c>
    </row>
    <row r="165" spans="1:13" x14ac:dyDescent="0.2">
      <c r="A165" s="723">
        <f t="shared" si="38"/>
        <v>79</v>
      </c>
      <c r="B165" s="726" t="s">
        <v>219</v>
      </c>
      <c r="C165" s="700">
        <f t="shared" si="27"/>
        <v>18476.821504404234</v>
      </c>
      <c r="D165" s="700">
        <f t="shared" si="28"/>
        <v>-14967.73433457779</v>
      </c>
      <c r="E165" s="700">
        <f t="shared" si="29"/>
        <v>-4313244.5166088985</v>
      </c>
      <c r="F165" s="700">
        <f t="shared" si="30"/>
        <v>12395591.186339604</v>
      </c>
      <c r="G165" s="700">
        <f t="shared" si="31"/>
        <v>32276.526839888884</v>
      </c>
      <c r="H165" s="700">
        <f t="shared" si="32"/>
        <v>390386.43508706376</v>
      </c>
      <c r="I165" s="700">
        <f t="shared" si="33"/>
        <v>-33761.185441615002</v>
      </c>
      <c r="J165" s="700">
        <f t="shared" si="34"/>
        <v>507.07956924879653</v>
      </c>
      <c r="K165" s="700">
        <f t="shared" si="35"/>
        <v>15526.253556982416</v>
      </c>
      <c r="L165" s="700">
        <f t="shared" si="36"/>
        <v>0</v>
      </c>
      <c r="M165" s="266">
        <f t="shared" si="37"/>
        <v>8490790.8665120993</v>
      </c>
    </row>
    <row r="166" spans="1:13" x14ac:dyDescent="0.2">
      <c r="A166" s="723">
        <f t="shared" si="38"/>
        <v>80</v>
      </c>
      <c r="B166" s="726" t="s">
        <v>218</v>
      </c>
      <c r="C166" s="700">
        <f t="shared" si="27"/>
        <v>-10854.381169176957</v>
      </c>
      <c r="D166" s="700">
        <f t="shared" si="28"/>
        <v>15836.000453838229</v>
      </c>
      <c r="E166" s="700">
        <f t="shared" si="29"/>
        <v>3279178.9557931013</v>
      </c>
      <c r="F166" s="700">
        <f t="shared" si="30"/>
        <v>-10578275.998418773</v>
      </c>
      <c r="G166" s="700">
        <f t="shared" si="31"/>
        <v>1275260.0849591044</v>
      </c>
      <c r="H166" s="700">
        <f t="shared" si="32"/>
        <v>672866.02628476301</v>
      </c>
      <c r="I166" s="700">
        <f t="shared" si="33"/>
        <v>479639.23704530741</v>
      </c>
      <c r="J166" s="700">
        <f t="shared" si="34"/>
        <v>7731.0099625378571</v>
      </c>
      <c r="K166" s="700">
        <f t="shared" si="35"/>
        <v>69551.372414646132</v>
      </c>
      <c r="L166" s="700">
        <f t="shared" si="36"/>
        <v>-184879.05276939931</v>
      </c>
      <c r="M166" s="266">
        <f t="shared" si="37"/>
        <v>-4973946.7454440501</v>
      </c>
    </row>
    <row r="167" spans="1:13" x14ac:dyDescent="0.2">
      <c r="A167" s="723">
        <f t="shared" si="38"/>
        <v>81</v>
      </c>
      <c r="B167" s="724" t="s">
        <v>208</v>
      </c>
      <c r="C167" s="133">
        <f t="shared" si="27"/>
        <v>-1747.6597550814718</v>
      </c>
      <c r="D167" s="133">
        <f t="shared" si="28"/>
        <v>578.19420781932081</v>
      </c>
      <c r="E167" s="133">
        <f t="shared" si="29"/>
        <v>-6682084.720025274</v>
      </c>
      <c r="F167" s="133">
        <f t="shared" si="30"/>
        <v>-2305612.4425731334</v>
      </c>
      <c r="G167" s="133">
        <f t="shared" si="31"/>
        <v>8882678.6956580617</v>
      </c>
      <c r="H167" s="133">
        <f t="shared" si="32"/>
        <v>854134.21140795737</v>
      </c>
      <c r="I167" s="133">
        <f t="shared" si="33"/>
        <v>206282.47627618222</v>
      </c>
      <c r="J167" s="133">
        <f t="shared" si="34"/>
        <v>69714.97656890002</v>
      </c>
      <c r="K167" s="133">
        <f t="shared" si="35"/>
        <v>192396.85718843588</v>
      </c>
      <c r="L167" s="133">
        <f t="shared" si="36"/>
        <v>1652.3164430577629</v>
      </c>
      <c r="M167" s="430">
        <f t="shared" si="37"/>
        <v>1217992.9053969262</v>
      </c>
    </row>
    <row r="168" spans="1:13" x14ac:dyDescent="0.2">
      <c r="A168" s="723">
        <f t="shared" si="38"/>
        <v>82</v>
      </c>
      <c r="B168" s="727" t="s">
        <v>4</v>
      </c>
      <c r="C168" s="266">
        <f>SUM(C156:C167)</f>
        <v>5804484.8861181224</v>
      </c>
      <c r="D168" s="266">
        <f t="shared" ref="D168:L168" si="39">SUM(D156:D167)</f>
        <v>-4127307.5401323149</v>
      </c>
      <c r="E168" s="266">
        <f t="shared" si="39"/>
        <v>-26228306.156233236</v>
      </c>
      <c r="F168" s="266">
        <f t="shared" si="39"/>
        <v>-25251591.543932438</v>
      </c>
      <c r="G168" s="266">
        <f t="shared" si="39"/>
        <v>9592503.4173519611</v>
      </c>
      <c r="H168" s="266">
        <f t="shared" si="39"/>
        <v>11624580.492595518</v>
      </c>
      <c r="I168" s="266">
        <f t="shared" si="39"/>
        <v>5372854.3684543967</v>
      </c>
      <c r="J168" s="266">
        <f t="shared" si="39"/>
        <v>86918.579535799887</v>
      </c>
      <c r="K168" s="266">
        <f t="shared" si="39"/>
        <v>550702.56324690487</v>
      </c>
      <c r="L168" s="266">
        <f t="shared" si="39"/>
        <v>-619990.72410966468</v>
      </c>
      <c r="M168" s="266">
        <f>SUM(M156:M167)</f>
        <v>-23195151.657104958</v>
      </c>
    </row>
    <row r="170" spans="1:13" x14ac:dyDescent="0.2">
      <c r="B170" s="494" t="s">
        <v>269</v>
      </c>
    </row>
    <row r="171" spans="1:13" x14ac:dyDescent="0.2">
      <c r="B171" s="683" t="str">
        <f>"1) Amounts on Line "&amp;A11&amp;" must match Plant Study amounts for Transmission Plant - ISO for previous year."</f>
        <v>1) Amounts on Line 1 must match Plant Study amounts for Transmission Plant - ISO for previous year.</v>
      </c>
    </row>
    <row r="172" spans="1:13" x14ac:dyDescent="0.2">
      <c r="B172" s="687" t="str">
        <f>"Amounts on Line "&amp;A23&amp;" must match amounts on PlantStudy WS for Transmission Plant - ISO."</f>
        <v>Amounts on Line 13 must match amounts on PlantStudy WS for Transmission Plant - ISO.</v>
      </c>
    </row>
    <row r="173" spans="1:13" x14ac:dyDescent="0.2">
      <c r="B173" s="683" t="s">
        <v>1939</v>
      </c>
    </row>
    <row r="174" spans="1:13" x14ac:dyDescent="0.2">
      <c r="B174" s="687" t="str">
        <f>"a) Other Transmission Activity without Incentive Plant Activity (on Lines "&amp;A156&amp;" to "&amp;A167&amp;")"</f>
        <v>a) Other Transmission Activity without Incentive Plant Activity (on Lines 70 to 81)</v>
      </c>
    </row>
    <row r="175" spans="1:13" x14ac:dyDescent="0.2">
      <c r="B175" s="687" t="str">
        <f>"b) Incentive Plant Activity (on Lines "&amp;A97&amp;" to "&amp;A108&amp;")"</f>
        <v>b) Incentive Plant Activity (on Lines 41 to 52)</v>
      </c>
    </row>
    <row r="176" spans="1:13" x14ac:dyDescent="0.2">
      <c r="B176" s="687" t="s">
        <v>1940</v>
      </c>
    </row>
    <row r="177" spans="2:2" x14ac:dyDescent="0.2">
      <c r="B177" s="683" t="str">
        <f>"2) Amounts on Line "&amp;A35&amp;" must match Plant Study amounts for Distribution Plant - ISO for previous year."</f>
        <v>2) Amounts on Line 15 must match Plant Study amounts for Distribution Plant - ISO for previous year.</v>
      </c>
    </row>
    <row r="178" spans="2:2" x14ac:dyDescent="0.2">
      <c r="B178" s="687" t="str">
        <f>"Amounts on Line "&amp;A36&amp;" must match amounts on PlantStudy WS for Distribution Plant - ISO."</f>
        <v>Amounts on Line 16 must match amounts on PlantStudy WS for Distribution Plant - ISO.</v>
      </c>
    </row>
    <row r="179" spans="2:2" x14ac:dyDescent="0.2">
      <c r="B179" s="683" t="s">
        <v>2011</v>
      </c>
    </row>
    <row r="180" spans="2:2" x14ac:dyDescent="0.2">
      <c r="B180" t="str">
        <f>"4) Column 12 matches 'Activity for Incentive Projects' on incentivePlant WS, Lines "&amp;IncentivePlant!A94&amp;" to "&amp;IncentivePlant!A107&amp;"."</f>
        <v>4) Column 12 matches 'Activity for Incentive Projects' on incentivePlant WS, Lines 39 to 52.</v>
      </c>
    </row>
    <row r="181" spans="2:2" x14ac:dyDescent="0.2">
      <c r="B181" s="683" t="str">
        <f>"5) Amount in matrix on lines "&amp;A76&amp;" to "&amp;A87&amp;" minus amount in matrix on lines "&amp;A97&amp;" to "&amp;A108&amp;""</f>
        <v>5) Amount in matrix on lines 28 to 39 minus amount in matrix on lines 41 to 52</v>
      </c>
    </row>
    <row r="182" spans="2:2" x14ac:dyDescent="0.2">
      <c r="B182" t="str">
        <f>"6) Amount on Line "&amp;A23&amp;" less amount on Line "&amp;A11&amp;" for each account."</f>
        <v>6) Amount on Line 13 less amount on Line 1 for each account.</v>
      </c>
    </row>
    <row r="183" spans="2:2" x14ac:dyDescent="0.2">
      <c r="B183" t="str">
        <f>"7) Line "&amp;A109&amp;""</f>
        <v>7) Line 53</v>
      </c>
    </row>
    <row r="184" spans="2:2" x14ac:dyDescent="0.2">
      <c r="B184" t="str">
        <f>"8) Amount on Line "&amp;A137&amp;" less amount on Line "&amp;A142&amp;" for each account."</f>
        <v>8) Amount on Line 67 less amount on Line 68 for each account.</v>
      </c>
    </row>
    <row r="185" spans="2:2" x14ac:dyDescent="0.2">
      <c r="B185" t="str">
        <f>"9) Amount in matrix on Lines "&amp;A118&amp;" to "&amp;A129&amp;" times ratio of amount on Line "&amp;A147&amp;" to amount on Line "&amp;A130&amp;" for each account."</f>
        <v>9) Amount in matrix on Lines 54 to 65 times ratio of amount on Line 69 to amount on Line 66 for each account.</v>
      </c>
    </row>
  </sheetData>
  <phoneticPr fontId="8" type="noConversion"/>
  <pageMargins left="0.75" right="0.75" top="1" bottom="1" header="0.5" footer="0.5"/>
  <pageSetup scale="70" orientation="landscape" r:id="rId1"/>
  <headerFooter alignWithMargins="0">
    <oddHeader>&amp;CSchedule 6
Plant In Service&amp;RDkt. No. ER11-3697
2014 Draft Informational Filing</oddHeader>
    <oddFooter>&amp;R&amp;A</oddFooter>
  </headerFooter>
  <rowBreaks count="3" manualBreakCount="3">
    <brk id="38" max="16383" man="1"/>
    <brk id="89" max="16383" man="1"/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37</vt:i4>
      </vt:variant>
    </vt:vector>
  </HeadingPairs>
  <TitlesOfParts>
    <vt:vector size="73" baseType="lpstr">
      <vt:lpstr>Contents</vt:lpstr>
      <vt:lpstr>Overview</vt:lpstr>
      <vt:lpstr>BaseTRR</vt:lpstr>
      <vt:lpstr>IFPTRR</vt:lpstr>
      <vt:lpstr>TrueUpAdjust</vt:lpstr>
      <vt:lpstr>TUTRR</vt:lpstr>
      <vt:lpstr>ROR-1</vt:lpstr>
      <vt:lpstr>ROR-2</vt:lpstr>
      <vt:lpstr>PlantInService</vt:lpstr>
      <vt:lpstr>PlantStudy</vt:lpstr>
      <vt:lpstr>AccDep</vt:lpstr>
      <vt:lpstr>ADIT</vt:lpstr>
      <vt:lpstr>CWIP</vt:lpstr>
      <vt:lpstr>PHFU</vt:lpstr>
      <vt:lpstr>AbandonedPlant</vt:lpstr>
      <vt:lpstr>WorkCap</vt:lpstr>
      <vt:lpstr>IncentivePlant</vt:lpstr>
      <vt:lpstr>IncentiveAdder</vt:lpstr>
      <vt:lpstr>PlantAdditions</vt:lpstr>
      <vt:lpstr>Depreciation</vt:lpstr>
      <vt:lpstr>DepRates</vt:lpstr>
      <vt:lpstr>OandM</vt:lpstr>
      <vt:lpstr>AandG</vt:lpstr>
      <vt:lpstr>RevenueCredits</vt:lpstr>
      <vt:lpstr>NUCs</vt:lpstr>
      <vt:lpstr>RegAssets</vt:lpstr>
      <vt:lpstr>CWIPTRR</vt:lpstr>
      <vt:lpstr>WholesaleDifference</vt:lpstr>
      <vt:lpstr>TaxRates</vt:lpstr>
      <vt:lpstr>Allocators</vt:lpstr>
      <vt:lpstr>FFU</vt:lpstr>
      <vt:lpstr>WholesaleTRRs</vt:lpstr>
      <vt:lpstr>WholesaleRates</vt:lpstr>
      <vt:lpstr>HVLV</vt:lpstr>
      <vt:lpstr>GrossLoad</vt:lpstr>
      <vt:lpstr>RetailRates</vt:lpstr>
      <vt:lpstr>AandG!Print_Area</vt:lpstr>
      <vt:lpstr>AbandonedPlant!Print_Area</vt:lpstr>
      <vt:lpstr>AccDep!Print_Area</vt:lpstr>
      <vt:lpstr>ADIT!Print_Area</vt:lpstr>
      <vt:lpstr>Allocators!Print_Area</vt:lpstr>
      <vt:lpstr>BaseTRR!Print_Area</vt:lpstr>
      <vt:lpstr>Contents!Print_Area</vt:lpstr>
      <vt:lpstr>CWIP!Print_Area</vt:lpstr>
      <vt:lpstr>CWIPTRR!Print_Area</vt:lpstr>
      <vt:lpstr>DepRates!Print_Area</vt:lpstr>
      <vt:lpstr>Depreciation!Print_Area</vt:lpstr>
      <vt:lpstr>FFU!Print_Area</vt:lpstr>
      <vt:lpstr>GrossLoad!Print_Area</vt:lpstr>
      <vt:lpstr>HVLV!Print_Area</vt:lpstr>
      <vt:lpstr>IFPTRR!Print_Area</vt:lpstr>
      <vt:lpstr>IncentiveAdder!Print_Area</vt:lpstr>
      <vt:lpstr>IncentivePlant!Print_Area</vt:lpstr>
      <vt:lpstr>NUCs!Print_Area</vt:lpstr>
      <vt:lpstr>OandM!Print_Area</vt:lpstr>
      <vt:lpstr>Overview!Print_Area</vt:lpstr>
      <vt:lpstr>PHFU!Print_Area</vt:lpstr>
      <vt:lpstr>PlantAdditions!Print_Area</vt:lpstr>
      <vt:lpstr>PlantInService!Print_Area</vt:lpstr>
      <vt:lpstr>PlantStudy!Print_Area</vt:lpstr>
      <vt:lpstr>RegAssets!Print_Area</vt:lpstr>
      <vt:lpstr>RevenueCredits!Print_Area</vt:lpstr>
      <vt:lpstr>'ROR-1'!Print_Area</vt:lpstr>
      <vt:lpstr>'ROR-2'!Print_Area</vt:lpstr>
      <vt:lpstr>TaxRates!Print_Area</vt:lpstr>
      <vt:lpstr>TrueUpAdjust!Print_Area</vt:lpstr>
      <vt:lpstr>TUTRR!Print_Area</vt:lpstr>
      <vt:lpstr>WholesaleDifference!Print_Area</vt:lpstr>
      <vt:lpstr>WholesaleRates!Print_Area</vt:lpstr>
      <vt:lpstr>WholesaleTRRs!Print_Area</vt:lpstr>
      <vt:lpstr>WorkCap!Print_Area</vt:lpstr>
      <vt:lpstr>BaseTRR!Print_Titles</vt:lpstr>
      <vt:lpstr>RevenueCredits!Print_Titles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Hansen</dc:creator>
  <cp:lastModifiedBy>Kim, Jee Young</cp:lastModifiedBy>
  <cp:lastPrinted>2013-06-12T22:51:38Z</cp:lastPrinted>
  <dcterms:created xsi:type="dcterms:W3CDTF">2009-02-27T16:01:11Z</dcterms:created>
  <dcterms:modified xsi:type="dcterms:W3CDTF">2013-06-14T17:25:34Z</dcterms:modified>
</cp:coreProperties>
</file>